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6"/>
  <workbookPr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0" documentId="13_ncr:1_{917C3FE3-536B-854A-B3D3-F785FB22E31B}" xr6:coauthVersionLast="47" xr6:coauthVersionMax="47" xr10:uidLastSave="{00000000-0000-0000-0000-000000000000}"/>
  <bookViews>
    <workbookView xWindow="0" yWindow="680" windowWidth="34200" windowHeight="20140" activeTab="6" xr2:uid="{00000000-000D-0000-FFFF-FFFF00000000}"/>
  </bookViews>
  <sheets>
    <sheet name="Rentroll" sheetId="1" r:id="rId1"/>
    <sheet name="HMG" sheetId="2" state="hidden" r:id="rId2"/>
    <sheet name="OneReport" sheetId="3" state="hidden" r:id="rId3"/>
    <sheet name="Harmonogram" sheetId="4" state="hidden" r:id="rId4"/>
    <sheet name="Businessplan_prodej" sheetId="5" r:id="rId5"/>
    <sheet name="Cash-flow 04.02.2025" sheetId="6" state="hidden" r:id="rId6"/>
    <sheet name="Cash-flow" sheetId="7" r:id="rId7"/>
    <sheet name="Interest Calc EQ 14.4.2025" sheetId="8" state="hidden" r:id="rId8"/>
    <sheet name="Summary LIM" sheetId="9" state="hidden" r:id="rId9"/>
    <sheet name="Provoz" sheetId="28" state="hidden" r:id="rId10"/>
    <sheet name="List 10" sheetId="10" state="hidden" r:id="rId11"/>
    <sheet name="Kopie listu Businessplan_prodej" sheetId="11" state="hidden" r:id="rId12"/>
    <sheet name="Cash-flow PLAN" sheetId="12" state="hidden" r:id="rId13"/>
    <sheet name="Interest Calc EQ" sheetId="13" state="hidden" r:id="rId14"/>
    <sheet name="Cash-flow FAKT" sheetId="14" state="hidden" r:id="rId15"/>
    <sheet name="Cash-flow FAKT (Report)" sheetId="15" state="hidden" r:id="rId16"/>
    <sheet name="Cash-flow Plan vc 2 etapa" sheetId="16" state="hidden" r:id="rId17"/>
    <sheet name="Kopie listu Cash-flow Plan vc 2" sheetId="17" state="hidden" r:id="rId18"/>
    <sheet name=" Interest Calc EQ FAKT" sheetId="18" state="hidden" r:id="rId19"/>
    <sheet name="Cash-flow M 22.7." sheetId="19" state="hidden" r:id="rId20"/>
    <sheet name="PnL" sheetId="20" state="hidden" r:id="rId21"/>
    <sheet name="Interest Calc Cash-flow M 22.7." sheetId="21" state="hidden" r:id="rId22"/>
    <sheet name=" Interest Calc Cash-flow Plan v" sheetId="22" state="hidden" r:id="rId23"/>
    <sheet name="EQ CF" sheetId="23" state="hidden" r:id="rId24"/>
    <sheet name="List 8" sheetId="24" state="hidden" r:id="rId25"/>
    <sheet name="Params" sheetId="25" state="hidden" r:id="rId26"/>
    <sheet name="Kopie listu Cash-flow 04.02.202" sheetId="26" state="hidden" r:id="rId27"/>
    <sheet name="Businessplan_pravo_stavby" sheetId="27" state="hidden" r:id="rId28"/>
  </sheets>
  <definedNames>
    <definedName name="_xlnm._FilterDatabase" localSheetId="2" hidden="1">OneReport!$A$2:$G$10</definedName>
    <definedName name="dokonceni">Rentroll!$Z$1:$Z$3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9" i="7" l="1"/>
  <c r="D125" i="7"/>
  <c r="AG120" i="7"/>
  <c r="AF97" i="7"/>
  <c r="AF62" i="7"/>
  <c r="AF61" i="7"/>
  <c r="AF12" i="7"/>
  <c r="AF36" i="7"/>
  <c r="BY36" i="7" s="1"/>
  <c r="AF53" i="7"/>
  <c r="AF45" i="7"/>
  <c r="AF15" i="7"/>
  <c r="AF80" i="7"/>
  <c r="AF14" i="7"/>
  <c r="AF43" i="7"/>
  <c r="AH42" i="7"/>
  <c r="AG42" i="7"/>
  <c r="AE97" i="7"/>
  <c r="E16" i="9" s="1"/>
  <c r="AE62" i="7"/>
  <c r="AE12" i="7"/>
  <c r="AE61" i="7"/>
  <c r="AE53" i="7"/>
  <c r="AE27" i="7"/>
  <c r="AE10" i="7"/>
  <c r="AE80" i="7"/>
  <c r="AE48" i="7"/>
  <c r="AE14" i="7"/>
  <c r="AE45" i="7"/>
  <c r="AE92" i="7"/>
  <c r="AE43" i="7"/>
  <c r="AD97" i="7"/>
  <c r="AD12" i="7"/>
  <c r="AD62" i="7"/>
  <c r="E17" i="9" s="1"/>
  <c r="AD53" i="7"/>
  <c r="AD49" i="7" s="1"/>
  <c r="AD80" i="7"/>
  <c r="AD45" i="7"/>
  <c r="AD14" i="7"/>
  <c r="AD43" i="7"/>
  <c r="AC80" i="7"/>
  <c r="AB80" i="7"/>
  <c r="AD63" i="7"/>
  <c r="AD27" i="7"/>
  <c r="AD26" i="7" s="1"/>
  <c r="AD10" i="7"/>
  <c r="AD61" i="7"/>
  <c r="AG86" i="7"/>
  <c r="AG13" i="7"/>
  <c r="F67" i="5"/>
  <c r="H2" i="1"/>
  <c r="F16" i="9"/>
  <c r="AC12" i="7"/>
  <c r="AC53" i="7"/>
  <c r="AC45" i="7"/>
  <c r="AC14" i="7"/>
  <c r="AC32" i="7"/>
  <c r="AC26" i="7" s="1"/>
  <c r="AC43" i="7"/>
  <c r="AC42" i="7" s="1"/>
  <c r="F26" i="9"/>
  <c r="I6" i="9"/>
  <c r="I5" i="9"/>
  <c r="U15" i="9"/>
  <c r="T15" i="9"/>
  <c r="S15" i="9"/>
  <c r="AB53" i="7"/>
  <c r="AB62" i="7"/>
  <c r="AB97" i="7"/>
  <c r="AB12" i="7"/>
  <c r="AB61" i="7"/>
  <c r="AB14" i="7"/>
  <c r="AB45" i="7"/>
  <c r="AB43" i="7"/>
  <c r="AB92" i="7"/>
  <c r="AB54" i="7"/>
  <c r="AB15" i="7"/>
  <c r="G77" i="1"/>
  <c r="K74" i="1"/>
  <c r="J5" i="10"/>
  <c r="I5" i="10"/>
  <c r="K97" i="1"/>
  <c r="I96" i="1"/>
  <c r="I89" i="1"/>
  <c r="I83" i="1"/>
  <c r="I95" i="1"/>
  <c r="I94" i="1"/>
  <c r="I93" i="1"/>
  <c r="K84" i="1"/>
  <c r="I90" i="1"/>
  <c r="I91" i="1" s="1"/>
  <c r="I97" i="1" s="1"/>
  <c r="I100" i="1" s="1"/>
  <c r="I88" i="1"/>
  <c r="I87" i="1"/>
  <c r="I86" i="1"/>
  <c r="I85" i="1"/>
  <c r="I82" i="1"/>
  <c r="AA12" i="7"/>
  <c r="AA53" i="7"/>
  <c r="AA49" i="7" s="1"/>
  <c r="AA80" i="7"/>
  <c r="AA14" i="7"/>
  <c r="AA92" i="7"/>
  <c r="AA54" i="7"/>
  <c r="AA30" i="7"/>
  <c r="BY30" i="7" s="1"/>
  <c r="AA45" i="7"/>
  <c r="AA43" i="7"/>
  <c r="AA25" i="7"/>
  <c r="F17" i="9"/>
  <c r="AA27" i="7"/>
  <c r="J21" i="1"/>
  <c r="L21" i="1"/>
  <c r="I21" i="1"/>
  <c r="H21" i="1" s="1"/>
  <c r="K21" i="1"/>
  <c r="Q16" i="1"/>
  <c r="P16" i="1"/>
  <c r="E20" i="9"/>
  <c r="Z62" i="7"/>
  <c r="Z53" i="7"/>
  <c r="Z12" i="7"/>
  <c r="Z61" i="7"/>
  <c r="AA38" i="7"/>
  <c r="Z9" i="7"/>
  <c r="Z80" i="7"/>
  <c r="AA72" i="7"/>
  <c r="X38" i="7"/>
  <c r="Y38" i="7"/>
  <c r="Y15" i="7"/>
  <c r="Y53" i="7"/>
  <c r="Y97" i="7"/>
  <c r="Y62" i="7"/>
  <c r="Y12" i="7"/>
  <c r="Y61" i="7"/>
  <c r="Y9" i="7"/>
  <c r="Y30" i="7"/>
  <c r="Y14" i="7"/>
  <c r="Y43" i="7"/>
  <c r="Y80" i="7"/>
  <c r="Y45" i="7"/>
  <c r="X53" i="7"/>
  <c r="X12" i="7"/>
  <c r="X14" i="7"/>
  <c r="X45" i="7"/>
  <c r="X43" i="7"/>
  <c r="X10" i="7"/>
  <c r="X80" i="7"/>
  <c r="W97" i="7"/>
  <c r="W62" i="7"/>
  <c r="W53" i="7"/>
  <c r="W12" i="7"/>
  <c r="W45" i="7"/>
  <c r="V53" i="7"/>
  <c r="V62" i="7"/>
  <c r="Z97" i="7"/>
  <c r="V97" i="7"/>
  <c r="V12" i="7"/>
  <c r="V15" i="7"/>
  <c r="V50" i="7"/>
  <c r="V48" i="7"/>
  <c r="V38" i="7"/>
  <c r="V45" i="7"/>
  <c r="V14" i="7"/>
  <c r="V43" i="7"/>
  <c r="V80" i="7"/>
  <c r="U53" i="7"/>
  <c r="U12" i="7"/>
  <c r="U54" i="7"/>
  <c r="U45" i="7"/>
  <c r="U80" i="7"/>
  <c r="U43" i="7"/>
  <c r="U14" i="7"/>
  <c r="X54" i="7"/>
  <c r="X15" i="7"/>
  <c r="I69" i="1"/>
  <c r="I68" i="1"/>
  <c r="I67" i="1"/>
  <c r="I66" i="1"/>
  <c r="I72" i="1" s="1"/>
  <c r="J72" i="1" s="1"/>
  <c r="U75" i="1"/>
  <c r="U74" i="1"/>
  <c r="AZ46" i="28"/>
  <c r="AY46" i="28"/>
  <c r="AX46" i="28"/>
  <c r="AW46" i="28"/>
  <c r="AV46" i="28"/>
  <c r="AU46" i="28"/>
  <c r="AT46" i="28"/>
  <c r="AS46" i="28"/>
  <c r="AR46" i="28"/>
  <c r="AQ46" i="28"/>
  <c r="AP46" i="28"/>
  <c r="AO46" i="28"/>
  <c r="AP12" i="28"/>
  <c r="AQ12" i="28"/>
  <c r="AR12" i="28"/>
  <c r="AS12" i="28"/>
  <c r="AT12" i="28"/>
  <c r="AU12" i="28"/>
  <c r="AV12" i="28"/>
  <c r="AW12" i="28"/>
  <c r="AX12" i="28"/>
  <c r="AY12" i="28"/>
  <c r="AZ12" i="28"/>
  <c r="AO12" i="28"/>
  <c r="I74" i="1" s="1"/>
  <c r="T74" i="1"/>
  <c r="I77" i="1"/>
  <c r="I78" i="1" s="1"/>
  <c r="AZ97" i="28"/>
  <c r="AY97" i="28"/>
  <c r="AX97" i="28"/>
  <c r="AW97" i="28"/>
  <c r="AV97" i="28"/>
  <c r="AU97" i="28"/>
  <c r="AT97" i="28"/>
  <c r="AS97" i="28"/>
  <c r="AR97" i="28"/>
  <c r="AQ97" i="28"/>
  <c r="AP97" i="28"/>
  <c r="AO97" i="28"/>
  <c r="AZ98" i="28"/>
  <c r="AY98" i="28"/>
  <c r="AX98" i="28"/>
  <c r="AX91" i="28" s="1"/>
  <c r="AW98" i="28"/>
  <c r="AV98" i="28"/>
  <c r="AV91" i="28" s="1"/>
  <c r="AU98" i="28"/>
  <c r="AU91" i="28" s="1"/>
  <c r="AT98" i="28"/>
  <c r="AS98" i="28"/>
  <c r="AR98" i="28"/>
  <c r="AQ98" i="28"/>
  <c r="AP98" i="28"/>
  <c r="AO98" i="28"/>
  <c r="AO91" i="28" s="1"/>
  <c r="U69" i="1"/>
  <c r="U68" i="1"/>
  <c r="U67" i="1"/>
  <c r="U66" i="1"/>
  <c r="U65" i="1"/>
  <c r="U64" i="1"/>
  <c r="U63" i="1"/>
  <c r="U71" i="1" s="1"/>
  <c r="AP44" i="28"/>
  <c r="AP43" i="28" s="1"/>
  <c r="AP38" i="28" s="1"/>
  <c r="AQ44" i="28"/>
  <c r="AR44" i="28"/>
  <c r="AS44" i="28"/>
  <c r="AT44" i="28"/>
  <c r="AU44" i="28"/>
  <c r="AU43" i="28" s="1"/>
  <c r="AV44" i="28"/>
  <c r="AV43" i="28" s="1"/>
  <c r="AW44" i="28"/>
  <c r="AX44" i="28"/>
  <c r="AY44" i="28"/>
  <c r="AZ44" i="28"/>
  <c r="AO44" i="28"/>
  <c r="AD43" i="28"/>
  <c r="AE43" i="28"/>
  <c r="AF43" i="28"/>
  <c r="AG43" i="28"/>
  <c r="AH43" i="28"/>
  <c r="AH38" i="28" s="1"/>
  <c r="AI43" i="28"/>
  <c r="AI38" i="28" s="1"/>
  <c r="AJ43" i="28"/>
  <c r="AJ38" i="28" s="1"/>
  <c r="AK43" i="28"/>
  <c r="AK38" i="28" s="1"/>
  <c r="AL43" i="28"/>
  <c r="AM43" i="28"/>
  <c r="AN43" i="28"/>
  <c r="AN38" i="28" s="1"/>
  <c r="AO43" i="28"/>
  <c r="AO38" i="28" s="1"/>
  <c r="AQ43" i="28"/>
  <c r="AQ38" i="28" s="1"/>
  <c r="AR43" i="28"/>
  <c r="AS43" i="28"/>
  <c r="AT43" i="28"/>
  <c r="AW43" i="28"/>
  <c r="AW38" i="28" s="1"/>
  <c r="AX43" i="28"/>
  <c r="AX38" i="28" s="1"/>
  <c r="AY43" i="28"/>
  <c r="AY38" i="28" s="1"/>
  <c r="AZ43" i="28"/>
  <c r="BA43" i="28"/>
  <c r="BA38" i="28" s="1"/>
  <c r="W206" i="28"/>
  <c r="V206" i="28"/>
  <c r="U206" i="28"/>
  <c r="T206" i="28"/>
  <c r="S206" i="28"/>
  <c r="D194" i="28"/>
  <c r="BX187" i="28"/>
  <c r="BW187" i="28"/>
  <c r="BV187" i="28"/>
  <c r="BU187" i="28"/>
  <c r="BT187" i="28"/>
  <c r="BS187" i="28"/>
  <c r="BR187" i="28"/>
  <c r="BQ187" i="28"/>
  <c r="BP187" i="28"/>
  <c r="BO187" i="28"/>
  <c r="BN187" i="28"/>
  <c r="BM187" i="28"/>
  <c r="BL187" i="28"/>
  <c r="BK187" i="28"/>
  <c r="BJ187" i="28"/>
  <c r="BI187" i="28"/>
  <c r="BH187" i="28"/>
  <c r="BG187" i="28"/>
  <c r="BF187" i="28"/>
  <c r="BE187" i="28"/>
  <c r="BD187" i="28"/>
  <c r="BC187" i="28"/>
  <c r="BB187" i="28"/>
  <c r="BA187" i="28"/>
  <c r="AZ187" i="28"/>
  <c r="AY187" i="28"/>
  <c r="AX187" i="28"/>
  <c r="AW187" i="28"/>
  <c r="AV187" i="28"/>
  <c r="AU187" i="28"/>
  <c r="AT187" i="28"/>
  <c r="AS187" i="28"/>
  <c r="AR187" i="28"/>
  <c r="AQ187" i="28"/>
  <c r="AP187" i="28"/>
  <c r="AO187" i="28"/>
  <c r="AN187" i="28"/>
  <c r="AM187" i="28"/>
  <c r="AL187" i="28"/>
  <c r="AK187" i="28"/>
  <c r="AE187" i="28"/>
  <c r="AD187" i="28"/>
  <c r="AC187" i="28"/>
  <c r="AB187" i="28"/>
  <c r="Z187" i="28"/>
  <c r="Y187" i="28"/>
  <c r="X187" i="28"/>
  <c r="W187" i="28"/>
  <c r="V187" i="28"/>
  <c r="U187" i="28"/>
  <c r="T187" i="28"/>
  <c r="S187" i="28"/>
  <c r="S190" i="28" s="1"/>
  <c r="R187" i="28"/>
  <c r="R190" i="28" s="1"/>
  <c r="Q187" i="28"/>
  <c r="Q190" i="28" s="1"/>
  <c r="P187" i="28"/>
  <c r="P190" i="28" s="1"/>
  <c r="O187" i="28"/>
  <c r="O190" i="28" s="1"/>
  <c r="N187" i="28"/>
  <c r="N190" i="28" s="1"/>
  <c r="M187" i="28"/>
  <c r="M190" i="28" s="1"/>
  <c r="L187" i="28"/>
  <c r="L190" i="28" s="1"/>
  <c r="K187" i="28"/>
  <c r="K190" i="28" s="1"/>
  <c r="J187" i="28"/>
  <c r="J190" i="28" s="1"/>
  <c r="I187" i="28"/>
  <c r="I190" i="28" s="1"/>
  <c r="H187" i="28"/>
  <c r="G187" i="28"/>
  <c r="F187" i="28"/>
  <c r="E187" i="28"/>
  <c r="BX185" i="28"/>
  <c r="BW185" i="28"/>
  <c r="BV185" i="28"/>
  <c r="BU185" i="28"/>
  <c r="BU190" i="28" s="1"/>
  <c r="BT185" i="28"/>
  <c r="BT190" i="28" s="1"/>
  <c r="BS185" i="28"/>
  <c r="BS190" i="28" s="1"/>
  <c r="BR185" i="28"/>
  <c r="BQ185" i="28"/>
  <c r="BP185" i="28"/>
  <c r="BP190" i="28" s="1"/>
  <c r="BO185" i="28"/>
  <c r="BN185" i="28"/>
  <c r="BM185" i="28"/>
  <c r="BM190" i="28" s="1"/>
  <c r="BL185" i="28"/>
  <c r="BL190" i="28" s="1"/>
  <c r="BK185" i="28"/>
  <c r="BK190" i="28" s="1"/>
  <c r="BJ185" i="28"/>
  <c r="BI185" i="28"/>
  <c r="BH185" i="28"/>
  <c r="BH190" i="28" s="1"/>
  <c r="BG185" i="28"/>
  <c r="BF185" i="28"/>
  <c r="BE185" i="28"/>
  <c r="BE190" i="28" s="1"/>
  <c r="BD185" i="28"/>
  <c r="BD190" i="28" s="1"/>
  <c r="BC185" i="28"/>
  <c r="BC190" i="28" s="1"/>
  <c r="BB185" i="28"/>
  <c r="BA185" i="28"/>
  <c r="BA190" i="28" s="1"/>
  <c r="AZ185" i="28"/>
  <c r="AZ190" i="28" s="1"/>
  <c r="AY185" i="28"/>
  <c r="AX185" i="28"/>
  <c r="AW185" i="28"/>
  <c r="AW190" i="28" s="1"/>
  <c r="AV185" i="28"/>
  <c r="AV190" i="28" s="1"/>
  <c r="AU185" i="28"/>
  <c r="AU190" i="28" s="1"/>
  <c r="AT185" i="28"/>
  <c r="AS185" i="28"/>
  <c r="AS190" i="28" s="1"/>
  <c r="AR185" i="28"/>
  <c r="AR190" i="28" s="1"/>
  <c r="AQ185" i="28"/>
  <c r="AP185" i="28"/>
  <c r="AO185" i="28"/>
  <c r="AO190" i="28" s="1"/>
  <c r="AN185" i="28"/>
  <c r="AN190" i="28" s="1"/>
  <c r="AM185" i="28"/>
  <c r="AM190" i="28" s="1"/>
  <c r="AL185" i="28"/>
  <c r="AK185" i="28"/>
  <c r="AK190" i="28" s="1"/>
  <c r="AK191" i="28" s="1"/>
  <c r="AE185" i="28"/>
  <c r="AE190" i="28" s="1"/>
  <c r="AD185" i="28"/>
  <c r="AC185" i="28"/>
  <c r="AB185" i="28"/>
  <c r="AB190" i="28" s="1"/>
  <c r="AB191" i="28" s="1"/>
  <c r="Z185" i="28"/>
  <c r="Z190" i="28" s="1"/>
  <c r="Y185" i="28"/>
  <c r="Y190" i="28" s="1"/>
  <c r="X185" i="28"/>
  <c r="W185" i="28"/>
  <c r="W190" i="28" s="1"/>
  <c r="V185" i="28"/>
  <c r="V190" i="28" s="1"/>
  <c r="U185" i="28"/>
  <c r="T185" i="28"/>
  <c r="H185" i="28"/>
  <c r="G185" i="28"/>
  <c r="G190" i="28" s="1"/>
  <c r="F185" i="28"/>
  <c r="F190" i="28" s="1"/>
  <c r="E185" i="28"/>
  <c r="D178" i="28"/>
  <c r="BX171" i="28"/>
  <c r="BW171" i="28"/>
  <c r="BV171" i="28"/>
  <c r="BU171" i="28"/>
  <c r="BT171" i="28"/>
  <c r="BS171" i="28"/>
  <c r="BR171" i="28"/>
  <c r="BQ171" i="28"/>
  <c r="BP171" i="28"/>
  <c r="BO171" i="28"/>
  <c r="BN171" i="28"/>
  <c r="BM171" i="28"/>
  <c r="BL171" i="28"/>
  <c r="BK171" i="28"/>
  <c r="BJ171" i="28"/>
  <c r="BI171" i="28"/>
  <c r="BH171" i="28"/>
  <c r="BG171" i="28"/>
  <c r="BF171" i="28"/>
  <c r="BE171" i="28"/>
  <c r="BD171" i="28"/>
  <c r="BC171" i="28"/>
  <c r="BB171" i="28"/>
  <c r="BA171" i="28"/>
  <c r="AZ171" i="28"/>
  <c r="AY171" i="28"/>
  <c r="AX171" i="28"/>
  <c r="AW171" i="28"/>
  <c r="AV171" i="28"/>
  <c r="AU171" i="28"/>
  <c r="AT171" i="28"/>
  <c r="AS171" i="28"/>
  <c r="AR171" i="28"/>
  <c r="AQ171" i="28"/>
  <c r="AP171" i="28"/>
  <c r="AO171" i="28"/>
  <c r="AN171" i="28"/>
  <c r="AM171" i="28"/>
  <c r="AL171" i="28"/>
  <c r="AK171" i="28"/>
  <c r="AE171" i="28"/>
  <c r="AD171" i="28"/>
  <c r="AC171" i="28"/>
  <c r="AB171" i="28"/>
  <c r="Z171" i="28"/>
  <c r="Y171" i="28"/>
  <c r="X171" i="28"/>
  <c r="W171" i="28"/>
  <c r="V171" i="28"/>
  <c r="U171" i="28"/>
  <c r="T171" i="28"/>
  <c r="S171" i="28"/>
  <c r="R171" i="28"/>
  <c r="Q171" i="28"/>
  <c r="P171" i="28"/>
  <c r="O171" i="28"/>
  <c r="N171" i="28"/>
  <c r="M171" i="28"/>
  <c r="L171" i="28"/>
  <c r="K171" i="28"/>
  <c r="J171" i="28"/>
  <c r="I171" i="28"/>
  <c r="H171" i="28"/>
  <c r="G171" i="28"/>
  <c r="F171" i="28"/>
  <c r="E171" i="28"/>
  <c r="BX169" i="28"/>
  <c r="BW169" i="28"/>
  <c r="BW174" i="28" s="1"/>
  <c r="BV169" i="28"/>
  <c r="BV174" i="28" s="1"/>
  <c r="BU169" i="28"/>
  <c r="BU174" i="28" s="1"/>
  <c r="BT169" i="28"/>
  <c r="BS169" i="28"/>
  <c r="BS174" i="28" s="1"/>
  <c r="BR169" i="28"/>
  <c r="BR174" i="28" s="1"/>
  <c r="BQ169" i="28"/>
  <c r="BP169" i="28"/>
  <c r="BO169" i="28"/>
  <c r="BO174" i="28" s="1"/>
  <c r="BN169" i="28"/>
  <c r="BN174" i="28" s="1"/>
  <c r="BM169" i="28"/>
  <c r="BM174" i="28" s="1"/>
  <c r="BL169" i="28"/>
  <c r="BK169" i="28"/>
  <c r="BK174" i="28" s="1"/>
  <c r="BJ169" i="28"/>
  <c r="BJ174" i="28" s="1"/>
  <c r="BI169" i="28"/>
  <c r="BH169" i="28"/>
  <c r="BG169" i="28"/>
  <c r="BG174" i="28" s="1"/>
  <c r="BF169" i="28"/>
  <c r="BF174" i="28" s="1"/>
  <c r="BE169" i="28"/>
  <c r="BE174" i="28" s="1"/>
  <c r="BD169" i="28"/>
  <c r="BC169" i="28"/>
  <c r="BC174" i="28" s="1"/>
  <c r="BB169" i="28"/>
  <c r="BB174" i="28" s="1"/>
  <c r="BA169" i="28"/>
  <c r="AZ169" i="28"/>
  <c r="AY169" i="28"/>
  <c r="AY174" i="28" s="1"/>
  <c r="AX169" i="28"/>
  <c r="AX174" i="28" s="1"/>
  <c r="AW169" i="28"/>
  <c r="AW174" i="28" s="1"/>
  <c r="AV169" i="28"/>
  <c r="AU169" i="28"/>
  <c r="AU174" i="28" s="1"/>
  <c r="AT169" i="28"/>
  <c r="AT174" i="28" s="1"/>
  <c r="AS169" i="28"/>
  <c r="AR169" i="28"/>
  <c r="AQ169" i="28"/>
  <c r="AQ174" i="28" s="1"/>
  <c r="AP169" i="28"/>
  <c r="AP174" i="28" s="1"/>
  <c r="AO169" i="28"/>
  <c r="AO174" i="28" s="1"/>
  <c r="AN169" i="28"/>
  <c r="AM169" i="28"/>
  <c r="AM174" i="28" s="1"/>
  <c r="AL169" i="28"/>
  <c r="AL174" i="28" s="1"/>
  <c r="AK169" i="28"/>
  <c r="AE169" i="28"/>
  <c r="AD169" i="28"/>
  <c r="AD174" i="28" s="1"/>
  <c r="AC169" i="28"/>
  <c r="AC174" i="28" s="1"/>
  <c r="AB169" i="28"/>
  <c r="AB174" i="28" s="1"/>
  <c r="AB175" i="28" s="1"/>
  <c r="Z169" i="28"/>
  <c r="Y169" i="28"/>
  <c r="Y174" i="28" s="1"/>
  <c r="X169" i="28"/>
  <c r="X174" i="28" s="1"/>
  <c r="W169" i="28"/>
  <c r="V169" i="28"/>
  <c r="U169" i="28"/>
  <c r="U174" i="28" s="1"/>
  <c r="T169" i="28"/>
  <c r="S169" i="28"/>
  <c r="S174" i="28" s="1"/>
  <c r="R169" i="28"/>
  <c r="Q169" i="28"/>
  <c r="Q174" i="28" s="1"/>
  <c r="P169" i="28"/>
  <c r="P174" i="28" s="1"/>
  <c r="O169" i="28"/>
  <c r="N169" i="28"/>
  <c r="M169" i="28"/>
  <c r="M174" i="28" s="1"/>
  <c r="L169" i="28"/>
  <c r="L174" i="28" s="1"/>
  <c r="K169" i="28"/>
  <c r="K174" i="28" s="1"/>
  <c r="J169" i="28"/>
  <c r="I169" i="28"/>
  <c r="I174" i="28" s="1"/>
  <c r="H169" i="28"/>
  <c r="H174" i="28" s="1"/>
  <c r="G169" i="28"/>
  <c r="F169" i="28"/>
  <c r="E169" i="28"/>
  <c r="E174" i="28" s="1"/>
  <c r="D162" i="28"/>
  <c r="T156" i="28"/>
  <c r="BX155" i="28"/>
  <c r="BW155" i="28"/>
  <c r="BV155" i="28"/>
  <c r="BU155" i="28"/>
  <c r="BT155" i="28"/>
  <c r="BS155" i="28"/>
  <c r="BR155" i="28"/>
  <c r="BQ155" i="28"/>
  <c r="BP155" i="28"/>
  <c r="BO155" i="28"/>
  <c r="BN155" i="28"/>
  <c r="BM155" i="28"/>
  <c r="BL155" i="28"/>
  <c r="BK155" i="28"/>
  <c r="BJ155" i="28"/>
  <c r="BI155" i="28"/>
  <c r="BH155" i="28"/>
  <c r="BG155" i="28"/>
  <c r="BF155" i="28"/>
  <c r="BE155" i="28"/>
  <c r="BD155" i="28"/>
  <c r="BC155" i="28"/>
  <c r="BB155" i="28"/>
  <c r="BA155" i="28"/>
  <c r="AZ155" i="28"/>
  <c r="AY155" i="28"/>
  <c r="AX155" i="28"/>
  <c r="AW155" i="28"/>
  <c r="AV155" i="28"/>
  <c r="AU155" i="28"/>
  <c r="AT155" i="28"/>
  <c r="AS155" i="28"/>
  <c r="AR155" i="28"/>
  <c r="AQ155" i="28"/>
  <c r="AP155" i="28"/>
  <c r="AO155" i="28"/>
  <c r="AN155" i="28"/>
  <c r="AM155" i="28"/>
  <c r="AL155" i="28"/>
  <c r="AK155" i="28"/>
  <c r="AE155" i="28"/>
  <c r="AD155" i="28"/>
  <c r="AC155" i="28"/>
  <c r="AB155" i="28"/>
  <c r="Z155" i="28"/>
  <c r="Y155" i="28"/>
  <c r="X155" i="28"/>
  <c r="W155" i="28"/>
  <c r="V155" i="28"/>
  <c r="U155" i="28"/>
  <c r="T155" i="28"/>
  <c r="S155" i="28"/>
  <c r="R155" i="28"/>
  <c r="Q155" i="28"/>
  <c r="P155" i="28"/>
  <c r="O155" i="28"/>
  <c r="N155" i="28"/>
  <c r="M155" i="28"/>
  <c r="L155" i="28"/>
  <c r="K155" i="28"/>
  <c r="K158" i="28" s="1"/>
  <c r="J155" i="28"/>
  <c r="I155" i="28"/>
  <c r="I158" i="28" s="1"/>
  <c r="H155" i="28"/>
  <c r="G155" i="28"/>
  <c r="F155" i="28"/>
  <c r="E155" i="28"/>
  <c r="BX153" i="28"/>
  <c r="BW153" i="28"/>
  <c r="BV153" i="28"/>
  <c r="BU153" i="28"/>
  <c r="BU158" i="28" s="1"/>
  <c r="BT153" i="28"/>
  <c r="BT158" i="28" s="1"/>
  <c r="BS153" i="28"/>
  <c r="BS158" i="28" s="1"/>
  <c r="BR153" i="28"/>
  <c r="BQ153" i="28"/>
  <c r="BQ158" i="28" s="1"/>
  <c r="BP153" i="28"/>
  <c r="BP158" i="28" s="1"/>
  <c r="BO153" i="28"/>
  <c r="BN153" i="28"/>
  <c r="BM153" i="28"/>
  <c r="BM158" i="28" s="1"/>
  <c r="BL153" i="28"/>
  <c r="BL158" i="28" s="1"/>
  <c r="BK153" i="28"/>
  <c r="BK158" i="28" s="1"/>
  <c r="BJ153" i="28"/>
  <c r="BI153" i="28"/>
  <c r="BI158" i="28" s="1"/>
  <c r="BH153" i="28"/>
  <c r="BH158" i="28" s="1"/>
  <c r="BG153" i="28"/>
  <c r="BF153" i="28"/>
  <c r="BE153" i="28"/>
  <c r="BE158" i="28" s="1"/>
  <c r="BD153" i="28"/>
  <c r="BD158" i="28" s="1"/>
  <c r="BC153" i="28"/>
  <c r="BC158" i="28" s="1"/>
  <c r="BB153" i="28"/>
  <c r="BA153" i="28"/>
  <c r="BA158" i="28" s="1"/>
  <c r="AZ153" i="28"/>
  <c r="AZ158" i="28" s="1"/>
  <c r="AY153" i="28"/>
  <c r="AX153" i="28"/>
  <c r="AW153" i="28"/>
  <c r="AW158" i="28" s="1"/>
  <c r="AV153" i="28"/>
  <c r="AV158" i="28" s="1"/>
  <c r="AU153" i="28"/>
  <c r="AU158" i="28" s="1"/>
  <c r="AT153" i="28"/>
  <c r="AS153" i="28"/>
  <c r="AS158" i="28" s="1"/>
  <c r="AR153" i="28"/>
  <c r="AR158" i="28" s="1"/>
  <c r="AQ153" i="28"/>
  <c r="AP153" i="28"/>
  <c r="AO153" i="28"/>
  <c r="AO158" i="28" s="1"/>
  <c r="AN153" i="28"/>
  <c r="AN158" i="28" s="1"/>
  <c r="AM153" i="28"/>
  <c r="AM158" i="28" s="1"/>
  <c r="AL153" i="28"/>
  <c r="AK153" i="28"/>
  <c r="AK158" i="28" s="1"/>
  <c r="AK159" i="28" s="1"/>
  <c r="AE153" i="28"/>
  <c r="AE158" i="28" s="1"/>
  <c r="AD153" i="28"/>
  <c r="AC153" i="28"/>
  <c r="AB153" i="28"/>
  <c r="AB158" i="28" s="1"/>
  <c r="AB159" i="28" s="1"/>
  <c r="Z153" i="28"/>
  <c r="Z158" i="28" s="1"/>
  <c r="Y153" i="28"/>
  <c r="Y158" i="28" s="1"/>
  <c r="X153" i="28"/>
  <c r="W153" i="28"/>
  <c r="W158" i="28" s="1"/>
  <c r="V153" i="28"/>
  <c r="V158" i="28" s="1"/>
  <c r="S153" i="28"/>
  <c r="S158" i="28" s="1"/>
  <c r="P153" i="28"/>
  <c r="O153" i="28"/>
  <c r="N153" i="28"/>
  <c r="N158" i="28" s="1"/>
  <c r="M153" i="28"/>
  <c r="J153" i="28"/>
  <c r="J158" i="28" s="1"/>
  <c r="H153" i="28"/>
  <c r="G153" i="28"/>
  <c r="G158" i="28" s="1"/>
  <c r="F153" i="28"/>
  <c r="E153" i="28"/>
  <c r="D146" i="28"/>
  <c r="BX139" i="28"/>
  <c r="BW139" i="28"/>
  <c r="BV139" i="28"/>
  <c r="BU139" i="28"/>
  <c r="BT139" i="28"/>
  <c r="BS139" i="28"/>
  <c r="BR139" i="28"/>
  <c r="BQ139" i="28"/>
  <c r="BP139" i="28"/>
  <c r="BO139" i="28"/>
  <c r="BN139" i="28"/>
  <c r="BM139" i="28"/>
  <c r="BL139" i="28"/>
  <c r="BK139" i="28"/>
  <c r="BJ139" i="28"/>
  <c r="BI139" i="28"/>
  <c r="BH139" i="28"/>
  <c r="BG139" i="28"/>
  <c r="BF139" i="28"/>
  <c r="BE139" i="28"/>
  <c r="BD139" i="28"/>
  <c r="BC139" i="28"/>
  <c r="BB139" i="28"/>
  <c r="BA139" i="28"/>
  <c r="AZ139" i="28"/>
  <c r="AY139" i="28"/>
  <c r="AX139" i="28"/>
  <c r="AW139" i="28"/>
  <c r="AV139" i="28"/>
  <c r="AU139" i="28"/>
  <c r="AT139" i="28"/>
  <c r="AS139" i="28"/>
  <c r="AR139" i="28"/>
  <c r="AQ139" i="28"/>
  <c r="AP139" i="28"/>
  <c r="AO139" i="28"/>
  <c r="AN139" i="28"/>
  <c r="AM139" i="28"/>
  <c r="AL139" i="28"/>
  <c r="AK139" i="28"/>
  <c r="AE139" i="28"/>
  <c r="AD139" i="28"/>
  <c r="AC139" i="28"/>
  <c r="Z139" i="28"/>
  <c r="Y139" i="28"/>
  <c r="X139" i="28"/>
  <c r="W139" i="28"/>
  <c r="V139" i="28"/>
  <c r="U139" i="28"/>
  <c r="T139" i="28"/>
  <c r="S139" i="28"/>
  <c r="R139" i="28"/>
  <c r="Q139" i="28"/>
  <c r="P139" i="28"/>
  <c r="O139" i="28"/>
  <c r="N139" i="28"/>
  <c r="M139" i="28"/>
  <c r="L139" i="28"/>
  <c r="K139" i="28"/>
  <c r="J139" i="28"/>
  <c r="I139" i="28"/>
  <c r="H139" i="28"/>
  <c r="G139" i="28"/>
  <c r="F139" i="28"/>
  <c r="E139" i="28"/>
  <c r="BX137" i="28"/>
  <c r="BW137" i="28"/>
  <c r="BV137" i="28"/>
  <c r="BV142" i="28" s="1"/>
  <c r="BU137" i="28"/>
  <c r="BT137" i="28"/>
  <c r="BS137" i="28"/>
  <c r="BS142" i="28" s="1"/>
  <c r="BR137" i="28"/>
  <c r="BR142" i="28" s="1"/>
  <c r="BQ137" i="28"/>
  <c r="BQ142" i="28" s="1"/>
  <c r="BP137" i="28"/>
  <c r="BO137" i="28"/>
  <c r="BN137" i="28"/>
  <c r="BN142" i="28" s="1"/>
  <c r="BM137" i="28"/>
  <c r="BL137" i="28"/>
  <c r="BK137" i="28"/>
  <c r="BK142" i="28" s="1"/>
  <c r="BJ137" i="28"/>
  <c r="BJ142" i="28" s="1"/>
  <c r="BI137" i="28"/>
  <c r="BI142" i="28" s="1"/>
  <c r="BH137" i="28"/>
  <c r="BG137" i="28"/>
  <c r="BF137" i="28"/>
  <c r="BF142" i="28" s="1"/>
  <c r="BE137" i="28"/>
  <c r="BD137" i="28"/>
  <c r="BC137" i="28"/>
  <c r="BC142" i="28" s="1"/>
  <c r="BB137" i="28"/>
  <c r="BB142" i="28" s="1"/>
  <c r="BA137" i="28"/>
  <c r="BA142" i="28" s="1"/>
  <c r="AZ137" i="28"/>
  <c r="AY137" i="28"/>
  <c r="AX137" i="28"/>
  <c r="AX142" i="28" s="1"/>
  <c r="AW137" i="28"/>
  <c r="AV137" i="28"/>
  <c r="AU137" i="28"/>
  <c r="AU142" i="28" s="1"/>
  <c r="AT137" i="28"/>
  <c r="AT142" i="28" s="1"/>
  <c r="AS137" i="28"/>
  <c r="AS142" i="28" s="1"/>
  <c r="AR137" i="28"/>
  <c r="AQ137" i="28"/>
  <c r="AP137" i="28"/>
  <c r="AP142" i="28" s="1"/>
  <c r="AO137" i="28"/>
  <c r="AN137" i="28"/>
  <c r="AM137" i="28"/>
  <c r="AM142" i="28" s="1"/>
  <c r="AL137" i="28"/>
  <c r="AL142" i="28" s="1"/>
  <c r="AK137" i="28"/>
  <c r="AK142" i="28" s="1"/>
  <c r="AK143" i="28" s="1"/>
  <c r="AL143" i="28" s="1"/>
  <c r="AM143" i="28" s="1"/>
  <c r="AE137" i="28"/>
  <c r="AD137" i="28"/>
  <c r="AC137" i="28"/>
  <c r="AC142" i="28" s="1"/>
  <c r="Z137" i="28"/>
  <c r="Y137" i="28"/>
  <c r="X137" i="28"/>
  <c r="X142" i="28" s="1"/>
  <c r="W137" i="28"/>
  <c r="W142" i="28" s="1"/>
  <c r="U137" i="28"/>
  <c r="U142" i="28" s="1"/>
  <c r="T137" i="28"/>
  <c r="S137" i="28"/>
  <c r="S142" i="28" s="1"/>
  <c r="Q137" i="28"/>
  <c r="Q142" i="28" s="1"/>
  <c r="P137" i="28"/>
  <c r="P142" i="28" s="1"/>
  <c r="N137" i="28"/>
  <c r="K137" i="28"/>
  <c r="J137" i="28"/>
  <c r="I137" i="28"/>
  <c r="I142" i="28" s="1"/>
  <c r="H137" i="28"/>
  <c r="H142" i="28" s="1"/>
  <c r="G137" i="28"/>
  <c r="G142" i="28" s="1"/>
  <c r="F137" i="28"/>
  <c r="F142" i="28" s="1"/>
  <c r="E137" i="28"/>
  <c r="Z134" i="28"/>
  <c r="Y134" i="28"/>
  <c r="X134" i="28"/>
  <c r="W134" i="28"/>
  <c r="U134" i="28"/>
  <c r="T134" i="28"/>
  <c r="S134" i="28"/>
  <c r="Q134" i="28"/>
  <c r="P134" i="28"/>
  <c r="N134" i="28"/>
  <c r="K134" i="28"/>
  <c r="J134" i="28"/>
  <c r="I134" i="28"/>
  <c r="BX121" i="28"/>
  <c r="BW121" i="28"/>
  <c r="BV121" i="28"/>
  <c r="BU121" i="28"/>
  <c r="BT121" i="28"/>
  <c r="BS121" i="28"/>
  <c r="BR121" i="28"/>
  <c r="BQ121" i="28"/>
  <c r="BP121" i="28"/>
  <c r="BO121" i="28"/>
  <c r="BN121" i="28"/>
  <c r="BM121" i="28"/>
  <c r="BL121" i="28"/>
  <c r="BK121" i="28"/>
  <c r="BJ121" i="28"/>
  <c r="BI121" i="28"/>
  <c r="BH121" i="28"/>
  <c r="BG121" i="28"/>
  <c r="BF121" i="28"/>
  <c r="BE121" i="28"/>
  <c r="BD121" i="28"/>
  <c r="BC121" i="28"/>
  <c r="BB121" i="28"/>
  <c r="BA121" i="28"/>
  <c r="AZ121" i="28"/>
  <c r="AY121" i="28"/>
  <c r="AX121" i="28"/>
  <c r="AW121" i="28"/>
  <c r="AV121" i="28"/>
  <c r="AU121" i="28"/>
  <c r="AT121" i="28"/>
  <c r="AS121" i="28"/>
  <c r="AR121" i="28"/>
  <c r="AQ121" i="28"/>
  <c r="AP121" i="28"/>
  <c r="AO121" i="28"/>
  <c r="AN121" i="28"/>
  <c r="AM121" i="28"/>
  <c r="AL121" i="28"/>
  <c r="AK121" i="28"/>
  <c r="AJ121" i="28"/>
  <c r="AI121" i="28"/>
  <c r="AH121" i="28"/>
  <c r="AG121" i="28"/>
  <c r="AF121" i="28"/>
  <c r="AE121" i="28"/>
  <c r="AD121" i="28"/>
  <c r="AC121" i="28"/>
  <c r="AA121" i="28"/>
  <c r="Z121" i="28"/>
  <c r="Y121" i="28"/>
  <c r="X121" i="28"/>
  <c r="W121" i="28"/>
  <c r="V121" i="28"/>
  <c r="U121" i="28"/>
  <c r="T121" i="28"/>
  <c r="S121" i="28"/>
  <c r="R121" i="28"/>
  <c r="Q121" i="28"/>
  <c r="P121" i="28"/>
  <c r="O121" i="28"/>
  <c r="N121" i="28"/>
  <c r="M121" i="28"/>
  <c r="L121" i="28"/>
  <c r="K121" i="28"/>
  <c r="J121" i="28"/>
  <c r="I121" i="28"/>
  <c r="H121" i="28"/>
  <c r="G121" i="28"/>
  <c r="F121" i="28"/>
  <c r="E121" i="28"/>
  <c r="X120" i="28"/>
  <c r="O120" i="28"/>
  <c r="BX119" i="28"/>
  <c r="BW119" i="28"/>
  <c r="BV119" i="28"/>
  <c r="BU119" i="28"/>
  <c r="BU125" i="28" s="1"/>
  <c r="BT119" i="28"/>
  <c r="BT125" i="28" s="1"/>
  <c r="BS119" i="28"/>
  <c r="BS125" i="28" s="1"/>
  <c r="BR119" i="28"/>
  <c r="BQ119" i="28"/>
  <c r="BQ125" i="28" s="1"/>
  <c r="BP119" i="28"/>
  <c r="BP125" i="28" s="1"/>
  <c r="BO119" i="28"/>
  <c r="BN119" i="28"/>
  <c r="BM119" i="28"/>
  <c r="BM125" i="28" s="1"/>
  <c r="BL119" i="28"/>
  <c r="BL125" i="28" s="1"/>
  <c r="BK119" i="28"/>
  <c r="BK125" i="28" s="1"/>
  <c r="BJ119" i="28"/>
  <c r="BI119" i="28"/>
  <c r="BI125" i="28" s="1"/>
  <c r="BH119" i="28"/>
  <c r="BH125" i="28" s="1"/>
  <c r="BG119" i="28"/>
  <c r="BF119" i="28"/>
  <c r="BE119" i="28"/>
  <c r="BE125" i="28" s="1"/>
  <c r="BD119" i="28"/>
  <c r="BD125" i="28" s="1"/>
  <c r="BC119" i="28"/>
  <c r="BC125" i="28" s="1"/>
  <c r="BB119" i="28"/>
  <c r="BA119" i="28"/>
  <c r="BA125" i="28" s="1"/>
  <c r="AZ119" i="28"/>
  <c r="AZ125" i="28" s="1"/>
  <c r="AY119" i="28"/>
  <c r="AX119" i="28"/>
  <c r="AW119" i="28"/>
  <c r="AW125" i="28" s="1"/>
  <c r="AV119" i="28"/>
  <c r="AV125" i="28" s="1"/>
  <c r="AU119" i="28"/>
  <c r="AU125" i="28" s="1"/>
  <c r="AT119" i="28"/>
  <c r="AS119" i="28"/>
  <c r="AS125" i="28" s="1"/>
  <c r="AR119" i="28"/>
  <c r="AR125" i="28" s="1"/>
  <c r="AQ119" i="28"/>
  <c r="AP119" i="28"/>
  <c r="AO119" i="28"/>
  <c r="AO125" i="28" s="1"/>
  <c r="AN119" i="28"/>
  <c r="AN125" i="28" s="1"/>
  <c r="AM119" i="28"/>
  <c r="AM125" i="28" s="1"/>
  <c r="AL119" i="28"/>
  <c r="AK119" i="28"/>
  <c r="AK125" i="28" s="1"/>
  <c r="AJ119" i="28"/>
  <c r="AJ125" i="28" s="1"/>
  <c r="AI119" i="28"/>
  <c r="AH119" i="28"/>
  <c r="AG119" i="28"/>
  <c r="AG125" i="28" s="1"/>
  <c r="AF119" i="28"/>
  <c r="AF125" i="28" s="1"/>
  <c r="AE119" i="28"/>
  <c r="AE125" i="28" s="1"/>
  <c r="AD119" i="28"/>
  <c r="AC119" i="28"/>
  <c r="AC125" i="28" s="1"/>
  <c r="AA119" i="28"/>
  <c r="AA125" i="28" s="1"/>
  <c r="Z119" i="28"/>
  <c r="Y119" i="28"/>
  <c r="X119" i="28"/>
  <c r="W119" i="28"/>
  <c r="W125" i="28" s="1"/>
  <c r="U119" i="28"/>
  <c r="T119" i="28"/>
  <c r="S119" i="28"/>
  <c r="S125" i="28" s="1"/>
  <c r="Q119" i="28"/>
  <c r="Q125" i="28" s="1"/>
  <c r="P119" i="28"/>
  <c r="P125" i="28" s="1"/>
  <c r="N119" i="28"/>
  <c r="N125" i="28" s="1"/>
  <c r="K119" i="28"/>
  <c r="J119" i="28"/>
  <c r="I119" i="28"/>
  <c r="H119" i="28"/>
  <c r="H111" i="28" s="1"/>
  <c r="G119" i="28"/>
  <c r="G125" i="28" s="1"/>
  <c r="F119" i="28"/>
  <c r="F125" i="28" s="1"/>
  <c r="E119" i="28"/>
  <c r="BW111" i="28"/>
  <c r="BV111" i="28"/>
  <c r="BU111" i="28"/>
  <c r="BR111" i="28"/>
  <c r="BQ111" i="28"/>
  <c r="BO111" i="28"/>
  <c r="BN111" i="28"/>
  <c r="BJ111" i="28"/>
  <c r="BG111" i="28"/>
  <c r="BF111" i="28"/>
  <c r="BE111" i="28"/>
  <c r="AY111" i="28"/>
  <c r="AX111" i="28"/>
  <c r="AW111" i="28"/>
  <c r="AT111" i="28"/>
  <c r="AQ111" i="28"/>
  <c r="AP111" i="28"/>
  <c r="AO111" i="28"/>
  <c r="AN111" i="28"/>
  <c r="AL111" i="28"/>
  <c r="AI111" i="28"/>
  <c r="AH111" i="28"/>
  <c r="X111" i="28"/>
  <c r="P111" i="28"/>
  <c r="N111" i="28"/>
  <c r="K111" i="28"/>
  <c r="U105" i="28"/>
  <c r="T105" i="28"/>
  <c r="S105" i="28"/>
  <c r="R105" i="28"/>
  <c r="W104" i="28"/>
  <c r="U104" i="28"/>
  <c r="U106" i="28" s="1"/>
  <c r="T104" i="28"/>
  <c r="S104" i="28"/>
  <c r="R104" i="28"/>
  <c r="R103" i="28"/>
  <c r="G102" i="28"/>
  <c r="AA98" i="28"/>
  <c r="Z98" i="28"/>
  <c r="Y98" i="28"/>
  <c r="Y91" i="28" s="1"/>
  <c r="X98" i="28"/>
  <c r="W98" i="28"/>
  <c r="U98" i="28"/>
  <c r="T98" i="28"/>
  <c r="Q98" i="28"/>
  <c r="Q91" i="28" s="1"/>
  <c r="BY96" i="28"/>
  <c r="BY95" i="28"/>
  <c r="BY94" i="28"/>
  <c r="BX91" i="28"/>
  <c r="BW91" i="28"/>
  <c r="BV91" i="28"/>
  <c r="BU91" i="28"/>
  <c r="BT91" i="28"/>
  <c r="BS91" i="28"/>
  <c r="BR91" i="28"/>
  <c r="BQ91" i="28"/>
  <c r="BP91" i="28"/>
  <c r="BO91" i="28"/>
  <c r="BN91" i="28"/>
  <c r="BM91" i="28"/>
  <c r="BL91" i="28"/>
  <c r="BK91" i="28"/>
  <c r="BJ91" i="28"/>
  <c r="BI91" i="28"/>
  <c r="BH91" i="28"/>
  <c r="BG91" i="28"/>
  <c r="BF91" i="28"/>
  <c r="BE91" i="28"/>
  <c r="BD91" i="28"/>
  <c r="BC91" i="28"/>
  <c r="BB91" i="28"/>
  <c r="BA91" i="28"/>
  <c r="AZ91" i="28"/>
  <c r="AT91" i="28"/>
  <c r="AS91" i="28"/>
  <c r="AR91" i="28"/>
  <c r="AQ91" i="28"/>
  <c r="AP91" i="28"/>
  <c r="AN91" i="28"/>
  <c r="AM91" i="28"/>
  <c r="AL91" i="28"/>
  <c r="AK91" i="28"/>
  <c r="AJ91" i="28"/>
  <c r="AI91" i="28"/>
  <c r="AH91" i="28"/>
  <c r="AG91" i="28"/>
  <c r="AF91" i="28"/>
  <c r="AE91" i="28"/>
  <c r="AD91" i="28"/>
  <c r="AC91" i="28"/>
  <c r="X91" i="28"/>
  <c r="W91" i="28"/>
  <c r="V91" i="28"/>
  <c r="U91" i="28"/>
  <c r="T91" i="28"/>
  <c r="S91" i="28"/>
  <c r="R91" i="28"/>
  <c r="P91" i="28"/>
  <c r="O91" i="28"/>
  <c r="N91" i="28"/>
  <c r="M91" i="28"/>
  <c r="L91" i="28"/>
  <c r="K91" i="28"/>
  <c r="J91" i="28"/>
  <c r="I91" i="28"/>
  <c r="H91" i="28"/>
  <c r="G91" i="28"/>
  <c r="F91" i="28"/>
  <c r="E91" i="28"/>
  <c r="BY90" i="28"/>
  <c r="BY89" i="28"/>
  <c r="BY88" i="28" s="1"/>
  <c r="BX88" i="28"/>
  <c r="BW88" i="28"/>
  <c r="BV88" i="28"/>
  <c r="BU88" i="28"/>
  <c r="BT88" i="28"/>
  <c r="BS88" i="28"/>
  <c r="BR88" i="28"/>
  <c r="BQ88" i="28"/>
  <c r="BP88" i="28"/>
  <c r="BO88" i="28"/>
  <c r="BN88" i="28"/>
  <c r="BM88" i="28"/>
  <c r="BL88" i="28"/>
  <c r="BK88" i="28"/>
  <c r="BJ88" i="28"/>
  <c r="BI88" i="28"/>
  <c r="BH88" i="28"/>
  <c r="BG88" i="28"/>
  <c r="BF88" i="28"/>
  <c r="BE88" i="28"/>
  <c r="BD88" i="28"/>
  <c r="BC88" i="28"/>
  <c r="BB88" i="28"/>
  <c r="BA88" i="28"/>
  <c r="AZ88" i="28"/>
  <c r="AY88" i="28"/>
  <c r="AX88" i="28"/>
  <c r="AW88" i="28"/>
  <c r="AV88" i="28"/>
  <c r="AU88" i="28"/>
  <c r="AT88" i="28"/>
  <c r="AS88" i="28"/>
  <c r="AR88" i="28"/>
  <c r="AQ88" i="28"/>
  <c r="AP88" i="28"/>
  <c r="AO88" i="28"/>
  <c r="AN88" i="28"/>
  <c r="AM88" i="28"/>
  <c r="AL88" i="28"/>
  <c r="AK88" i="28"/>
  <c r="AJ88" i="28"/>
  <c r="AI88" i="28"/>
  <c r="AH88" i="28"/>
  <c r="AG88" i="28"/>
  <c r="AF88" i="28"/>
  <c r="AE88" i="28"/>
  <c r="AD88" i="28"/>
  <c r="AC88" i="28"/>
  <c r="AB88" i="28"/>
  <c r="AA88" i="28"/>
  <c r="Z88" i="28"/>
  <c r="Y88" i="28"/>
  <c r="X88" i="28"/>
  <c r="W88" i="28"/>
  <c r="V88" i="28"/>
  <c r="U88" i="28"/>
  <c r="T88" i="28"/>
  <c r="S88" i="28"/>
  <c r="R88" i="28"/>
  <c r="Q88" i="28"/>
  <c r="P88" i="28"/>
  <c r="O88" i="28"/>
  <c r="N88" i="28"/>
  <c r="M88" i="28"/>
  <c r="L88" i="28"/>
  <c r="K88" i="28"/>
  <c r="J88" i="28"/>
  <c r="I88" i="28"/>
  <c r="H88" i="28"/>
  <c r="G88" i="28"/>
  <c r="F88" i="28"/>
  <c r="E88" i="28"/>
  <c r="BY86" i="28"/>
  <c r="BY85" i="28"/>
  <c r="BY84" i="28"/>
  <c r="BY83" i="28"/>
  <c r="BY82" i="28"/>
  <c r="T81" i="28"/>
  <c r="S81" i="28"/>
  <c r="BY80" i="28"/>
  <c r="BY79" i="28"/>
  <c r="BY78" i="28"/>
  <c r="BY77" i="28"/>
  <c r="BY76" i="28"/>
  <c r="BY75" i="28"/>
  <c r="BY74" i="28"/>
  <c r="U73" i="28"/>
  <c r="BY73" i="28" s="1"/>
  <c r="BY72" i="28"/>
  <c r="BY71" i="28"/>
  <c r="BY70" i="28"/>
  <c r="BY69" i="28"/>
  <c r="BY68" i="28"/>
  <c r="BY67" i="28"/>
  <c r="BY66" i="28"/>
  <c r="BY65" i="28"/>
  <c r="BX64" i="28"/>
  <c r="BW64" i="28"/>
  <c r="BV64" i="28"/>
  <c r="BU64" i="28"/>
  <c r="BT64" i="28"/>
  <c r="BS64" i="28"/>
  <c r="BR64" i="28"/>
  <c r="BQ64" i="28"/>
  <c r="BP64" i="28"/>
  <c r="BO64" i="28"/>
  <c r="BN64" i="28"/>
  <c r="BM64" i="28"/>
  <c r="BL64" i="28"/>
  <c r="BK64" i="28"/>
  <c r="BJ64" i="28"/>
  <c r="BI64" i="28"/>
  <c r="BH64" i="28"/>
  <c r="BG64" i="28"/>
  <c r="BF64" i="28"/>
  <c r="BE64" i="28"/>
  <c r="BD64" i="28"/>
  <c r="BC64" i="28"/>
  <c r="BB64" i="28"/>
  <c r="BA64" i="28"/>
  <c r="AN64" i="28"/>
  <c r="AM64" i="28"/>
  <c r="AL64" i="28"/>
  <c r="AK64" i="28"/>
  <c r="AJ64" i="28"/>
  <c r="AI64" i="28"/>
  <c r="AH64" i="28"/>
  <c r="AG64" i="28"/>
  <c r="AF64" i="28"/>
  <c r="AE64" i="28"/>
  <c r="AD64" i="28"/>
  <c r="AC64" i="28"/>
  <c r="Y64" i="28"/>
  <c r="X64" i="28"/>
  <c r="W64" i="28"/>
  <c r="T64" i="28"/>
  <c r="S64" i="28"/>
  <c r="R64" i="28"/>
  <c r="Q64" i="28"/>
  <c r="P64" i="28"/>
  <c r="O64" i="28"/>
  <c r="N64" i="28"/>
  <c r="M64" i="28"/>
  <c r="L64" i="28"/>
  <c r="K64" i="28"/>
  <c r="J64" i="28"/>
  <c r="I64" i="28"/>
  <c r="H64" i="28"/>
  <c r="G64" i="28"/>
  <c r="F64" i="28"/>
  <c r="E64" i="28"/>
  <c r="AB63" i="28"/>
  <c r="AA63" i="28"/>
  <c r="Z63" i="28"/>
  <c r="Y63" i="28"/>
  <c r="X63" i="28"/>
  <c r="W63" i="28"/>
  <c r="V63" i="28"/>
  <c r="U63" i="28"/>
  <c r="T63" i="28"/>
  <c r="S63" i="28"/>
  <c r="R63" i="28"/>
  <c r="Q63" i="28"/>
  <c r="P63" i="28"/>
  <c r="O63" i="28"/>
  <c r="N63" i="28"/>
  <c r="M63" i="28"/>
  <c r="Z62" i="28"/>
  <c r="Y62" i="28"/>
  <c r="Y56" i="28" s="1"/>
  <c r="X62" i="28"/>
  <c r="X9" i="28" s="1"/>
  <c r="W62" i="28"/>
  <c r="V62" i="28"/>
  <c r="BY61" i="28"/>
  <c r="BY60" i="28"/>
  <c r="BY59" i="28"/>
  <c r="BX56" i="28"/>
  <c r="BW56" i="28"/>
  <c r="BV56" i="28"/>
  <c r="BU56" i="28"/>
  <c r="BT56" i="28"/>
  <c r="BS56" i="28"/>
  <c r="BR56" i="28"/>
  <c r="BQ56" i="28"/>
  <c r="BP56" i="28"/>
  <c r="BO56" i="28"/>
  <c r="BN56" i="28"/>
  <c r="BM56" i="28"/>
  <c r="BL56" i="28"/>
  <c r="BK56" i="28"/>
  <c r="BJ56" i="28"/>
  <c r="BI56" i="28"/>
  <c r="BH56" i="28"/>
  <c r="BG56" i="28"/>
  <c r="BF56" i="28"/>
  <c r="BE56" i="28"/>
  <c r="BD56" i="28"/>
  <c r="BC56" i="28"/>
  <c r="BB56" i="28"/>
  <c r="BA56" i="28"/>
  <c r="AN56" i="28"/>
  <c r="AM56" i="28"/>
  <c r="AL56" i="28"/>
  <c r="AK56" i="28"/>
  <c r="AJ56" i="28"/>
  <c r="AI56" i="28"/>
  <c r="AH56" i="28"/>
  <c r="AG56" i="28"/>
  <c r="AF56" i="28"/>
  <c r="AE56" i="28"/>
  <c r="AD56" i="28"/>
  <c r="AC56" i="28"/>
  <c r="Z56" i="28"/>
  <c r="W56" i="28"/>
  <c r="V56" i="28"/>
  <c r="U56" i="28"/>
  <c r="T56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AA55" i="28"/>
  <c r="U55" i="28"/>
  <c r="T55" i="28"/>
  <c r="O55" i="28"/>
  <c r="I55" i="28"/>
  <c r="AB54" i="28"/>
  <c r="AA54" i="28"/>
  <c r="Z54" i="28"/>
  <c r="Y54" i="28"/>
  <c r="X54" i="28"/>
  <c r="W54" i="28"/>
  <c r="V54" i="28"/>
  <c r="U54" i="28"/>
  <c r="T54" i="28"/>
  <c r="S54" i="28"/>
  <c r="R54" i="28"/>
  <c r="Q54" i="28"/>
  <c r="P54" i="28"/>
  <c r="N54" i="28"/>
  <c r="N50" i="28" s="1"/>
  <c r="M54" i="28"/>
  <c r="M50" i="28" s="1"/>
  <c r="L54" i="28"/>
  <c r="K54" i="28"/>
  <c r="J54" i="28"/>
  <c r="J50" i="28" s="1"/>
  <c r="I54" i="28"/>
  <c r="I50" i="28" s="1"/>
  <c r="H54" i="28"/>
  <c r="BY53" i="28"/>
  <c r="BY52" i="28"/>
  <c r="BY51" i="28"/>
  <c r="BX50" i="28"/>
  <c r="BW50" i="28"/>
  <c r="BV50" i="28"/>
  <c r="BU50" i="28"/>
  <c r="BT50" i="28"/>
  <c r="BS50" i="28"/>
  <c r="BR50" i="28"/>
  <c r="BQ50" i="28"/>
  <c r="BP50" i="28"/>
  <c r="BO50" i="28"/>
  <c r="BN50" i="28"/>
  <c r="BM50" i="28"/>
  <c r="BL50" i="28"/>
  <c r="BK50" i="28"/>
  <c r="BJ50" i="28"/>
  <c r="BI50" i="28"/>
  <c r="BH50" i="28"/>
  <c r="BG50" i="28"/>
  <c r="BF50" i="28"/>
  <c r="BE50" i="28"/>
  <c r="BD50" i="28"/>
  <c r="BC50" i="28"/>
  <c r="BB50" i="28"/>
  <c r="BA50" i="28"/>
  <c r="AZ50" i="28"/>
  <c r="AY50" i="28"/>
  <c r="AX50" i="28"/>
  <c r="AW50" i="28"/>
  <c r="AV50" i="28"/>
  <c r="AU50" i="28"/>
  <c r="AT50" i="28"/>
  <c r="AS50" i="28"/>
  <c r="AR50" i="28"/>
  <c r="AQ50" i="28"/>
  <c r="AP50" i="28"/>
  <c r="AO50" i="28"/>
  <c r="AN50" i="28"/>
  <c r="AM50" i="28"/>
  <c r="AL50" i="28"/>
  <c r="AK50" i="28"/>
  <c r="AJ50" i="28"/>
  <c r="AI50" i="28"/>
  <c r="AH50" i="28"/>
  <c r="AG50" i="28"/>
  <c r="AF50" i="28"/>
  <c r="AE50" i="28"/>
  <c r="AD50" i="28"/>
  <c r="AC50" i="28"/>
  <c r="AB50" i="28"/>
  <c r="AA50" i="28"/>
  <c r="Z50" i="28"/>
  <c r="Y50" i="28"/>
  <c r="X50" i="28"/>
  <c r="W50" i="28"/>
  <c r="V50" i="28"/>
  <c r="S50" i="28"/>
  <c r="R50" i="28"/>
  <c r="Q50" i="28"/>
  <c r="P50" i="28"/>
  <c r="O50" i="28"/>
  <c r="L50" i="28"/>
  <c r="K50" i="28"/>
  <c r="H50" i="28"/>
  <c r="G50" i="28"/>
  <c r="F50" i="28"/>
  <c r="E50" i="28"/>
  <c r="V49" i="28"/>
  <c r="Q49" i="28"/>
  <c r="K49" i="28"/>
  <c r="AB48" i="28"/>
  <c r="AA48" i="28"/>
  <c r="U48" i="28"/>
  <c r="P47" i="28"/>
  <c r="K47" i="28"/>
  <c r="I47" i="28"/>
  <c r="H47" i="28"/>
  <c r="AB46" i="28"/>
  <c r="AA46" i="28"/>
  <c r="Z46" i="28"/>
  <c r="Y46" i="28"/>
  <c r="X46" i="28"/>
  <c r="W46" i="28"/>
  <c r="V46" i="28"/>
  <c r="U46" i="28"/>
  <c r="T46" i="28"/>
  <c r="S46" i="28"/>
  <c r="R46" i="28"/>
  <c r="Q46" i="28"/>
  <c r="P46" i="28"/>
  <c r="O46" i="28"/>
  <c r="N46" i="28"/>
  <c r="M46" i="28"/>
  <c r="L46" i="28"/>
  <c r="K46" i="28"/>
  <c r="J46" i="28"/>
  <c r="H46" i="28"/>
  <c r="AB45" i="28"/>
  <c r="R45" i="28"/>
  <c r="J45" i="28"/>
  <c r="H45" i="28"/>
  <c r="BY45" i="28" s="1"/>
  <c r="W44" i="28"/>
  <c r="W43" i="28" s="1"/>
  <c r="T44" i="28"/>
  <c r="T43" i="28" s="1"/>
  <c r="T38" i="28" s="1"/>
  <c r="S44" i="28"/>
  <c r="R44" i="28"/>
  <c r="Q44" i="28"/>
  <c r="P44" i="28"/>
  <c r="P43" i="28" s="1"/>
  <c r="O44" i="28"/>
  <c r="O43" i="28" s="1"/>
  <c r="N44" i="28"/>
  <c r="N43" i="28" s="1"/>
  <c r="N38" i="28" s="1"/>
  <c r="M44" i="28"/>
  <c r="M43" i="28" s="1"/>
  <c r="L44" i="28"/>
  <c r="L43" i="28" s="1"/>
  <c r="K44" i="28"/>
  <c r="I44" i="28"/>
  <c r="H44" i="28"/>
  <c r="AC43" i="28"/>
  <c r="AC38" i="28" s="1"/>
  <c r="S43" i="28"/>
  <c r="R43" i="28"/>
  <c r="Q43" i="28"/>
  <c r="K43" i="28"/>
  <c r="J43" i="28"/>
  <c r="I43" i="28"/>
  <c r="BY42" i="28"/>
  <c r="BY41" i="28"/>
  <c r="BY40" i="28"/>
  <c r="AA39" i="28"/>
  <c r="Z39" i="28"/>
  <c r="Y39" i="28"/>
  <c r="X39" i="28"/>
  <c r="W39" i="28"/>
  <c r="V39" i="28"/>
  <c r="R39" i="28"/>
  <c r="P39" i="28"/>
  <c r="O39" i="28"/>
  <c r="O38" i="28" s="1"/>
  <c r="M39" i="28"/>
  <c r="L39" i="28"/>
  <c r="J39" i="28"/>
  <c r="J38" i="28" s="1"/>
  <c r="I39" i="28"/>
  <c r="BX38" i="28"/>
  <c r="BW38" i="28"/>
  <c r="BV38" i="28"/>
  <c r="BU38" i="28"/>
  <c r="BT38" i="28"/>
  <c r="BS38" i="28"/>
  <c r="BR38" i="28"/>
  <c r="BQ38" i="28"/>
  <c r="BP38" i="28"/>
  <c r="BO38" i="28"/>
  <c r="BN38" i="28"/>
  <c r="BM38" i="28"/>
  <c r="BL38" i="28"/>
  <c r="BK38" i="28"/>
  <c r="BJ38" i="28"/>
  <c r="BI38" i="28"/>
  <c r="BH38" i="28"/>
  <c r="BG38" i="28"/>
  <c r="BF38" i="28"/>
  <c r="BE38" i="28"/>
  <c r="BD38" i="28"/>
  <c r="BC38" i="28"/>
  <c r="BB38" i="28"/>
  <c r="AM38" i="28"/>
  <c r="AL38" i="28"/>
  <c r="AG38" i="28"/>
  <c r="AF38" i="28"/>
  <c r="AE38" i="28"/>
  <c r="AD38" i="28"/>
  <c r="S38" i="28"/>
  <c r="Q38" i="28"/>
  <c r="K38" i="28"/>
  <c r="I38" i="28"/>
  <c r="G38" i="28"/>
  <c r="F38" i="28"/>
  <c r="E38" i="28"/>
  <c r="BY37" i="28"/>
  <c r="BY36" i="28"/>
  <c r="BY35" i="28" s="1"/>
  <c r="BX35" i="28"/>
  <c r="BW35" i="28"/>
  <c r="BV35" i="28"/>
  <c r="BU35" i="28"/>
  <c r="BT35" i="28"/>
  <c r="BS35" i="28"/>
  <c r="BR35" i="28"/>
  <c r="BQ35" i="28"/>
  <c r="BP35" i="28"/>
  <c r="BO35" i="28"/>
  <c r="BN35" i="28"/>
  <c r="BM35" i="28"/>
  <c r="BL35" i="28"/>
  <c r="BK35" i="28"/>
  <c r="BJ35" i="28"/>
  <c r="BI35" i="28"/>
  <c r="BH35" i="28"/>
  <c r="BG35" i="28"/>
  <c r="BF35" i="28"/>
  <c r="BE35" i="28"/>
  <c r="BD35" i="28"/>
  <c r="BC35" i="28"/>
  <c r="BB35" i="28"/>
  <c r="BA35" i="28"/>
  <c r="AZ35" i="28"/>
  <c r="AY35" i="28"/>
  <c r="AX35" i="28"/>
  <c r="AW35" i="28"/>
  <c r="AV35" i="28"/>
  <c r="AU35" i="28"/>
  <c r="AT35" i="28"/>
  <c r="AS35" i="28"/>
  <c r="AR35" i="28"/>
  <c r="AQ35" i="28"/>
  <c r="AP35" i="28"/>
  <c r="AO35" i="28"/>
  <c r="AN35" i="28"/>
  <c r="AM35" i="28"/>
  <c r="AL35" i="28"/>
  <c r="AK35" i="28"/>
  <c r="AJ35" i="28"/>
  <c r="AI35" i="28"/>
  <c r="AH35" i="28"/>
  <c r="AG35" i="28"/>
  <c r="AF35" i="28"/>
  <c r="AE35" i="28"/>
  <c r="AD35" i="28"/>
  <c r="AC35" i="28"/>
  <c r="AB35" i="28"/>
  <c r="AA35" i="28"/>
  <c r="Z35" i="28"/>
  <c r="Y35" i="28"/>
  <c r="X35" i="28"/>
  <c r="W35" i="28"/>
  <c r="V35" i="28"/>
  <c r="U35" i="28"/>
  <c r="T35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X33" i="28"/>
  <c r="I33" i="28"/>
  <c r="BY33" i="28" s="1"/>
  <c r="AA32" i="28"/>
  <c r="Z32" i="28"/>
  <c r="Y32" i="28"/>
  <c r="X32" i="28"/>
  <c r="W32" i="28"/>
  <c r="P32" i="28"/>
  <c r="O32" i="28"/>
  <c r="N32" i="28"/>
  <c r="H32" i="28"/>
  <c r="BY31" i="28"/>
  <c r="BY30" i="28"/>
  <c r="BY29" i="28"/>
  <c r="AA28" i="28"/>
  <c r="R28" i="28"/>
  <c r="P28" i="28"/>
  <c r="O28" i="28"/>
  <c r="N28" i="28"/>
  <c r="M28" i="28"/>
  <c r="L28" i="28"/>
  <c r="BX27" i="28"/>
  <c r="BW27" i="28"/>
  <c r="BV27" i="28"/>
  <c r="BU27" i="28"/>
  <c r="BT27" i="28"/>
  <c r="BS27" i="28"/>
  <c r="BR27" i="28"/>
  <c r="BQ27" i="28"/>
  <c r="BP27" i="28"/>
  <c r="BO27" i="28"/>
  <c r="BN27" i="28"/>
  <c r="BM27" i="28"/>
  <c r="BL27" i="28"/>
  <c r="BK27" i="28"/>
  <c r="BJ27" i="28"/>
  <c r="BI27" i="28"/>
  <c r="BH27" i="28"/>
  <c r="BG27" i="28"/>
  <c r="BF27" i="28"/>
  <c r="BE27" i="28"/>
  <c r="BD27" i="28"/>
  <c r="BC27" i="28"/>
  <c r="BB27" i="28"/>
  <c r="BA27" i="28"/>
  <c r="AZ27" i="28"/>
  <c r="AY27" i="28"/>
  <c r="AX27" i="28"/>
  <c r="AW27" i="28"/>
  <c r="AV27" i="28"/>
  <c r="AU27" i="28"/>
  <c r="AT27" i="28"/>
  <c r="AS27" i="28"/>
  <c r="AR27" i="28"/>
  <c r="AQ27" i="28"/>
  <c r="AP27" i="28"/>
  <c r="AO27" i="28"/>
  <c r="AN27" i="28"/>
  <c r="AM27" i="28"/>
  <c r="AL27" i="28"/>
  <c r="AK27" i="28"/>
  <c r="AJ27" i="28"/>
  <c r="AI27" i="28"/>
  <c r="AH27" i="28"/>
  <c r="AG27" i="28"/>
  <c r="AF27" i="28"/>
  <c r="AE27" i="28"/>
  <c r="AD27" i="28"/>
  <c r="AC27" i="28"/>
  <c r="AB27" i="28"/>
  <c r="U27" i="28"/>
  <c r="T27" i="28"/>
  <c r="S27" i="28"/>
  <c r="R27" i="28"/>
  <c r="P27" i="28"/>
  <c r="O27" i="28"/>
  <c r="M27" i="28"/>
  <c r="L27" i="28"/>
  <c r="K27" i="28"/>
  <c r="J27" i="28"/>
  <c r="H27" i="28"/>
  <c r="G27" i="28"/>
  <c r="F27" i="28"/>
  <c r="E27" i="28"/>
  <c r="Y26" i="28"/>
  <c r="BY26" i="28" s="1"/>
  <c r="U25" i="28"/>
  <c r="U153" i="28" s="1"/>
  <c r="U158" i="28" s="1"/>
  <c r="R25" i="28"/>
  <c r="R153" i="28" s="1"/>
  <c r="R158" i="28" s="1"/>
  <c r="Q25" i="28"/>
  <c r="Q153" i="28" s="1"/>
  <c r="Q158" i="28" s="1"/>
  <c r="L25" i="28"/>
  <c r="L153" i="28" s="1"/>
  <c r="L158" i="28" s="1"/>
  <c r="I25" i="28"/>
  <c r="BX24" i="28"/>
  <c r="BW24" i="28"/>
  <c r="BV24" i="28"/>
  <c r="BU24" i="28"/>
  <c r="BT24" i="28"/>
  <c r="BS24" i="28"/>
  <c r="BR24" i="28"/>
  <c r="BQ24" i="28"/>
  <c r="BP24" i="28"/>
  <c r="BO24" i="28"/>
  <c r="BN24" i="28"/>
  <c r="BM24" i="28"/>
  <c r="BL24" i="28"/>
  <c r="BK24" i="28"/>
  <c r="BJ24" i="28"/>
  <c r="BI24" i="28"/>
  <c r="BH24" i="28"/>
  <c r="BG24" i="28"/>
  <c r="BF24" i="28"/>
  <c r="BE24" i="28"/>
  <c r="BD24" i="28"/>
  <c r="BC24" i="28"/>
  <c r="BB24" i="28"/>
  <c r="BA24" i="28"/>
  <c r="AZ24" i="28"/>
  <c r="AY24" i="28"/>
  <c r="AX24" i="28"/>
  <c r="AW24" i="28"/>
  <c r="AV24" i="28"/>
  <c r="AU24" i="28"/>
  <c r="AT24" i="28"/>
  <c r="AS24" i="28"/>
  <c r="AR24" i="28"/>
  <c r="AQ24" i="28"/>
  <c r="AP24" i="28"/>
  <c r="AO24" i="28"/>
  <c r="AN24" i="28"/>
  <c r="AM24" i="28"/>
  <c r="AL24" i="28"/>
  <c r="AK24" i="28"/>
  <c r="AJ24" i="28"/>
  <c r="AI24" i="28"/>
  <c r="AH24" i="28"/>
  <c r="AG24" i="28"/>
  <c r="AF24" i="28"/>
  <c r="AE24" i="28"/>
  <c r="AD24" i="28"/>
  <c r="AC24" i="28"/>
  <c r="AB24" i="28"/>
  <c r="AA24" i="28"/>
  <c r="Z24" i="28"/>
  <c r="Y24" i="28"/>
  <c r="X24" i="28"/>
  <c r="W24" i="28"/>
  <c r="V24" i="28"/>
  <c r="T24" i="28"/>
  <c r="S24" i="28"/>
  <c r="R24" i="28"/>
  <c r="Q24" i="28"/>
  <c r="P24" i="28"/>
  <c r="O24" i="28"/>
  <c r="N24" i="28"/>
  <c r="M24" i="28"/>
  <c r="K24" i="28"/>
  <c r="J24" i="28"/>
  <c r="H24" i="28"/>
  <c r="G24" i="28"/>
  <c r="F24" i="28"/>
  <c r="E24" i="28"/>
  <c r="BY23" i="28"/>
  <c r="BY22" i="28"/>
  <c r="BY21" i="28"/>
  <c r="BY20" i="28"/>
  <c r="J19" i="28"/>
  <c r="J18" i="28" s="1"/>
  <c r="H19" i="28"/>
  <c r="BY19" i="28" s="1"/>
  <c r="BY18" i="28" s="1"/>
  <c r="BX18" i="28"/>
  <c r="BW18" i="28"/>
  <c r="BV18" i="28"/>
  <c r="BU18" i="28"/>
  <c r="BT18" i="28"/>
  <c r="BS18" i="28"/>
  <c r="BR18" i="28"/>
  <c r="BR99" i="28" s="1"/>
  <c r="BQ18" i="28"/>
  <c r="BP18" i="28"/>
  <c r="BO18" i="28"/>
  <c r="BN18" i="28"/>
  <c r="BM18" i="28"/>
  <c r="BL18" i="28"/>
  <c r="BK18" i="28"/>
  <c r="BJ18" i="28"/>
  <c r="BJ99" i="28" s="1"/>
  <c r="BI18" i="28"/>
  <c r="BH18" i="28"/>
  <c r="BG18" i="28"/>
  <c r="BF18" i="28"/>
  <c r="BE18" i="28"/>
  <c r="BD18" i="28"/>
  <c r="BC18" i="28"/>
  <c r="BB18" i="28"/>
  <c r="BB99" i="28" s="1"/>
  <c r="BA18" i="28"/>
  <c r="AZ18" i="28"/>
  <c r="AY18" i="28"/>
  <c r="AX18" i="28"/>
  <c r="AW18" i="28"/>
  <c r="AV18" i="28"/>
  <c r="AU18" i="28"/>
  <c r="AT18" i="28"/>
  <c r="AS18" i="28"/>
  <c r="AR18" i="28"/>
  <c r="AQ18" i="28"/>
  <c r="AP18" i="28"/>
  <c r="AO18" i="28"/>
  <c r="AN18" i="28"/>
  <c r="AM18" i="28"/>
  <c r="AL18" i="28"/>
  <c r="AL99" i="28" s="1"/>
  <c r="AK18" i="28"/>
  <c r="AJ18" i="28"/>
  <c r="AI18" i="28"/>
  <c r="AH18" i="28"/>
  <c r="AG18" i="28"/>
  <c r="AF18" i="28"/>
  <c r="AE18" i="28"/>
  <c r="AD18" i="28"/>
  <c r="AD99" i="28" s="1"/>
  <c r="AC18" i="28"/>
  <c r="AB18" i="28"/>
  <c r="AA18" i="28"/>
  <c r="Z18" i="28"/>
  <c r="Y18" i="28"/>
  <c r="X18" i="28"/>
  <c r="W18" i="28"/>
  <c r="V18" i="28"/>
  <c r="U18" i="28"/>
  <c r="T18" i="28"/>
  <c r="S18" i="28"/>
  <c r="R18" i="28"/>
  <c r="Q18" i="28"/>
  <c r="P18" i="28"/>
  <c r="O18" i="28"/>
  <c r="N18" i="28"/>
  <c r="M18" i="28"/>
  <c r="L18" i="28"/>
  <c r="K18" i="28"/>
  <c r="I18" i="28"/>
  <c r="G18" i="28"/>
  <c r="F18" i="28"/>
  <c r="E18" i="28"/>
  <c r="CB17" i="28"/>
  <c r="BX17" i="28"/>
  <c r="BW17" i="28"/>
  <c r="BV17" i="28"/>
  <c r="BU17" i="28"/>
  <c r="BT17" i="28"/>
  <c r="BS17" i="28"/>
  <c r="BR17" i="28"/>
  <c r="BQ17" i="28"/>
  <c r="BP17" i="28"/>
  <c r="BO17" i="28"/>
  <c r="BN17" i="28"/>
  <c r="BM17" i="28"/>
  <c r="BL17" i="28"/>
  <c r="BK17" i="28"/>
  <c r="BJ17" i="28"/>
  <c r="BI17" i="28"/>
  <c r="BH17" i="28"/>
  <c r="BG17" i="28"/>
  <c r="BF17" i="28"/>
  <c r="BE17" i="28"/>
  <c r="BD17" i="28"/>
  <c r="BC17" i="28"/>
  <c r="BB17" i="28"/>
  <c r="BA17" i="28"/>
  <c r="AN17" i="28"/>
  <c r="AM17" i="28"/>
  <c r="AL17" i="28"/>
  <c r="AK17" i="28"/>
  <c r="AJ17" i="28"/>
  <c r="AI17" i="28"/>
  <c r="AH17" i="28"/>
  <c r="AG17" i="28"/>
  <c r="AF17" i="28"/>
  <c r="AC17" i="28"/>
  <c r="J17" i="28"/>
  <c r="I17" i="28"/>
  <c r="G17" i="28"/>
  <c r="F17" i="28"/>
  <c r="E17" i="28"/>
  <c r="R16" i="28"/>
  <c r="Q16" i="28"/>
  <c r="P16" i="28"/>
  <c r="T14" i="28"/>
  <c r="S14" i="28"/>
  <c r="R14" i="28"/>
  <c r="Q14" i="28"/>
  <c r="P14" i="28"/>
  <c r="O14" i="28"/>
  <c r="M14" i="28"/>
  <c r="K14" i="28"/>
  <c r="Z12" i="28"/>
  <c r="Y12" i="28"/>
  <c r="X12" i="28"/>
  <c r="W12" i="28"/>
  <c r="T12" i="28"/>
  <c r="S12" i="28"/>
  <c r="R12" i="28"/>
  <c r="Q11" i="28"/>
  <c r="P11" i="28"/>
  <c r="O11" i="28"/>
  <c r="N11" i="28"/>
  <c r="N17" i="28" s="1"/>
  <c r="M11" i="28"/>
  <c r="AA10" i="28"/>
  <c r="Z9" i="28"/>
  <c r="V9" i="28"/>
  <c r="BY8" i="28"/>
  <c r="BY7" i="28"/>
  <c r="V6" i="28"/>
  <c r="R6" i="28"/>
  <c r="O6" i="28"/>
  <c r="M6" i="28"/>
  <c r="L6" i="28"/>
  <c r="H5" i="28"/>
  <c r="I27" i="1"/>
  <c r="H40" i="1" s="1"/>
  <c r="H1" i="3"/>
  <c r="X119" i="7"/>
  <c r="E42" i="27"/>
  <c r="E41" i="27"/>
  <c r="E43" i="27" s="1"/>
  <c r="R39" i="27"/>
  <c r="R40" i="27" s="1"/>
  <c r="R41" i="27" s="1"/>
  <c r="R42" i="27" s="1"/>
  <c r="E38" i="27"/>
  <c r="E37" i="27"/>
  <c r="E34" i="27"/>
  <c r="E33" i="27"/>
  <c r="Q30" i="27"/>
  <c r="E30" i="27"/>
  <c r="Q28" i="27"/>
  <c r="F21" i="27"/>
  <c r="F20" i="27"/>
  <c r="N19" i="27"/>
  <c r="F19" i="27"/>
  <c r="F18" i="27"/>
  <c r="R17" i="27"/>
  <c r="F17" i="27"/>
  <c r="M16" i="27"/>
  <c r="K16" i="27"/>
  <c r="J16" i="27"/>
  <c r="I16" i="27"/>
  <c r="M15" i="27"/>
  <c r="K15" i="27"/>
  <c r="J15" i="27"/>
  <c r="I15" i="27"/>
  <c r="K14" i="27"/>
  <c r="J14" i="27"/>
  <c r="I14" i="27"/>
  <c r="K13" i="27"/>
  <c r="J13" i="27"/>
  <c r="I13" i="27"/>
  <c r="K12" i="27"/>
  <c r="J12" i="27"/>
  <c r="I12" i="27"/>
  <c r="K11" i="27"/>
  <c r="J11" i="27"/>
  <c r="I11" i="27"/>
  <c r="M10" i="27"/>
  <c r="K10" i="27"/>
  <c r="J10" i="27"/>
  <c r="I10" i="27"/>
  <c r="M9" i="27"/>
  <c r="L9" i="27"/>
  <c r="K9" i="27"/>
  <c r="J9" i="27"/>
  <c r="N9" i="27" s="1"/>
  <c r="I9" i="27"/>
  <c r="E9" i="27"/>
  <c r="M8" i="27"/>
  <c r="K8" i="27"/>
  <c r="J8" i="27"/>
  <c r="I8" i="27"/>
  <c r="F8" i="27"/>
  <c r="W200" i="26"/>
  <c r="V200" i="26"/>
  <c r="U200" i="26"/>
  <c r="T200" i="26"/>
  <c r="S200" i="26"/>
  <c r="D188" i="26"/>
  <c r="BX181" i="26"/>
  <c r="BW181" i="26"/>
  <c r="BV181" i="26"/>
  <c r="BU181" i="26"/>
  <c r="BT181" i="26"/>
  <c r="BS181" i="26"/>
  <c r="BR181" i="26"/>
  <c r="BQ181" i="26"/>
  <c r="BP181" i="26"/>
  <c r="BO181" i="26"/>
  <c r="BN181" i="26"/>
  <c r="BM181" i="26"/>
  <c r="BL181" i="26"/>
  <c r="BK181" i="26"/>
  <c r="BJ181" i="26"/>
  <c r="BI181" i="26"/>
  <c r="BH181" i="26"/>
  <c r="BG181" i="26"/>
  <c r="BF181" i="26"/>
  <c r="BE181" i="26"/>
  <c r="BD181" i="26"/>
  <c r="BC181" i="26"/>
  <c r="BB181" i="26"/>
  <c r="BA181" i="26"/>
  <c r="AZ181" i="26"/>
  <c r="AY181" i="26"/>
  <c r="AX181" i="26"/>
  <c r="AW181" i="26"/>
  <c r="AV181" i="26"/>
  <c r="AU181" i="26"/>
  <c r="AT181" i="26"/>
  <c r="AS181" i="26"/>
  <c r="AR181" i="26"/>
  <c r="AQ181" i="26"/>
  <c r="AP181" i="26"/>
  <c r="AO181" i="26"/>
  <c r="AN181" i="26"/>
  <c r="AM181" i="26"/>
  <c r="AL181" i="26"/>
  <c r="AK181" i="26"/>
  <c r="AJ181" i="26"/>
  <c r="AI181" i="26"/>
  <c r="AH181" i="26"/>
  <c r="AG181" i="26"/>
  <c r="AF181" i="26"/>
  <c r="AE181" i="26"/>
  <c r="AD181" i="26"/>
  <c r="AC181" i="26"/>
  <c r="AB181" i="26"/>
  <c r="AA181" i="26"/>
  <c r="Z181" i="26"/>
  <c r="Y181" i="26"/>
  <c r="X181" i="26"/>
  <c r="W181" i="26"/>
  <c r="V181" i="26"/>
  <c r="U181" i="26"/>
  <c r="T181" i="26"/>
  <c r="S181" i="26"/>
  <c r="S184" i="26" s="1"/>
  <c r="R181" i="26"/>
  <c r="R184" i="26" s="1"/>
  <c r="Q181" i="26"/>
  <c r="Q184" i="26" s="1"/>
  <c r="P181" i="26"/>
  <c r="P184" i="26" s="1"/>
  <c r="O181" i="26"/>
  <c r="O184" i="26" s="1"/>
  <c r="N181" i="26"/>
  <c r="N184" i="26" s="1"/>
  <c r="M181" i="26"/>
  <c r="M184" i="26" s="1"/>
  <c r="L181" i="26"/>
  <c r="L184" i="26" s="1"/>
  <c r="K181" i="26"/>
  <c r="K184" i="26" s="1"/>
  <c r="J181" i="26"/>
  <c r="J184" i="26" s="1"/>
  <c r="I181" i="26"/>
  <c r="I184" i="26" s="1"/>
  <c r="H181" i="26"/>
  <c r="G181" i="26"/>
  <c r="F181" i="26"/>
  <c r="E181" i="26"/>
  <c r="BX179" i="26"/>
  <c r="BW179" i="26"/>
  <c r="BW184" i="26" s="1"/>
  <c r="BV179" i="26"/>
  <c r="BV184" i="26" s="1"/>
  <c r="BU179" i="26"/>
  <c r="BU184" i="26" s="1"/>
  <c r="BT179" i="26"/>
  <c r="BT184" i="26" s="1"/>
  <c r="BS179" i="26"/>
  <c r="BS184" i="26" s="1"/>
  <c r="BR179" i="26"/>
  <c r="BR184" i="26" s="1"/>
  <c r="BQ179" i="26"/>
  <c r="BQ184" i="26" s="1"/>
  <c r="BP179" i="26"/>
  <c r="BP184" i="26" s="1"/>
  <c r="BO179" i="26"/>
  <c r="BO184" i="26" s="1"/>
  <c r="BN179" i="26"/>
  <c r="BN184" i="26" s="1"/>
  <c r="BM179" i="26"/>
  <c r="BM184" i="26" s="1"/>
  <c r="BL179" i="26"/>
  <c r="BL184" i="26" s="1"/>
  <c r="BK179" i="26"/>
  <c r="BK184" i="26" s="1"/>
  <c r="BJ179" i="26"/>
  <c r="BJ184" i="26" s="1"/>
  <c r="BI179" i="26"/>
  <c r="BI184" i="26" s="1"/>
  <c r="BH179" i="26"/>
  <c r="BH184" i="26" s="1"/>
  <c r="BG179" i="26"/>
  <c r="BG184" i="26" s="1"/>
  <c r="BF179" i="26"/>
  <c r="BF184" i="26" s="1"/>
  <c r="BE179" i="26"/>
  <c r="BE184" i="26" s="1"/>
  <c r="BD179" i="26"/>
  <c r="BD184" i="26" s="1"/>
  <c r="BC179" i="26"/>
  <c r="BC184" i="26" s="1"/>
  <c r="BB179" i="26"/>
  <c r="BB184" i="26" s="1"/>
  <c r="BA179" i="26"/>
  <c r="BA184" i="26" s="1"/>
  <c r="AZ179" i="26"/>
  <c r="AZ184" i="26" s="1"/>
  <c r="AY179" i="26"/>
  <c r="AY184" i="26" s="1"/>
  <c r="AX179" i="26"/>
  <c r="AX184" i="26" s="1"/>
  <c r="AW179" i="26"/>
  <c r="AW184" i="26" s="1"/>
  <c r="AV179" i="26"/>
  <c r="AV184" i="26" s="1"/>
  <c r="AU179" i="26"/>
  <c r="AU184" i="26" s="1"/>
  <c r="AT179" i="26"/>
  <c r="AT184" i="26" s="1"/>
  <c r="AS179" i="26"/>
  <c r="AS184" i="26" s="1"/>
  <c r="AR179" i="26"/>
  <c r="AR184" i="26" s="1"/>
  <c r="AQ179" i="26"/>
  <c r="AQ184" i="26" s="1"/>
  <c r="AP179" i="26"/>
  <c r="AP184" i="26" s="1"/>
  <c r="AO179" i="26"/>
  <c r="AO184" i="26" s="1"/>
  <c r="AN179" i="26"/>
  <c r="AN184" i="26" s="1"/>
  <c r="AM179" i="26"/>
  <c r="AM184" i="26" s="1"/>
  <c r="AL179" i="26"/>
  <c r="AL184" i="26" s="1"/>
  <c r="AK179" i="26"/>
  <c r="AK184" i="26" s="1"/>
  <c r="AJ179" i="26"/>
  <c r="AJ184" i="26" s="1"/>
  <c r="AI179" i="26"/>
  <c r="AI184" i="26" s="1"/>
  <c r="AH179" i="26"/>
  <c r="AH184" i="26" s="1"/>
  <c r="AG179" i="26"/>
  <c r="AG184" i="26" s="1"/>
  <c r="AF179" i="26"/>
  <c r="AF184" i="26" s="1"/>
  <c r="AE179" i="26"/>
  <c r="AE184" i="26" s="1"/>
  <c r="AD179" i="26"/>
  <c r="AD184" i="26" s="1"/>
  <c r="AC179" i="26"/>
  <c r="AC184" i="26" s="1"/>
  <c r="AB179" i="26"/>
  <c r="AB184" i="26" s="1"/>
  <c r="AA179" i="26"/>
  <c r="AA184" i="26" s="1"/>
  <c r="Z179" i="26"/>
  <c r="Z184" i="26" s="1"/>
  <c r="Y179" i="26"/>
  <c r="Y184" i="26" s="1"/>
  <c r="X179" i="26"/>
  <c r="X184" i="26" s="1"/>
  <c r="W179" i="26"/>
  <c r="W184" i="26" s="1"/>
  <c r="V179" i="26"/>
  <c r="V184" i="26" s="1"/>
  <c r="U179" i="26"/>
  <c r="U184" i="26" s="1"/>
  <c r="T179" i="26"/>
  <c r="H179" i="26"/>
  <c r="H184" i="26" s="1"/>
  <c r="G179" i="26"/>
  <c r="G184" i="26" s="1"/>
  <c r="F179" i="26"/>
  <c r="F184" i="26" s="1"/>
  <c r="E179" i="26"/>
  <c r="E184" i="26" s="1"/>
  <c r="D172" i="26"/>
  <c r="BX165" i="26"/>
  <c r="BW165" i="26"/>
  <c r="BV165" i="26"/>
  <c r="BU165" i="26"/>
  <c r="BT165" i="26"/>
  <c r="BS165" i="26"/>
  <c r="BR165" i="26"/>
  <c r="BQ165" i="26"/>
  <c r="BP165" i="26"/>
  <c r="BO165" i="26"/>
  <c r="BN165" i="26"/>
  <c r="BM165" i="26"/>
  <c r="BL165" i="26"/>
  <c r="BK165" i="26"/>
  <c r="BJ165" i="26"/>
  <c r="BI165" i="26"/>
  <c r="BH165" i="26"/>
  <c r="BG165" i="26"/>
  <c r="BF165" i="26"/>
  <c r="BE165" i="26"/>
  <c r="BD165" i="26"/>
  <c r="BC165" i="26"/>
  <c r="BB165" i="26"/>
  <c r="BA165" i="26"/>
  <c r="AZ165" i="26"/>
  <c r="AY165" i="26"/>
  <c r="AX165" i="26"/>
  <c r="AW165" i="26"/>
  <c r="AV165" i="26"/>
  <c r="AU165" i="26"/>
  <c r="AT165" i="26"/>
  <c r="AS165" i="26"/>
  <c r="AR165" i="26"/>
  <c r="AQ165" i="26"/>
  <c r="AP165" i="26"/>
  <c r="AO165" i="26"/>
  <c r="AN165" i="26"/>
  <c r="AM165" i="26"/>
  <c r="AL165" i="26"/>
  <c r="AK165" i="26"/>
  <c r="AJ165" i="26"/>
  <c r="AI165" i="26"/>
  <c r="AH165" i="26"/>
  <c r="AG165" i="26"/>
  <c r="AF165" i="26"/>
  <c r="AE165" i="26"/>
  <c r="AD165" i="26"/>
  <c r="AC165" i="26"/>
  <c r="AB165" i="26"/>
  <c r="AA165" i="26"/>
  <c r="Z165" i="26"/>
  <c r="Y165" i="26"/>
  <c r="X165" i="26"/>
  <c r="W165" i="26"/>
  <c r="V165" i="26"/>
  <c r="U165" i="26"/>
  <c r="T165" i="26"/>
  <c r="S165" i="26"/>
  <c r="R165" i="26"/>
  <c r="Q165" i="26"/>
  <c r="P165" i="26"/>
  <c r="O165" i="26"/>
  <c r="N165" i="26"/>
  <c r="M165" i="26"/>
  <c r="L165" i="26"/>
  <c r="K165" i="26"/>
  <c r="J165" i="26"/>
  <c r="I165" i="26"/>
  <c r="H165" i="26"/>
  <c r="G165" i="26"/>
  <c r="F165" i="26"/>
  <c r="E165" i="26"/>
  <c r="BX163" i="26"/>
  <c r="BW163" i="26"/>
  <c r="BW168" i="26" s="1"/>
  <c r="BV163" i="26"/>
  <c r="BV168" i="26" s="1"/>
  <c r="BU163" i="26"/>
  <c r="BU168" i="26" s="1"/>
  <c r="BT163" i="26"/>
  <c r="BT168" i="26" s="1"/>
  <c r="BS163" i="26"/>
  <c r="BS168" i="26" s="1"/>
  <c r="BR163" i="26"/>
  <c r="BR168" i="26" s="1"/>
  <c r="BQ163" i="26"/>
  <c r="BQ168" i="26" s="1"/>
  <c r="BP163" i="26"/>
  <c r="BP168" i="26" s="1"/>
  <c r="BO163" i="26"/>
  <c r="BO168" i="26" s="1"/>
  <c r="BN163" i="26"/>
  <c r="BN168" i="26" s="1"/>
  <c r="BM163" i="26"/>
  <c r="BM168" i="26" s="1"/>
  <c r="BL163" i="26"/>
  <c r="BL168" i="26" s="1"/>
  <c r="BK163" i="26"/>
  <c r="BK168" i="26" s="1"/>
  <c r="BJ163" i="26"/>
  <c r="BJ168" i="26" s="1"/>
  <c r="BI163" i="26"/>
  <c r="BI168" i="26" s="1"/>
  <c r="BH163" i="26"/>
  <c r="BH168" i="26" s="1"/>
  <c r="BG163" i="26"/>
  <c r="BG168" i="26" s="1"/>
  <c r="BF163" i="26"/>
  <c r="BF168" i="26" s="1"/>
  <c r="BE163" i="26"/>
  <c r="BE168" i="26" s="1"/>
  <c r="BD163" i="26"/>
  <c r="BD168" i="26" s="1"/>
  <c r="BC163" i="26"/>
  <c r="BC168" i="26" s="1"/>
  <c r="BB163" i="26"/>
  <c r="BB168" i="26" s="1"/>
  <c r="BA163" i="26"/>
  <c r="BA168" i="26" s="1"/>
  <c r="AZ163" i="26"/>
  <c r="AZ168" i="26" s="1"/>
  <c r="AY163" i="26"/>
  <c r="AY168" i="26" s="1"/>
  <c r="AX163" i="26"/>
  <c r="AX168" i="26" s="1"/>
  <c r="AW163" i="26"/>
  <c r="AW168" i="26" s="1"/>
  <c r="AV163" i="26"/>
  <c r="AV168" i="26" s="1"/>
  <c r="AU163" i="26"/>
  <c r="AU168" i="26" s="1"/>
  <c r="AT163" i="26"/>
  <c r="AT168" i="26" s="1"/>
  <c r="AS163" i="26"/>
  <c r="AS168" i="26" s="1"/>
  <c r="AR163" i="26"/>
  <c r="AR168" i="26" s="1"/>
  <c r="AQ163" i="26"/>
  <c r="AQ168" i="26" s="1"/>
  <c r="AP163" i="26"/>
  <c r="AP168" i="26" s="1"/>
  <c r="AO163" i="26"/>
  <c r="AO168" i="26" s="1"/>
  <c r="AN163" i="26"/>
  <c r="AN168" i="26" s="1"/>
  <c r="AM163" i="26"/>
  <c r="AM168" i="26" s="1"/>
  <c r="AL163" i="26"/>
  <c r="AL168" i="26" s="1"/>
  <c r="AK163" i="26"/>
  <c r="AK168" i="26" s="1"/>
  <c r="AJ163" i="26"/>
  <c r="AJ168" i="26" s="1"/>
  <c r="AI163" i="26"/>
  <c r="AI168" i="26" s="1"/>
  <c r="AH163" i="26"/>
  <c r="AH168" i="26" s="1"/>
  <c r="AG163" i="26"/>
  <c r="AG168" i="26" s="1"/>
  <c r="AF163" i="26"/>
  <c r="AF168" i="26" s="1"/>
  <c r="AE163" i="26"/>
  <c r="AE168" i="26" s="1"/>
  <c r="AD163" i="26"/>
  <c r="AD168" i="26" s="1"/>
  <c r="AC163" i="26"/>
  <c r="AC168" i="26" s="1"/>
  <c r="AB163" i="26"/>
  <c r="AB168" i="26" s="1"/>
  <c r="Z163" i="26"/>
  <c r="Z168" i="26" s="1"/>
  <c r="Y163" i="26"/>
  <c r="Y168" i="26" s="1"/>
  <c r="X163" i="26"/>
  <c r="X168" i="26" s="1"/>
  <c r="W163" i="26"/>
  <c r="W168" i="26" s="1"/>
  <c r="V163" i="26"/>
  <c r="V168" i="26" s="1"/>
  <c r="U163" i="26"/>
  <c r="U168" i="26" s="1"/>
  <c r="T163" i="26"/>
  <c r="S163" i="26"/>
  <c r="S168" i="26" s="1"/>
  <c r="R163" i="26"/>
  <c r="R168" i="26" s="1"/>
  <c r="Q163" i="26"/>
  <c r="Q168" i="26" s="1"/>
  <c r="P163" i="26"/>
  <c r="P168" i="26" s="1"/>
  <c r="O163" i="26"/>
  <c r="O168" i="26" s="1"/>
  <c r="N163" i="26"/>
  <c r="N168" i="26" s="1"/>
  <c r="M163" i="26"/>
  <c r="M168" i="26" s="1"/>
  <c r="L163" i="26"/>
  <c r="L168" i="26" s="1"/>
  <c r="K163" i="26"/>
  <c r="K168" i="26" s="1"/>
  <c r="J163" i="26"/>
  <c r="J168" i="26" s="1"/>
  <c r="I163" i="26"/>
  <c r="I168" i="26" s="1"/>
  <c r="H163" i="26"/>
  <c r="H168" i="26" s="1"/>
  <c r="G163" i="26"/>
  <c r="G168" i="26" s="1"/>
  <c r="F163" i="26"/>
  <c r="F168" i="26" s="1"/>
  <c r="E163" i="26"/>
  <c r="E168" i="26" s="1"/>
  <c r="D156" i="26"/>
  <c r="T150" i="26"/>
  <c r="BX149" i="26"/>
  <c r="BW149" i="26"/>
  <c r="BV149" i="26"/>
  <c r="BU149" i="26"/>
  <c r="BT149" i="26"/>
  <c r="BS149" i="26"/>
  <c r="BR149" i="26"/>
  <c r="BQ149" i="26"/>
  <c r="BP149" i="26"/>
  <c r="BO149" i="26"/>
  <c r="BN149" i="26"/>
  <c r="BM149" i="26"/>
  <c r="BL149" i="26"/>
  <c r="BK149" i="26"/>
  <c r="BJ149" i="26"/>
  <c r="BI149" i="26"/>
  <c r="BH149" i="26"/>
  <c r="BG149" i="26"/>
  <c r="BF149" i="26"/>
  <c r="BE149" i="26"/>
  <c r="BD149" i="26"/>
  <c r="BC149" i="26"/>
  <c r="BB149" i="26"/>
  <c r="BA149" i="26"/>
  <c r="AZ149" i="26"/>
  <c r="AY149" i="26"/>
  <c r="AX149" i="26"/>
  <c r="AW149" i="26"/>
  <c r="AV149" i="26"/>
  <c r="AU149" i="26"/>
  <c r="AT149" i="26"/>
  <c r="AS149" i="26"/>
  <c r="AR149" i="26"/>
  <c r="AQ149" i="26"/>
  <c r="AP149" i="26"/>
  <c r="AO149" i="26"/>
  <c r="AN149" i="26"/>
  <c r="AM149" i="26"/>
  <c r="AL149" i="26"/>
  <c r="AK149" i="26"/>
  <c r="AJ149" i="26"/>
  <c r="AI149" i="26"/>
  <c r="AH149" i="26"/>
  <c r="AG149" i="26"/>
  <c r="AF149" i="26"/>
  <c r="AE149" i="26"/>
  <c r="AD149" i="26"/>
  <c r="AC149" i="26"/>
  <c r="AB149" i="26"/>
  <c r="AA149" i="26"/>
  <c r="Z149" i="26"/>
  <c r="Y149" i="26"/>
  <c r="X149" i="26"/>
  <c r="W149" i="26"/>
  <c r="V149" i="26"/>
  <c r="U149" i="26"/>
  <c r="T149" i="26"/>
  <c r="S149" i="26"/>
  <c r="R149" i="26"/>
  <c r="Q149" i="26"/>
  <c r="P149" i="26"/>
  <c r="O149" i="26"/>
  <c r="N149" i="26"/>
  <c r="M149" i="26"/>
  <c r="L149" i="26"/>
  <c r="K149" i="26"/>
  <c r="K152" i="26" s="1"/>
  <c r="J149" i="26"/>
  <c r="I149" i="26"/>
  <c r="I152" i="26" s="1"/>
  <c r="H149" i="26"/>
  <c r="G149" i="26"/>
  <c r="F149" i="26"/>
  <c r="E149" i="26"/>
  <c r="BX147" i="26"/>
  <c r="BW147" i="26"/>
  <c r="BW152" i="26" s="1"/>
  <c r="BV147" i="26"/>
  <c r="BV152" i="26" s="1"/>
  <c r="BU147" i="26"/>
  <c r="BU152" i="26" s="1"/>
  <c r="BT147" i="26"/>
  <c r="BT152" i="26" s="1"/>
  <c r="BS147" i="26"/>
  <c r="BS152" i="26" s="1"/>
  <c r="BR147" i="26"/>
  <c r="BR152" i="26" s="1"/>
  <c r="BQ147" i="26"/>
  <c r="BQ152" i="26" s="1"/>
  <c r="BP147" i="26"/>
  <c r="BP152" i="26" s="1"/>
  <c r="BO147" i="26"/>
  <c r="BO152" i="26" s="1"/>
  <c r="BN147" i="26"/>
  <c r="BN152" i="26" s="1"/>
  <c r="BM147" i="26"/>
  <c r="BM152" i="26" s="1"/>
  <c r="BL147" i="26"/>
  <c r="BL152" i="26" s="1"/>
  <c r="BK147" i="26"/>
  <c r="BK152" i="26" s="1"/>
  <c r="BJ147" i="26"/>
  <c r="BJ152" i="26" s="1"/>
  <c r="BI147" i="26"/>
  <c r="BI152" i="26" s="1"/>
  <c r="BH147" i="26"/>
  <c r="BH152" i="26" s="1"/>
  <c r="BG147" i="26"/>
  <c r="BG152" i="26" s="1"/>
  <c r="BF147" i="26"/>
  <c r="BF152" i="26" s="1"/>
  <c r="BE147" i="26"/>
  <c r="BE152" i="26" s="1"/>
  <c r="BD147" i="26"/>
  <c r="BD152" i="26" s="1"/>
  <c r="BC147" i="26"/>
  <c r="BC152" i="26" s="1"/>
  <c r="BB147" i="26"/>
  <c r="BB152" i="26" s="1"/>
  <c r="BA147" i="26"/>
  <c r="BA152" i="26" s="1"/>
  <c r="AZ147" i="26"/>
  <c r="AZ152" i="26" s="1"/>
  <c r="AY147" i="26"/>
  <c r="AY152" i="26" s="1"/>
  <c r="AX147" i="26"/>
  <c r="AX152" i="26" s="1"/>
  <c r="AW147" i="26"/>
  <c r="AW152" i="26" s="1"/>
  <c r="AV147" i="26"/>
  <c r="AV152" i="26" s="1"/>
  <c r="AU147" i="26"/>
  <c r="AU152" i="26" s="1"/>
  <c r="AT147" i="26"/>
  <c r="AT152" i="26" s="1"/>
  <c r="AS147" i="26"/>
  <c r="AS152" i="26" s="1"/>
  <c r="AR147" i="26"/>
  <c r="AR152" i="26" s="1"/>
  <c r="AQ147" i="26"/>
  <c r="AQ152" i="26" s="1"/>
  <c r="AP147" i="26"/>
  <c r="AP152" i="26" s="1"/>
  <c r="AO147" i="26"/>
  <c r="AO152" i="26" s="1"/>
  <c r="AN147" i="26"/>
  <c r="AN152" i="26" s="1"/>
  <c r="AM147" i="26"/>
  <c r="AM152" i="26" s="1"/>
  <c r="AL147" i="26"/>
  <c r="AL152" i="26" s="1"/>
  <c r="AK147" i="26"/>
  <c r="AK152" i="26" s="1"/>
  <c r="AJ147" i="26"/>
  <c r="AJ152" i="26" s="1"/>
  <c r="AI147" i="26"/>
  <c r="AI152" i="26" s="1"/>
  <c r="AH147" i="26"/>
  <c r="AH152" i="26" s="1"/>
  <c r="AG147" i="26"/>
  <c r="AG152" i="26" s="1"/>
  <c r="AF147" i="26"/>
  <c r="AF152" i="26" s="1"/>
  <c r="AE147" i="26"/>
  <c r="AE152" i="26" s="1"/>
  <c r="AD147" i="26"/>
  <c r="AD152" i="26" s="1"/>
  <c r="AC147" i="26"/>
  <c r="AC152" i="26" s="1"/>
  <c r="AB147" i="26"/>
  <c r="AB152" i="26" s="1"/>
  <c r="AA147" i="26"/>
  <c r="AA152" i="26" s="1"/>
  <c r="Z147" i="26"/>
  <c r="Z152" i="26" s="1"/>
  <c r="Y147" i="26"/>
  <c r="Y152" i="26" s="1"/>
  <c r="X147" i="26"/>
  <c r="X152" i="26" s="1"/>
  <c r="W147" i="26"/>
  <c r="W152" i="26" s="1"/>
  <c r="V147" i="26"/>
  <c r="V152" i="26" s="1"/>
  <c r="U147" i="26"/>
  <c r="U152" i="26" s="1"/>
  <c r="P147" i="26"/>
  <c r="P152" i="26" s="1"/>
  <c r="O147" i="26"/>
  <c r="O152" i="26" s="1"/>
  <c r="N147" i="26"/>
  <c r="N152" i="26" s="1"/>
  <c r="M147" i="26"/>
  <c r="M152" i="26" s="1"/>
  <c r="J147" i="26"/>
  <c r="J152" i="26" s="1"/>
  <c r="H147" i="26"/>
  <c r="G147" i="26"/>
  <c r="G152" i="26" s="1"/>
  <c r="F147" i="26"/>
  <c r="F152" i="26" s="1"/>
  <c r="E147" i="26"/>
  <c r="E152" i="26" s="1"/>
  <c r="E153" i="26" s="1"/>
  <c r="F153" i="26" s="1"/>
  <c r="G153" i="26" s="1"/>
  <c r="D140" i="26"/>
  <c r="BX133" i="26"/>
  <c r="BW133" i="26"/>
  <c r="BV133" i="26"/>
  <c r="BU133" i="26"/>
  <c r="BT133" i="26"/>
  <c r="BS133" i="26"/>
  <c r="BR133" i="26"/>
  <c r="BQ133" i="26"/>
  <c r="BP133" i="26"/>
  <c r="BO133" i="26"/>
  <c r="BN133" i="26"/>
  <c r="BM133" i="26"/>
  <c r="BL133" i="26"/>
  <c r="BK133" i="26"/>
  <c r="BJ133" i="26"/>
  <c r="BI133" i="26"/>
  <c r="BH133" i="26"/>
  <c r="BG133" i="26"/>
  <c r="BF133" i="26"/>
  <c r="BE133" i="26"/>
  <c r="BD133" i="26"/>
  <c r="BC133" i="26"/>
  <c r="BB133" i="26"/>
  <c r="BA133" i="26"/>
  <c r="AZ133" i="26"/>
  <c r="AY133" i="26"/>
  <c r="AX133" i="26"/>
  <c r="AW133" i="26"/>
  <c r="AV133" i="26"/>
  <c r="AU133" i="26"/>
  <c r="AT133" i="26"/>
  <c r="AS133" i="26"/>
  <c r="AR133" i="26"/>
  <c r="AQ133" i="26"/>
  <c r="AP133" i="26"/>
  <c r="AO133" i="26"/>
  <c r="AN133" i="26"/>
  <c r="AM133" i="26"/>
  <c r="AL133" i="26"/>
  <c r="AK133" i="26"/>
  <c r="AJ133" i="26"/>
  <c r="AI133" i="26"/>
  <c r="AH133" i="26"/>
  <c r="AG133" i="26"/>
  <c r="AF133" i="26"/>
  <c r="AE133" i="26"/>
  <c r="AD133" i="26"/>
  <c r="AC133" i="26"/>
  <c r="AB133" i="26"/>
  <c r="Z133" i="26"/>
  <c r="Y133" i="26"/>
  <c r="X133" i="26"/>
  <c r="W133" i="26"/>
  <c r="V133" i="26"/>
  <c r="U133" i="26"/>
  <c r="T133" i="26"/>
  <c r="S133" i="26"/>
  <c r="R133" i="26"/>
  <c r="Q133" i="26"/>
  <c r="P133" i="26"/>
  <c r="O133" i="26"/>
  <c r="N133" i="26"/>
  <c r="M133" i="26"/>
  <c r="L133" i="26"/>
  <c r="K133" i="26"/>
  <c r="J133" i="26"/>
  <c r="I133" i="26"/>
  <c r="H133" i="26"/>
  <c r="G133" i="26"/>
  <c r="F133" i="26"/>
  <c r="E133" i="26"/>
  <c r="BX131" i="26"/>
  <c r="BW131" i="26"/>
  <c r="BW136" i="26" s="1"/>
  <c r="BV131" i="26"/>
  <c r="BV136" i="26" s="1"/>
  <c r="BU131" i="26"/>
  <c r="BU136" i="26" s="1"/>
  <c r="BT131" i="26"/>
  <c r="BT136" i="26" s="1"/>
  <c r="BS131" i="26"/>
  <c r="BS136" i="26" s="1"/>
  <c r="BR131" i="26"/>
  <c r="BR136" i="26" s="1"/>
  <c r="BQ131" i="26"/>
  <c r="BQ136" i="26" s="1"/>
  <c r="BP131" i="26"/>
  <c r="BP136" i="26" s="1"/>
  <c r="BO131" i="26"/>
  <c r="BO136" i="26" s="1"/>
  <c r="BN131" i="26"/>
  <c r="BN136" i="26" s="1"/>
  <c r="BM131" i="26"/>
  <c r="BM136" i="26" s="1"/>
  <c r="BL131" i="26"/>
  <c r="BL136" i="26" s="1"/>
  <c r="BK131" i="26"/>
  <c r="BK136" i="26" s="1"/>
  <c r="BJ131" i="26"/>
  <c r="BJ136" i="26" s="1"/>
  <c r="BI131" i="26"/>
  <c r="BI136" i="26" s="1"/>
  <c r="BH131" i="26"/>
  <c r="BH136" i="26" s="1"/>
  <c r="BG131" i="26"/>
  <c r="BG136" i="26" s="1"/>
  <c r="BF131" i="26"/>
  <c r="BF136" i="26" s="1"/>
  <c r="BE131" i="26"/>
  <c r="BE136" i="26" s="1"/>
  <c r="BD131" i="26"/>
  <c r="BD136" i="26" s="1"/>
  <c r="BC131" i="26"/>
  <c r="BC136" i="26" s="1"/>
  <c r="BB131" i="26"/>
  <c r="BB136" i="26" s="1"/>
  <c r="BA131" i="26"/>
  <c r="BA136" i="26" s="1"/>
  <c r="AZ131" i="26"/>
  <c r="AZ136" i="26" s="1"/>
  <c r="AY131" i="26"/>
  <c r="AY136" i="26" s="1"/>
  <c r="AX131" i="26"/>
  <c r="AX136" i="26" s="1"/>
  <c r="AW131" i="26"/>
  <c r="AW136" i="26" s="1"/>
  <c r="AV131" i="26"/>
  <c r="AV136" i="26" s="1"/>
  <c r="AU131" i="26"/>
  <c r="AU136" i="26" s="1"/>
  <c r="AT131" i="26"/>
  <c r="AT136" i="26" s="1"/>
  <c r="AS131" i="26"/>
  <c r="AS136" i="26" s="1"/>
  <c r="AR131" i="26"/>
  <c r="AR136" i="26" s="1"/>
  <c r="AQ131" i="26"/>
  <c r="AQ136" i="26" s="1"/>
  <c r="AP131" i="26"/>
  <c r="AP136" i="26" s="1"/>
  <c r="AO131" i="26"/>
  <c r="AO136" i="26" s="1"/>
  <c r="AN131" i="26"/>
  <c r="AN136" i="26" s="1"/>
  <c r="AM131" i="26"/>
  <c r="AM136" i="26" s="1"/>
  <c r="AL131" i="26"/>
  <c r="AL136" i="26" s="1"/>
  <c r="AK131" i="26"/>
  <c r="AK136" i="26" s="1"/>
  <c r="AJ131" i="26"/>
  <c r="AJ136" i="26" s="1"/>
  <c r="AI131" i="26"/>
  <c r="AI136" i="26" s="1"/>
  <c r="AH131" i="26"/>
  <c r="AH136" i="26" s="1"/>
  <c r="AG131" i="26"/>
  <c r="AG136" i="26" s="1"/>
  <c r="AF131" i="26"/>
  <c r="AF136" i="26" s="1"/>
  <c r="AE131" i="26"/>
  <c r="AE136" i="26" s="1"/>
  <c r="AD131" i="26"/>
  <c r="AD136" i="26" s="1"/>
  <c r="AC131" i="26"/>
  <c r="AC136" i="26" s="1"/>
  <c r="AB131" i="26"/>
  <c r="AB136" i="26" s="1"/>
  <c r="Z131" i="26"/>
  <c r="Z136" i="26" s="1"/>
  <c r="Y131" i="26"/>
  <c r="Y136" i="26" s="1"/>
  <c r="X131" i="26"/>
  <c r="X136" i="26" s="1"/>
  <c r="W131" i="26"/>
  <c r="W136" i="26" s="1"/>
  <c r="V131" i="26"/>
  <c r="V136" i="26" s="1"/>
  <c r="U131" i="26"/>
  <c r="U136" i="26" s="1"/>
  <c r="T131" i="26"/>
  <c r="S131" i="26"/>
  <c r="S136" i="26" s="1"/>
  <c r="R131" i="26"/>
  <c r="R136" i="26" s="1"/>
  <c r="Q131" i="26"/>
  <c r="Q136" i="26" s="1"/>
  <c r="P131" i="26"/>
  <c r="P136" i="26" s="1"/>
  <c r="N131" i="26"/>
  <c r="N136" i="26" s="1"/>
  <c r="K131" i="26"/>
  <c r="K136" i="26" s="1"/>
  <c r="J131" i="26"/>
  <c r="J136" i="26" s="1"/>
  <c r="I131" i="26"/>
  <c r="I136" i="26" s="1"/>
  <c r="H131" i="26"/>
  <c r="H136" i="26" s="1"/>
  <c r="G131" i="26"/>
  <c r="G136" i="26" s="1"/>
  <c r="F131" i="26"/>
  <c r="F136" i="26" s="1"/>
  <c r="E131" i="26"/>
  <c r="Z128" i="26"/>
  <c r="Y128" i="26"/>
  <c r="X128" i="26"/>
  <c r="W128" i="26"/>
  <c r="V128" i="26"/>
  <c r="U128" i="26"/>
  <c r="T128" i="26"/>
  <c r="S128" i="26"/>
  <c r="R128" i="26"/>
  <c r="Q128" i="26"/>
  <c r="P128" i="26"/>
  <c r="N128" i="26"/>
  <c r="K128" i="26"/>
  <c r="J128" i="26"/>
  <c r="I128" i="26"/>
  <c r="BX115" i="26"/>
  <c r="BW115" i="26"/>
  <c r="BV115" i="26"/>
  <c r="BU115" i="26"/>
  <c r="BT115" i="26"/>
  <c r="BS115" i="26"/>
  <c r="BR115" i="26"/>
  <c r="BQ115" i="26"/>
  <c r="BP115" i="26"/>
  <c r="BO115" i="26"/>
  <c r="BN115" i="26"/>
  <c r="BM115" i="26"/>
  <c r="BL115" i="26"/>
  <c r="BK115" i="26"/>
  <c r="BJ115" i="26"/>
  <c r="BI115" i="26"/>
  <c r="BH115" i="26"/>
  <c r="BG115" i="26"/>
  <c r="BF115" i="26"/>
  <c r="BE115" i="26"/>
  <c r="BD115" i="26"/>
  <c r="BC115" i="26"/>
  <c r="BB115" i="26"/>
  <c r="BA115" i="26"/>
  <c r="AZ115" i="26"/>
  <c r="AY115" i="26"/>
  <c r="AX115" i="26"/>
  <c r="AW115" i="26"/>
  <c r="AV115" i="26"/>
  <c r="AU115" i="26"/>
  <c r="AT115" i="26"/>
  <c r="AS115" i="26"/>
  <c r="AR115" i="26"/>
  <c r="AQ115" i="26"/>
  <c r="AP115" i="26"/>
  <c r="AO115" i="26"/>
  <c r="AN115" i="26"/>
  <c r="AM115" i="26"/>
  <c r="AL115" i="26"/>
  <c r="AK115" i="26"/>
  <c r="AJ115" i="26"/>
  <c r="AI115" i="26"/>
  <c r="AH115" i="26"/>
  <c r="AG115" i="26"/>
  <c r="AF115" i="26"/>
  <c r="AE115" i="26"/>
  <c r="AD115" i="26"/>
  <c r="AC115" i="26"/>
  <c r="AB115" i="26"/>
  <c r="Z115" i="26"/>
  <c r="Y115" i="26"/>
  <c r="X115" i="26"/>
  <c r="W115" i="26"/>
  <c r="V115" i="26"/>
  <c r="U115" i="26"/>
  <c r="T115" i="26"/>
  <c r="S115" i="26"/>
  <c r="R115" i="26"/>
  <c r="Q115" i="26"/>
  <c r="P115" i="26"/>
  <c r="O115" i="26"/>
  <c r="N115" i="26"/>
  <c r="M115" i="26"/>
  <c r="L115" i="26"/>
  <c r="K115" i="26"/>
  <c r="J115" i="26"/>
  <c r="I115" i="26"/>
  <c r="H115" i="26"/>
  <c r="G115" i="26"/>
  <c r="F115" i="26"/>
  <c r="E115" i="26"/>
  <c r="H114" i="26"/>
  <c r="D122" i="26" s="1"/>
  <c r="BX113" i="26"/>
  <c r="BW113" i="26"/>
  <c r="BW119" i="26" s="1"/>
  <c r="BV113" i="26"/>
  <c r="BV119" i="26" s="1"/>
  <c r="BU113" i="26"/>
  <c r="BU119" i="26" s="1"/>
  <c r="BT113" i="26"/>
  <c r="BT119" i="26" s="1"/>
  <c r="BS113" i="26"/>
  <c r="BS119" i="26" s="1"/>
  <c r="BR113" i="26"/>
  <c r="BR119" i="26" s="1"/>
  <c r="BQ113" i="26"/>
  <c r="BQ119" i="26" s="1"/>
  <c r="BP113" i="26"/>
  <c r="BP119" i="26" s="1"/>
  <c r="BO113" i="26"/>
  <c r="BO119" i="26" s="1"/>
  <c r="BN113" i="26"/>
  <c r="BN119" i="26" s="1"/>
  <c r="BM113" i="26"/>
  <c r="BM119" i="26" s="1"/>
  <c r="BL113" i="26"/>
  <c r="BL119" i="26" s="1"/>
  <c r="BK113" i="26"/>
  <c r="BK119" i="26" s="1"/>
  <c r="BJ113" i="26"/>
  <c r="BJ119" i="26" s="1"/>
  <c r="BI113" i="26"/>
  <c r="BI119" i="26" s="1"/>
  <c r="BH113" i="26"/>
  <c r="BH119" i="26" s="1"/>
  <c r="BG113" i="26"/>
  <c r="BG119" i="26" s="1"/>
  <c r="BF113" i="26"/>
  <c r="BF119" i="26" s="1"/>
  <c r="BE113" i="26"/>
  <c r="BE119" i="26" s="1"/>
  <c r="BD113" i="26"/>
  <c r="BD119" i="26" s="1"/>
  <c r="BC113" i="26"/>
  <c r="BC119" i="26" s="1"/>
  <c r="BB113" i="26"/>
  <c r="BB119" i="26" s="1"/>
  <c r="BA113" i="26"/>
  <c r="BA119" i="26" s="1"/>
  <c r="AZ113" i="26"/>
  <c r="AZ119" i="26" s="1"/>
  <c r="AY113" i="26"/>
  <c r="AY119" i="26" s="1"/>
  <c r="AX113" i="26"/>
  <c r="AX119" i="26" s="1"/>
  <c r="AW113" i="26"/>
  <c r="AW119" i="26" s="1"/>
  <c r="AV113" i="26"/>
  <c r="AV119" i="26" s="1"/>
  <c r="AU113" i="26"/>
  <c r="AU119" i="26" s="1"/>
  <c r="AT113" i="26"/>
  <c r="AT119" i="26" s="1"/>
  <c r="AS113" i="26"/>
  <c r="AS119" i="26" s="1"/>
  <c r="AR113" i="26"/>
  <c r="AR119" i="26" s="1"/>
  <c r="AQ113" i="26"/>
  <c r="AQ119" i="26" s="1"/>
  <c r="AP113" i="26"/>
  <c r="AP119" i="26" s="1"/>
  <c r="AO113" i="26"/>
  <c r="AO119" i="26" s="1"/>
  <c r="AN113" i="26"/>
  <c r="AN119" i="26" s="1"/>
  <c r="AM113" i="26"/>
  <c r="AM119" i="26" s="1"/>
  <c r="AL113" i="26"/>
  <c r="AL119" i="26" s="1"/>
  <c r="AK113" i="26"/>
  <c r="AK119" i="26" s="1"/>
  <c r="AJ113" i="26"/>
  <c r="AJ119" i="26" s="1"/>
  <c r="AI113" i="26"/>
  <c r="AI119" i="26" s="1"/>
  <c r="AH113" i="26"/>
  <c r="AH119" i="26" s="1"/>
  <c r="AG113" i="26"/>
  <c r="AG119" i="26" s="1"/>
  <c r="AF113" i="26"/>
  <c r="AF119" i="26" s="1"/>
  <c r="AE113" i="26"/>
  <c r="AE119" i="26" s="1"/>
  <c r="AD113" i="26"/>
  <c r="AD119" i="26" s="1"/>
  <c r="AC113" i="26"/>
  <c r="AC119" i="26" s="1"/>
  <c r="AB113" i="26"/>
  <c r="AB119" i="26" s="1"/>
  <c r="Z113" i="26"/>
  <c r="Z119" i="26" s="1"/>
  <c r="Y113" i="26"/>
  <c r="Y119" i="26" s="1"/>
  <c r="X113" i="26"/>
  <c r="X119" i="26" s="1"/>
  <c r="W113" i="26"/>
  <c r="W119" i="26" s="1"/>
  <c r="V113" i="26"/>
  <c r="V119" i="26" s="1"/>
  <c r="U113" i="26"/>
  <c r="U119" i="26" s="1"/>
  <c r="T113" i="26"/>
  <c r="S113" i="26"/>
  <c r="S119" i="26" s="1"/>
  <c r="R113" i="26"/>
  <c r="R119" i="26" s="1"/>
  <c r="Q113" i="26"/>
  <c r="Q119" i="26" s="1"/>
  <c r="P113" i="26"/>
  <c r="P119" i="26" s="1"/>
  <c r="N113" i="26"/>
  <c r="N119" i="26" s="1"/>
  <c r="K113" i="26"/>
  <c r="K119" i="26" s="1"/>
  <c r="J113" i="26"/>
  <c r="J119" i="26" s="1"/>
  <c r="I113" i="26"/>
  <c r="I119" i="26" s="1"/>
  <c r="H113" i="26"/>
  <c r="G113" i="26"/>
  <c r="G119" i="26" s="1"/>
  <c r="F113" i="26"/>
  <c r="F119" i="26" s="1"/>
  <c r="E113" i="26"/>
  <c r="E119" i="26" s="1"/>
  <c r="BW105" i="26"/>
  <c r="BV105" i="26"/>
  <c r="BU105" i="26"/>
  <c r="BT105" i="26"/>
  <c r="BS105" i="26"/>
  <c r="BR105" i="26"/>
  <c r="BQ105" i="26"/>
  <c r="BP105" i="26"/>
  <c r="BO105" i="26"/>
  <c r="BN105" i="26"/>
  <c r="BM105" i="26"/>
  <c r="BL105" i="26"/>
  <c r="BK105" i="26"/>
  <c r="BJ105" i="26"/>
  <c r="BI105" i="26"/>
  <c r="BH105" i="26"/>
  <c r="BG105" i="26"/>
  <c r="BF105" i="26"/>
  <c r="BE105" i="26"/>
  <c r="BD105" i="26"/>
  <c r="BC105" i="26"/>
  <c r="BB105" i="26"/>
  <c r="BA105" i="26"/>
  <c r="AZ105" i="26"/>
  <c r="AY105" i="26"/>
  <c r="AX105" i="26"/>
  <c r="AW105" i="26"/>
  <c r="AV105" i="26"/>
  <c r="AU105" i="26"/>
  <c r="AT105" i="26"/>
  <c r="AS105" i="26"/>
  <c r="AR105" i="26"/>
  <c r="AQ105" i="26"/>
  <c r="AP105" i="26"/>
  <c r="AO105" i="26"/>
  <c r="AN105" i="26"/>
  <c r="AM105" i="26"/>
  <c r="AL105" i="26"/>
  <c r="AK105" i="26"/>
  <c r="AJ105" i="26"/>
  <c r="AI105" i="26"/>
  <c r="AH105" i="26"/>
  <c r="AG105" i="26"/>
  <c r="AF105" i="26"/>
  <c r="AE105" i="26"/>
  <c r="AD105" i="26"/>
  <c r="AC105" i="26"/>
  <c r="AB105" i="26"/>
  <c r="Z105" i="26"/>
  <c r="Y105" i="26"/>
  <c r="X105" i="26"/>
  <c r="W105" i="26"/>
  <c r="V105" i="26"/>
  <c r="U105" i="26"/>
  <c r="T105" i="26"/>
  <c r="S105" i="26"/>
  <c r="R105" i="26"/>
  <c r="Q105" i="26"/>
  <c r="P105" i="26"/>
  <c r="N105" i="26"/>
  <c r="K105" i="26"/>
  <c r="J105" i="26"/>
  <c r="I105" i="26"/>
  <c r="H105" i="26"/>
  <c r="G105" i="26"/>
  <c r="F105" i="26"/>
  <c r="E105" i="26"/>
  <c r="G101" i="26"/>
  <c r="Q97" i="26"/>
  <c r="BY95" i="26"/>
  <c r="BY94" i="26"/>
  <c r="AA93" i="26"/>
  <c r="BX90" i="26"/>
  <c r="BW90" i="26"/>
  <c r="BV90" i="26"/>
  <c r="BU90" i="26"/>
  <c r="BT90" i="26"/>
  <c r="BS90" i="26"/>
  <c r="BR90" i="26"/>
  <c r="BQ90" i="26"/>
  <c r="BP90" i="26"/>
  <c r="BO90" i="26"/>
  <c r="BN90" i="26"/>
  <c r="BM90" i="26"/>
  <c r="BL90" i="26"/>
  <c r="BK90" i="26"/>
  <c r="BJ90" i="26"/>
  <c r="BI90" i="26"/>
  <c r="BH90" i="26"/>
  <c r="BG90" i="26"/>
  <c r="BF90" i="26"/>
  <c r="BE90" i="26"/>
  <c r="BD90" i="26"/>
  <c r="BC90" i="26"/>
  <c r="BB90" i="26"/>
  <c r="BA90" i="26"/>
  <c r="AZ90" i="26"/>
  <c r="AY90" i="26"/>
  <c r="AX90" i="26"/>
  <c r="AW90" i="26"/>
  <c r="AV90" i="26"/>
  <c r="AU90" i="26"/>
  <c r="AT90" i="26"/>
  <c r="AS90" i="26"/>
  <c r="AR90" i="26"/>
  <c r="AQ90" i="26"/>
  <c r="AP90" i="26"/>
  <c r="AO90" i="26"/>
  <c r="AN90" i="26"/>
  <c r="AM90" i="26"/>
  <c r="AL90" i="26"/>
  <c r="AK90" i="26"/>
  <c r="AJ90" i="26"/>
  <c r="AI90" i="26"/>
  <c r="AH90" i="26"/>
  <c r="AG90" i="26"/>
  <c r="AF90" i="26"/>
  <c r="AE90" i="26"/>
  <c r="AD90" i="26"/>
  <c r="AC90" i="26"/>
  <c r="AB90" i="26"/>
  <c r="R90" i="26"/>
  <c r="Q90" i="26"/>
  <c r="P90" i="26"/>
  <c r="O90" i="26"/>
  <c r="N90" i="26"/>
  <c r="M90" i="26"/>
  <c r="L90" i="26"/>
  <c r="K90" i="26"/>
  <c r="J90" i="26"/>
  <c r="I90" i="26"/>
  <c r="H90" i="26"/>
  <c r="G90" i="26"/>
  <c r="F90" i="26"/>
  <c r="E90" i="26"/>
  <c r="BY89" i="26"/>
  <c r="BY88" i="26"/>
  <c r="BY87" i="26"/>
  <c r="BX87" i="26"/>
  <c r="BW87" i="26"/>
  <c r="BV87" i="26"/>
  <c r="BU87" i="26"/>
  <c r="BT87" i="26"/>
  <c r="BS87" i="26"/>
  <c r="BR87" i="26"/>
  <c r="BQ87" i="26"/>
  <c r="BP87" i="26"/>
  <c r="BO87" i="26"/>
  <c r="BN87" i="26"/>
  <c r="BM87" i="26"/>
  <c r="BL87" i="26"/>
  <c r="BK87" i="26"/>
  <c r="BJ87" i="26"/>
  <c r="BI87" i="26"/>
  <c r="BH87" i="26"/>
  <c r="BG87" i="26"/>
  <c r="BF87" i="26"/>
  <c r="BE87" i="26"/>
  <c r="BD87" i="26"/>
  <c r="BC87" i="26"/>
  <c r="BB87" i="26"/>
  <c r="BA87" i="26"/>
  <c r="AZ87" i="26"/>
  <c r="AY87" i="26"/>
  <c r="AX87" i="26"/>
  <c r="AW87" i="26"/>
  <c r="AV87" i="26"/>
  <c r="AU87" i="26"/>
  <c r="AT87" i="26"/>
  <c r="AS87" i="26"/>
  <c r="AR87" i="26"/>
  <c r="AQ87" i="26"/>
  <c r="AP87" i="26"/>
  <c r="AO87" i="26"/>
  <c r="AN87" i="26"/>
  <c r="AM87" i="26"/>
  <c r="AL87" i="26"/>
  <c r="AK87" i="26"/>
  <c r="AJ87" i="26"/>
  <c r="AI87" i="26"/>
  <c r="AH87" i="26"/>
  <c r="AG87" i="26"/>
  <c r="AF87" i="26"/>
  <c r="AE87" i="26"/>
  <c r="AD87" i="26"/>
  <c r="AC87" i="26"/>
  <c r="AB87" i="26"/>
  <c r="AA87" i="26"/>
  <c r="Z87" i="26"/>
  <c r="Y87" i="26"/>
  <c r="X87" i="26"/>
  <c r="W87" i="26"/>
  <c r="V87" i="26"/>
  <c r="U87" i="26"/>
  <c r="T87" i="26"/>
  <c r="S87" i="26"/>
  <c r="R87" i="26"/>
  <c r="Q87" i="26"/>
  <c r="P87" i="26"/>
  <c r="O87" i="26"/>
  <c r="N87" i="26"/>
  <c r="M87" i="26"/>
  <c r="L87" i="26"/>
  <c r="K87" i="26"/>
  <c r="J87" i="26"/>
  <c r="I87" i="26"/>
  <c r="H87" i="26"/>
  <c r="G87" i="26"/>
  <c r="F87" i="26"/>
  <c r="E87" i="26"/>
  <c r="BY85" i="26"/>
  <c r="BY84" i="26"/>
  <c r="BY83" i="26"/>
  <c r="BY81" i="26"/>
  <c r="BY80" i="26"/>
  <c r="BY79" i="26"/>
  <c r="BY78" i="26"/>
  <c r="BY77" i="26"/>
  <c r="BY76" i="26"/>
  <c r="BY75" i="26"/>
  <c r="BY74" i="26"/>
  <c r="BY73" i="26"/>
  <c r="BY72" i="26"/>
  <c r="BY71" i="26"/>
  <c r="BY70" i="26"/>
  <c r="BY69" i="26"/>
  <c r="BY68" i="26"/>
  <c r="BY67" i="26"/>
  <c r="BY66" i="26"/>
  <c r="BY65" i="26"/>
  <c r="BY64" i="26"/>
  <c r="BX63" i="26"/>
  <c r="BW63" i="26"/>
  <c r="BV63" i="26"/>
  <c r="BU63" i="26"/>
  <c r="BT63" i="26"/>
  <c r="BS63" i="26"/>
  <c r="BR63" i="26"/>
  <c r="BQ63" i="26"/>
  <c r="BP63" i="26"/>
  <c r="BO63" i="26"/>
  <c r="BN63" i="26"/>
  <c r="BM63" i="26"/>
  <c r="BL63" i="26"/>
  <c r="BK63" i="26"/>
  <c r="BJ63" i="26"/>
  <c r="BI63" i="26"/>
  <c r="BH63" i="26"/>
  <c r="BG63" i="26"/>
  <c r="BF63" i="26"/>
  <c r="BE63" i="26"/>
  <c r="BD63" i="26"/>
  <c r="BC63" i="26"/>
  <c r="BB63" i="26"/>
  <c r="BA63" i="26"/>
  <c r="AZ63" i="26"/>
  <c r="AY63" i="26"/>
  <c r="AX63" i="26"/>
  <c r="AW63" i="26"/>
  <c r="AV63" i="26"/>
  <c r="AU63" i="26"/>
  <c r="AT63" i="26"/>
  <c r="AS63" i="26"/>
  <c r="AR63" i="26"/>
  <c r="AQ63" i="26"/>
  <c r="AP63" i="26"/>
  <c r="AO63" i="26"/>
  <c r="AN63" i="26"/>
  <c r="AM63" i="26"/>
  <c r="AL63" i="26"/>
  <c r="AK63" i="26"/>
  <c r="AJ63" i="26"/>
  <c r="AI63" i="26"/>
  <c r="AH63" i="26"/>
  <c r="AG63" i="26"/>
  <c r="AF63" i="26"/>
  <c r="AE63" i="26"/>
  <c r="AD63" i="26"/>
  <c r="AC63" i="26"/>
  <c r="AB63" i="26"/>
  <c r="Q63" i="26"/>
  <c r="P63" i="26"/>
  <c r="O63" i="26"/>
  <c r="N63" i="26"/>
  <c r="M63" i="26"/>
  <c r="L63" i="26"/>
  <c r="K63" i="26"/>
  <c r="J63" i="26"/>
  <c r="I63" i="26"/>
  <c r="H63" i="26"/>
  <c r="G63" i="26"/>
  <c r="F63" i="26"/>
  <c r="E63" i="26"/>
  <c r="Q62" i="26"/>
  <c r="Q121" i="26" s="1"/>
  <c r="R121" i="26" s="1"/>
  <c r="P62" i="26"/>
  <c r="O62" i="26"/>
  <c r="N62" i="26"/>
  <c r="M62" i="26"/>
  <c r="W61" i="26"/>
  <c r="V61" i="26"/>
  <c r="U61" i="26"/>
  <c r="BY60" i="26"/>
  <c r="BY59" i="26"/>
  <c r="BY58" i="26"/>
  <c r="BX55" i="26"/>
  <c r="BW55" i="26"/>
  <c r="BV55" i="26"/>
  <c r="BU55" i="26"/>
  <c r="BT55" i="26"/>
  <c r="BS55" i="26"/>
  <c r="BR55" i="26"/>
  <c r="BQ55" i="26"/>
  <c r="BP55" i="26"/>
  <c r="BO55" i="26"/>
  <c r="BN55" i="26"/>
  <c r="BM55" i="26"/>
  <c r="BL55" i="26"/>
  <c r="BK55" i="26"/>
  <c r="BJ55" i="26"/>
  <c r="BI55" i="26"/>
  <c r="BH55" i="26"/>
  <c r="BG55" i="26"/>
  <c r="BF55" i="26"/>
  <c r="BE55" i="26"/>
  <c r="BD55" i="26"/>
  <c r="BC55" i="26"/>
  <c r="BB55" i="26"/>
  <c r="BA55" i="26"/>
  <c r="AZ55" i="26"/>
  <c r="AY55" i="26"/>
  <c r="AX55" i="26"/>
  <c r="AW55" i="26"/>
  <c r="AV55" i="26"/>
  <c r="AU55" i="26"/>
  <c r="AT55" i="26"/>
  <c r="AS55" i="26"/>
  <c r="AR55" i="26"/>
  <c r="AQ55" i="26"/>
  <c r="AP55" i="26"/>
  <c r="AO55" i="26"/>
  <c r="AN55" i="26"/>
  <c r="AM55" i="26"/>
  <c r="AL55" i="26"/>
  <c r="AK55" i="26"/>
  <c r="AJ55" i="26"/>
  <c r="AI55" i="26"/>
  <c r="AH55" i="26"/>
  <c r="AG55" i="26"/>
  <c r="AF55" i="26"/>
  <c r="AE55" i="26"/>
  <c r="AD55" i="26"/>
  <c r="AC55" i="26"/>
  <c r="AB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O54" i="26"/>
  <c r="I54" i="26"/>
  <c r="BY54" i="26" s="1"/>
  <c r="AA53" i="26"/>
  <c r="Z53" i="26"/>
  <c r="Y53" i="26"/>
  <c r="X53" i="26"/>
  <c r="W53" i="26"/>
  <c r="V53" i="26"/>
  <c r="U53" i="26"/>
  <c r="T53" i="26"/>
  <c r="S53" i="26"/>
  <c r="R53" i="26"/>
  <c r="Q53" i="26"/>
  <c r="P53" i="26"/>
  <c r="N53" i="26"/>
  <c r="M53" i="26"/>
  <c r="L53" i="26"/>
  <c r="K53" i="26"/>
  <c r="J53" i="26"/>
  <c r="I53" i="26"/>
  <c r="H53" i="26"/>
  <c r="BY53" i="26" s="1"/>
  <c r="BY52" i="26"/>
  <c r="BY51" i="26"/>
  <c r="BY50" i="26"/>
  <c r="BY49" i="26"/>
  <c r="BX49" i="26"/>
  <c r="BW49" i="26"/>
  <c r="BV49" i="26"/>
  <c r="BU49" i="26"/>
  <c r="BT49" i="26"/>
  <c r="BS49" i="26"/>
  <c r="BR49" i="26"/>
  <c r="BQ49" i="26"/>
  <c r="BP49" i="26"/>
  <c r="BO49" i="26"/>
  <c r="BN49" i="26"/>
  <c r="BM49" i="26"/>
  <c r="BL49" i="26"/>
  <c r="BK49" i="26"/>
  <c r="BJ49" i="26"/>
  <c r="BI49" i="26"/>
  <c r="BH49" i="26"/>
  <c r="BG49" i="26"/>
  <c r="BF49" i="26"/>
  <c r="BE49" i="26"/>
  <c r="BD49" i="26"/>
  <c r="BC49" i="26"/>
  <c r="BB49" i="26"/>
  <c r="BA49" i="26"/>
  <c r="AZ49" i="26"/>
  <c r="AY49" i="26"/>
  <c r="AX49" i="26"/>
  <c r="AW49" i="26"/>
  <c r="AV49" i="26"/>
  <c r="AU49" i="26"/>
  <c r="AT49" i="26"/>
  <c r="AS49" i="26"/>
  <c r="AR49" i="26"/>
  <c r="AQ49" i="26"/>
  <c r="AP49" i="26"/>
  <c r="AO49" i="26"/>
  <c r="AN49" i="26"/>
  <c r="AM49" i="26"/>
  <c r="AL49" i="26"/>
  <c r="AK49" i="26"/>
  <c r="AJ49" i="26"/>
  <c r="AI49" i="26"/>
  <c r="AH49" i="26"/>
  <c r="AG49" i="26"/>
  <c r="AF49" i="26"/>
  <c r="AE49" i="26"/>
  <c r="AD49" i="26"/>
  <c r="AC49" i="26"/>
  <c r="AB49" i="26"/>
  <c r="AA49" i="26"/>
  <c r="Z49" i="26"/>
  <c r="Y49" i="26"/>
  <c r="X49" i="26"/>
  <c r="W49" i="26"/>
  <c r="V49" i="26"/>
  <c r="U49" i="26"/>
  <c r="T49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Q48" i="26"/>
  <c r="K48" i="26"/>
  <c r="Y47" i="26"/>
  <c r="W47" i="26"/>
  <c r="S47" i="26"/>
  <c r="BY47" i="26" s="1"/>
  <c r="P46" i="26"/>
  <c r="K46" i="26"/>
  <c r="I46" i="26"/>
  <c r="H46" i="26"/>
  <c r="AA45" i="26"/>
  <c r="Z45" i="26"/>
  <c r="Y45" i="26"/>
  <c r="X45" i="26"/>
  <c r="W45" i="26"/>
  <c r="V45" i="26"/>
  <c r="U45" i="26"/>
  <c r="T45" i="26"/>
  <c r="S45" i="26"/>
  <c r="R45" i="26"/>
  <c r="Q45" i="26"/>
  <c r="P45" i="26"/>
  <c r="O45" i="26"/>
  <c r="N45" i="26"/>
  <c r="M45" i="26"/>
  <c r="L45" i="26"/>
  <c r="K45" i="26"/>
  <c r="J45" i="26"/>
  <c r="H45" i="26"/>
  <c r="BY45" i="26" s="1"/>
  <c r="Z44" i="26"/>
  <c r="R44" i="26"/>
  <c r="J44" i="26"/>
  <c r="H44" i="26"/>
  <c r="BY44" i="26" s="1"/>
  <c r="Q43" i="26"/>
  <c r="P43" i="26"/>
  <c r="O43" i="26"/>
  <c r="N43" i="26"/>
  <c r="M43" i="26"/>
  <c r="L43" i="26"/>
  <c r="K43" i="26"/>
  <c r="I43" i="26"/>
  <c r="H43" i="26"/>
  <c r="Q42" i="26"/>
  <c r="P42" i="26"/>
  <c r="O42" i="26"/>
  <c r="N42" i="26"/>
  <c r="M42" i="26"/>
  <c r="L42" i="26"/>
  <c r="K42" i="26"/>
  <c r="J42" i="26"/>
  <c r="I42" i="26"/>
  <c r="H42" i="26"/>
  <c r="Y41" i="26"/>
  <c r="X41" i="26"/>
  <c r="W41" i="26"/>
  <c r="V41" i="26"/>
  <c r="U41" i="26"/>
  <c r="T41" i="26"/>
  <c r="S41" i="26"/>
  <c r="BY41" i="26" s="1"/>
  <c r="CA41" i="26" s="1"/>
  <c r="BY40" i="26"/>
  <c r="Y39" i="26"/>
  <c r="X39" i="26"/>
  <c r="W39" i="26"/>
  <c r="V39" i="26"/>
  <c r="U39" i="26"/>
  <c r="T39" i="26"/>
  <c r="S39" i="26"/>
  <c r="R39" i="26"/>
  <c r="BY39" i="26" s="1"/>
  <c r="CA38" i="26"/>
  <c r="P38" i="26"/>
  <c r="O38" i="26"/>
  <c r="M38" i="26"/>
  <c r="L38" i="26"/>
  <c r="J38" i="26"/>
  <c r="I38" i="26"/>
  <c r="BX37" i="26"/>
  <c r="BW37" i="26"/>
  <c r="BV37" i="26"/>
  <c r="BU37" i="26"/>
  <c r="BT37" i="26"/>
  <c r="BS37" i="26"/>
  <c r="BR37" i="26"/>
  <c r="BQ37" i="26"/>
  <c r="BP37" i="26"/>
  <c r="BO37" i="26"/>
  <c r="BN37" i="26"/>
  <c r="BM37" i="26"/>
  <c r="BL37" i="26"/>
  <c r="BK37" i="26"/>
  <c r="BJ37" i="26"/>
  <c r="BI37" i="26"/>
  <c r="BH37" i="26"/>
  <c r="BG37" i="26"/>
  <c r="BF37" i="26"/>
  <c r="BE37" i="26"/>
  <c r="BD37" i="26"/>
  <c r="BC37" i="26"/>
  <c r="BB37" i="26"/>
  <c r="BA37" i="26"/>
  <c r="AZ37" i="26"/>
  <c r="AY37" i="26"/>
  <c r="AX37" i="26"/>
  <c r="AW37" i="26"/>
  <c r="AV37" i="26"/>
  <c r="AU37" i="26"/>
  <c r="AT37" i="26"/>
  <c r="AS37" i="26"/>
  <c r="AR37" i="26"/>
  <c r="AQ37" i="26"/>
  <c r="AP37" i="26"/>
  <c r="AO37" i="26"/>
  <c r="AN37" i="26"/>
  <c r="AM37" i="26"/>
  <c r="AL37" i="26"/>
  <c r="AK37" i="26"/>
  <c r="AJ37" i="26"/>
  <c r="AI37" i="26"/>
  <c r="AH37" i="26"/>
  <c r="AG37" i="26"/>
  <c r="AF37" i="26"/>
  <c r="AE37" i="26"/>
  <c r="AD37" i="26"/>
  <c r="AC37" i="26"/>
  <c r="AB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BY36" i="26"/>
  <c r="BX34" i="26"/>
  <c r="BW34" i="26"/>
  <c r="BV34" i="26"/>
  <c r="BU34" i="26"/>
  <c r="BT34" i="26"/>
  <c r="BS34" i="26"/>
  <c r="BR34" i="26"/>
  <c r="BQ34" i="26"/>
  <c r="BP34" i="26"/>
  <c r="BO34" i="26"/>
  <c r="BN34" i="26"/>
  <c r="BM34" i="26"/>
  <c r="BL34" i="26"/>
  <c r="BK34" i="26"/>
  <c r="BJ34" i="26"/>
  <c r="BI34" i="26"/>
  <c r="BH34" i="26"/>
  <c r="BG34" i="26"/>
  <c r="BF34" i="26"/>
  <c r="BE34" i="26"/>
  <c r="BD34" i="26"/>
  <c r="BC34" i="26"/>
  <c r="BB34" i="26"/>
  <c r="BA34" i="26"/>
  <c r="AZ34" i="26"/>
  <c r="AY34" i="26"/>
  <c r="AX34" i="26"/>
  <c r="AW34" i="26"/>
  <c r="AV34" i="26"/>
  <c r="AU34" i="26"/>
  <c r="AT34" i="26"/>
  <c r="AS34" i="26"/>
  <c r="AR34" i="26"/>
  <c r="AQ34" i="26"/>
  <c r="AP34" i="26"/>
  <c r="AO34" i="26"/>
  <c r="AN34" i="26"/>
  <c r="AM34" i="26"/>
  <c r="AL34" i="26"/>
  <c r="AK34" i="26"/>
  <c r="AJ34" i="26"/>
  <c r="AI34" i="26"/>
  <c r="AH34" i="26"/>
  <c r="AG34" i="26"/>
  <c r="AF34" i="26"/>
  <c r="AE34" i="26"/>
  <c r="AD34" i="26"/>
  <c r="AC34" i="26"/>
  <c r="AB34" i="26"/>
  <c r="AA34" i="26"/>
  <c r="Z34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T32" i="26"/>
  <c r="I32" i="26"/>
  <c r="BY32" i="26" s="1"/>
  <c r="Y31" i="26"/>
  <c r="X31" i="26"/>
  <c r="W31" i="26"/>
  <c r="V31" i="26"/>
  <c r="U31" i="26"/>
  <c r="T31" i="26"/>
  <c r="P31" i="26"/>
  <c r="O31" i="26"/>
  <c r="N31" i="26"/>
  <c r="H31" i="26"/>
  <c r="BY31" i="26" s="1"/>
  <c r="U30" i="26"/>
  <c r="T30" i="26"/>
  <c r="S30" i="26"/>
  <c r="BY30" i="26" s="1"/>
  <c r="BY29" i="26"/>
  <c r="BY28" i="26"/>
  <c r="CG27" i="26"/>
  <c r="R27" i="26"/>
  <c r="P27" i="26"/>
  <c r="O27" i="26"/>
  <c r="N27" i="26"/>
  <c r="M27" i="26"/>
  <c r="L27" i="26"/>
  <c r="BX26" i="26"/>
  <c r="BW26" i="26"/>
  <c r="BV26" i="26"/>
  <c r="BU26" i="26"/>
  <c r="BT26" i="26"/>
  <c r="BS26" i="26"/>
  <c r="BR26" i="26"/>
  <c r="BQ26" i="26"/>
  <c r="BP26" i="26"/>
  <c r="BO26" i="26"/>
  <c r="BN26" i="26"/>
  <c r="BM26" i="26"/>
  <c r="BL26" i="26"/>
  <c r="BK26" i="26"/>
  <c r="BJ26" i="26"/>
  <c r="BI26" i="26"/>
  <c r="BH26" i="26"/>
  <c r="BG26" i="26"/>
  <c r="BF26" i="26"/>
  <c r="BE26" i="26"/>
  <c r="BD26" i="26"/>
  <c r="BC26" i="26"/>
  <c r="BB26" i="26"/>
  <c r="BA26" i="26"/>
  <c r="AZ26" i="26"/>
  <c r="AY26" i="26"/>
  <c r="AX26" i="26"/>
  <c r="AW26" i="26"/>
  <c r="AV26" i="26"/>
  <c r="AU26" i="26"/>
  <c r="AT26" i="26"/>
  <c r="AS26" i="26"/>
  <c r="AR26" i="26"/>
  <c r="AQ26" i="26"/>
  <c r="AP26" i="26"/>
  <c r="AO26" i="26"/>
  <c r="AN26" i="26"/>
  <c r="AM26" i="26"/>
  <c r="AL26" i="26"/>
  <c r="AK26" i="26"/>
  <c r="AJ26" i="26"/>
  <c r="AI26" i="26"/>
  <c r="AH26" i="26"/>
  <c r="AG26" i="26"/>
  <c r="AF26" i="26"/>
  <c r="AE26" i="26"/>
  <c r="AD26" i="26"/>
  <c r="AC26" i="26"/>
  <c r="AB26" i="26"/>
  <c r="AA26" i="26"/>
  <c r="Z26" i="26"/>
  <c r="S26" i="26"/>
  <c r="R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S25" i="26"/>
  <c r="BY25" i="26" s="1"/>
  <c r="CG24" i="26"/>
  <c r="S24" i="26"/>
  <c r="S147" i="26" s="1"/>
  <c r="S152" i="26" s="1"/>
  <c r="R24" i="26"/>
  <c r="R147" i="26" s="1"/>
  <c r="R152" i="26" s="1"/>
  <c r="Q24" i="26"/>
  <c r="Q147" i="26" s="1"/>
  <c r="Q152" i="26" s="1"/>
  <c r="L24" i="26"/>
  <c r="L147" i="26" s="1"/>
  <c r="L152" i="26" s="1"/>
  <c r="I24" i="26"/>
  <c r="BY24" i="26" s="1"/>
  <c r="CE23" i="26"/>
  <c r="BY23" i="26"/>
  <c r="CA23" i="26" s="1"/>
  <c r="BX23" i="26"/>
  <c r="BW23" i="26"/>
  <c r="BV23" i="26"/>
  <c r="BU23" i="26"/>
  <c r="BT23" i="26"/>
  <c r="BS23" i="26"/>
  <c r="BR23" i="26"/>
  <c r="BQ23" i="26"/>
  <c r="BP23" i="26"/>
  <c r="BO23" i="26"/>
  <c r="BN23" i="26"/>
  <c r="BM23" i="26"/>
  <c r="BL23" i="26"/>
  <c r="BK23" i="26"/>
  <c r="BJ23" i="26"/>
  <c r="BI23" i="26"/>
  <c r="BH23" i="26"/>
  <c r="BG23" i="26"/>
  <c r="BF23" i="26"/>
  <c r="BE23" i="26"/>
  <c r="BD23" i="26"/>
  <c r="BC23" i="26"/>
  <c r="BB23" i="26"/>
  <c r="BA23" i="26"/>
  <c r="AZ23" i="26"/>
  <c r="AY23" i="26"/>
  <c r="AX23" i="26"/>
  <c r="AW23" i="26"/>
  <c r="AV23" i="26"/>
  <c r="AU23" i="26"/>
  <c r="AT23" i="26"/>
  <c r="AS23" i="26"/>
  <c r="AR23" i="26"/>
  <c r="AQ23" i="26"/>
  <c r="AP23" i="26"/>
  <c r="AO23" i="26"/>
  <c r="AN23" i="26"/>
  <c r="AM23" i="26"/>
  <c r="AL23" i="26"/>
  <c r="AK23" i="26"/>
  <c r="AJ23" i="26"/>
  <c r="AI23" i="26"/>
  <c r="AH23" i="26"/>
  <c r="AG23" i="26"/>
  <c r="AF23" i="26"/>
  <c r="AE23" i="26"/>
  <c r="AD23" i="26"/>
  <c r="AC23" i="26"/>
  <c r="AB23" i="26"/>
  <c r="AA23" i="26"/>
  <c r="Z23" i="26"/>
  <c r="Y23" i="26"/>
  <c r="X23" i="26"/>
  <c r="W23" i="26"/>
  <c r="V23" i="26"/>
  <c r="U23" i="26"/>
  <c r="T23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BY22" i="26"/>
  <c r="BY21" i="26"/>
  <c r="BY20" i="26"/>
  <c r="BY19" i="26"/>
  <c r="J18" i="26"/>
  <c r="H18" i="26"/>
  <c r="BY18" i="26" s="1"/>
  <c r="BY17" i="26"/>
  <c r="BX17" i="26"/>
  <c r="BX98" i="26" s="1"/>
  <c r="BW17" i="26"/>
  <c r="BW98" i="26" s="1"/>
  <c r="BV17" i="26"/>
  <c r="BV98" i="26" s="1"/>
  <c r="BU17" i="26"/>
  <c r="BU98" i="26" s="1"/>
  <c r="BT17" i="26"/>
  <c r="BT98" i="26" s="1"/>
  <c r="BS17" i="26"/>
  <c r="BS98" i="26" s="1"/>
  <c r="BR17" i="26"/>
  <c r="BR98" i="26" s="1"/>
  <c r="BQ17" i="26"/>
  <c r="BQ98" i="26" s="1"/>
  <c r="BP17" i="26"/>
  <c r="BP98" i="26" s="1"/>
  <c r="BO17" i="26"/>
  <c r="BO98" i="26" s="1"/>
  <c r="BN17" i="26"/>
  <c r="BN98" i="26" s="1"/>
  <c r="BM17" i="26"/>
  <c r="BM98" i="26" s="1"/>
  <c r="BL17" i="26"/>
  <c r="BL98" i="26" s="1"/>
  <c r="BK17" i="26"/>
  <c r="BK98" i="26" s="1"/>
  <c r="BJ17" i="26"/>
  <c r="BJ98" i="26" s="1"/>
  <c r="BI17" i="26"/>
  <c r="BI98" i="26" s="1"/>
  <c r="BH17" i="26"/>
  <c r="BH98" i="26" s="1"/>
  <c r="BG17" i="26"/>
  <c r="BG98" i="26" s="1"/>
  <c r="BF17" i="26"/>
  <c r="BF98" i="26" s="1"/>
  <c r="BE17" i="26"/>
  <c r="BE98" i="26" s="1"/>
  <c r="BD17" i="26"/>
  <c r="BD98" i="26" s="1"/>
  <c r="BC17" i="26"/>
  <c r="BC98" i="26" s="1"/>
  <c r="BB17" i="26"/>
  <c r="BB98" i="26" s="1"/>
  <c r="BA17" i="26"/>
  <c r="BA98" i="26" s="1"/>
  <c r="AZ17" i="26"/>
  <c r="AZ98" i="26" s="1"/>
  <c r="AY17" i="26"/>
  <c r="AY98" i="26" s="1"/>
  <c r="AX17" i="26"/>
  <c r="AX98" i="26" s="1"/>
  <c r="AW17" i="26"/>
  <c r="AW98" i="26" s="1"/>
  <c r="AV17" i="26"/>
  <c r="AV98" i="26" s="1"/>
  <c r="AU17" i="26"/>
  <c r="AU98" i="26" s="1"/>
  <c r="AT17" i="26"/>
  <c r="AT98" i="26" s="1"/>
  <c r="AS17" i="26"/>
  <c r="AS98" i="26" s="1"/>
  <c r="AR17" i="26"/>
  <c r="AR98" i="26" s="1"/>
  <c r="AQ17" i="26"/>
  <c r="AQ98" i="26" s="1"/>
  <c r="AP17" i="26"/>
  <c r="AP98" i="26" s="1"/>
  <c r="AO17" i="26"/>
  <c r="AO98" i="26" s="1"/>
  <c r="AN17" i="26"/>
  <c r="AN98" i="26" s="1"/>
  <c r="AM17" i="26"/>
  <c r="AM98" i="26" s="1"/>
  <c r="AL17" i="26"/>
  <c r="AL98" i="26" s="1"/>
  <c r="AK17" i="26"/>
  <c r="AK98" i="26" s="1"/>
  <c r="AJ17" i="26"/>
  <c r="AJ98" i="26" s="1"/>
  <c r="AI17" i="26"/>
  <c r="AI98" i="26" s="1"/>
  <c r="AH17" i="26"/>
  <c r="AH98" i="26" s="1"/>
  <c r="AG17" i="26"/>
  <c r="AG98" i="26" s="1"/>
  <c r="AF17" i="26"/>
  <c r="AF98" i="26" s="1"/>
  <c r="AE17" i="26"/>
  <c r="AE98" i="26" s="1"/>
  <c r="AD17" i="26"/>
  <c r="AD98" i="26" s="1"/>
  <c r="AC17" i="26"/>
  <c r="AC98" i="26" s="1"/>
  <c r="AB17" i="26"/>
  <c r="AB98" i="26" s="1"/>
  <c r="AA17" i="26"/>
  <c r="Z17" i="26"/>
  <c r="Y17" i="26"/>
  <c r="X17" i="26"/>
  <c r="W17" i="26"/>
  <c r="V17" i="26"/>
  <c r="U17" i="26"/>
  <c r="T17" i="26"/>
  <c r="S17" i="26"/>
  <c r="R17" i="26"/>
  <c r="Q17" i="26"/>
  <c r="P17" i="26"/>
  <c r="P98" i="26" s="1"/>
  <c r="O17" i="26"/>
  <c r="O98" i="26" s="1"/>
  <c r="N17" i="26"/>
  <c r="N98" i="26" s="1"/>
  <c r="M17" i="26"/>
  <c r="M98" i="26" s="1"/>
  <c r="L17" i="26"/>
  <c r="L98" i="26" s="1"/>
  <c r="K17" i="26"/>
  <c r="K98" i="26" s="1"/>
  <c r="J17" i="26"/>
  <c r="J98" i="26" s="1"/>
  <c r="I17" i="26"/>
  <c r="I98" i="26" s="1"/>
  <c r="H17" i="26"/>
  <c r="H98" i="26" s="1"/>
  <c r="H99" i="26" s="1"/>
  <c r="I99" i="26" s="1"/>
  <c r="J99" i="26" s="1"/>
  <c r="K99" i="26" s="1"/>
  <c r="L99" i="26" s="1"/>
  <c r="M99" i="26" s="1"/>
  <c r="N99" i="26" s="1"/>
  <c r="G17" i="26"/>
  <c r="G98" i="26" s="1"/>
  <c r="F17" i="26"/>
  <c r="F98" i="26" s="1"/>
  <c r="E17" i="26"/>
  <c r="E98" i="26" s="1"/>
  <c r="BX16" i="26"/>
  <c r="BX100" i="26" s="1"/>
  <c r="BW16" i="26"/>
  <c r="BW100" i="26" s="1"/>
  <c r="BV16" i="26"/>
  <c r="BV100" i="26" s="1"/>
  <c r="BU16" i="26"/>
  <c r="BU100" i="26" s="1"/>
  <c r="BT16" i="26"/>
  <c r="BT100" i="26" s="1"/>
  <c r="BS16" i="26"/>
  <c r="BS100" i="26" s="1"/>
  <c r="BR16" i="26"/>
  <c r="BR100" i="26" s="1"/>
  <c r="BQ16" i="26"/>
  <c r="BQ100" i="26" s="1"/>
  <c r="BP16" i="26"/>
  <c r="BP100" i="26" s="1"/>
  <c r="BO16" i="26"/>
  <c r="BO100" i="26" s="1"/>
  <c r="BN16" i="26"/>
  <c r="BN100" i="26" s="1"/>
  <c r="BM16" i="26"/>
  <c r="BM100" i="26" s="1"/>
  <c r="BL16" i="26"/>
  <c r="BL100" i="26" s="1"/>
  <c r="BK16" i="26"/>
  <c r="BK100" i="26" s="1"/>
  <c r="BJ16" i="26"/>
  <c r="BJ100" i="26" s="1"/>
  <c r="BI16" i="26"/>
  <c r="BI100" i="26" s="1"/>
  <c r="BH16" i="26"/>
  <c r="BH100" i="26" s="1"/>
  <c r="BG16" i="26"/>
  <c r="BG100" i="26" s="1"/>
  <c r="BF16" i="26"/>
  <c r="BF100" i="26" s="1"/>
  <c r="BE16" i="26"/>
  <c r="BE100" i="26" s="1"/>
  <c r="BD16" i="26"/>
  <c r="BD100" i="26" s="1"/>
  <c r="BC16" i="26"/>
  <c r="BC100" i="26" s="1"/>
  <c r="BB16" i="26"/>
  <c r="BB100" i="26" s="1"/>
  <c r="BA16" i="26"/>
  <c r="BA100" i="26" s="1"/>
  <c r="AZ16" i="26"/>
  <c r="AZ100" i="26" s="1"/>
  <c r="AY16" i="26"/>
  <c r="AY100" i="26" s="1"/>
  <c r="AX16" i="26"/>
  <c r="AX100" i="26" s="1"/>
  <c r="AW16" i="26"/>
  <c r="AW100" i="26" s="1"/>
  <c r="AV16" i="26"/>
  <c r="AV100" i="26" s="1"/>
  <c r="AU16" i="26"/>
  <c r="AU100" i="26" s="1"/>
  <c r="AT16" i="26"/>
  <c r="AT100" i="26" s="1"/>
  <c r="AS16" i="26"/>
  <c r="AS100" i="26" s="1"/>
  <c r="AR16" i="26"/>
  <c r="AR100" i="26" s="1"/>
  <c r="AQ16" i="26"/>
  <c r="AQ100" i="26" s="1"/>
  <c r="AP16" i="26"/>
  <c r="AP100" i="26" s="1"/>
  <c r="AO16" i="26"/>
  <c r="AO100" i="26" s="1"/>
  <c r="AN16" i="26"/>
  <c r="AN100" i="26" s="1"/>
  <c r="AM16" i="26"/>
  <c r="AM100" i="26" s="1"/>
  <c r="AL16" i="26"/>
  <c r="AL100" i="26" s="1"/>
  <c r="AK16" i="26"/>
  <c r="AK100" i="26" s="1"/>
  <c r="AJ16" i="26"/>
  <c r="AJ100" i="26" s="1"/>
  <c r="AI16" i="26"/>
  <c r="AI100" i="26" s="1"/>
  <c r="AH16" i="26"/>
  <c r="AH100" i="26" s="1"/>
  <c r="AG16" i="26"/>
  <c r="AG100" i="26" s="1"/>
  <c r="AF16" i="26"/>
  <c r="AF100" i="26" s="1"/>
  <c r="AE16" i="26"/>
  <c r="AE100" i="26" s="1"/>
  <c r="AD16" i="26"/>
  <c r="AD100" i="26" s="1"/>
  <c r="AC16" i="26"/>
  <c r="AC100" i="26" s="1"/>
  <c r="AB16" i="26"/>
  <c r="AB100" i="26" s="1"/>
  <c r="J16" i="26"/>
  <c r="J100" i="26" s="1"/>
  <c r="I16" i="26"/>
  <c r="I100" i="26" s="1"/>
  <c r="G16" i="26"/>
  <c r="G100" i="26" s="1"/>
  <c r="F16" i="26"/>
  <c r="F100" i="26" s="1"/>
  <c r="E16" i="26"/>
  <c r="E100" i="26" s="1"/>
  <c r="E101" i="26" s="1"/>
  <c r="Q15" i="26"/>
  <c r="P15" i="26"/>
  <c r="CE14" i="26"/>
  <c r="CE15" i="26" s="1"/>
  <c r="S14" i="26"/>
  <c r="S16" i="26" s="1"/>
  <c r="R14" i="26"/>
  <c r="R16" i="26" s="1"/>
  <c r="Q14" i="26"/>
  <c r="P14" i="26"/>
  <c r="O14" i="26"/>
  <c r="M14" i="26"/>
  <c r="K14" i="26"/>
  <c r="CH11" i="26"/>
  <c r="Q11" i="26"/>
  <c r="Q16" i="26" s="1"/>
  <c r="P11" i="26"/>
  <c r="P16" i="26" s="1"/>
  <c r="P100" i="26" s="1"/>
  <c r="O11" i="26"/>
  <c r="N11" i="26"/>
  <c r="N16" i="26" s="1"/>
  <c r="N100" i="26" s="1"/>
  <c r="M11" i="26"/>
  <c r="X10" i="26"/>
  <c r="W9" i="26"/>
  <c r="V9" i="26"/>
  <c r="U9" i="26"/>
  <c r="BY8" i="26"/>
  <c r="CB8" i="26" s="1"/>
  <c r="CA7" i="26"/>
  <c r="BY7" i="26"/>
  <c r="CB7" i="26" s="1"/>
  <c r="CA6" i="26"/>
  <c r="O6" i="26"/>
  <c r="M6" i="26"/>
  <c r="L6" i="26"/>
  <c r="H5" i="26"/>
  <c r="BZ33" i="23"/>
  <c r="BY33" i="23"/>
  <c r="CK30" i="23"/>
  <c r="CK29" i="23"/>
  <c r="CK28" i="23"/>
  <c r="CK27" i="23"/>
  <c r="BX26" i="23"/>
  <c r="BW26" i="23"/>
  <c r="BV26" i="23"/>
  <c r="BU26" i="23"/>
  <c r="BT26" i="23"/>
  <c r="BS26" i="23"/>
  <c r="BR26" i="23"/>
  <c r="BQ26" i="23"/>
  <c r="BP26" i="23"/>
  <c r="BO26" i="23"/>
  <c r="BN26" i="23"/>
  <c r="BM26" i="23"/>
  <c r="BL26" i="23"/>
  <c r="BK26" i="23"/>
  <c r="BJ26" i="23"/>
  <c r="BI26" i="23"/>
  <c r="BH26" i="23"/>
  <c r="BG26" i="23"/>
  <c r="BF26" i="23"/>
  <c r="BE26" i="23"/>
  <c r="BD26" i="23"/>
  <c r="BC26" i="23"/>
  <c r="BB26" i="23"/>
  <c r="BA26" i="23"/>
  <c r="AZ26" i="23"/>
  <c r="AY26" i="23"/>
  <c r="AX26" i="23"/>
  <c r="AW26" i="23"/>
  <c r="AV26" i="23"/>
  <c r="AU26" i="23"/>
  <c r="AT26" i="23"/>
  <c r="AS26" i="23"/>
  <c r="AR26" i="23"/>
  <c r="AQ26" i="23"/>
  <c r="AP26" i="23"/>
  <c r="AO26" i="23"/>
  <c r="AN26" i="23"/>
  <c r="AM26" i="23"/>
  <c r="AL26" i="23"/>
  <c r="AK26" i="23"/>
  <c r="AJ26" i="23"/>
  <c r="AI26" i="23"/>
  <c r="AH26" i="23"/>
  <c r="AG26" i="23"/>
  <c r="AF26" i="23"/>
  <c r="AE26" i="23"/>
  <c r="AD26" i="23"/>
  <c r="AC26" i="23"/>
  <c r="AB26" i="23"/>
  <c r="AA26" i="23"/>
  <c r="Z26" i="23"/>
  <c r="Y26" i="23"/>
  <c r="X26" i="23"/>
  <c r="W26" i="23"/>
  <c r="V26" i="23"/>
  <c r="U26" i="23"/>
  <c r="T26" i="23"/>
  <c r="S26" i="23"/>
  <c r="R26" i="23"/>
  <c r="Q26" i="23"/>
  <c r="P26" i="23"/>
  <c r="O26" i="23"/>
  <c r="N26" i="23"/>
  <c r="M26" i="23"/>
  <c r="L26" i="23"/>
  <c r="K26" i="23"/>
  <c r="J26" i="23"/>
  <c r="I26" i="23"/>
  <c r="H26" i="23"/>
  <c r="G26" i="23"/>
  <c r="F26" i="23"/>
  <c r="E26" i="23"/>
  <c r="CK26" i="23" s="1"/>
  <c r="BX25" i="23"/>
  <c r="BW25" i="23"/>
  <c r="BV25" i="23"/>
  <c r="BU25" i="23"/>
  <c r="BT25" i="23"/>
  <c r="BS25" i="23"/>
  <c r="BR25" i="23"/>
  <c r="BQ25" i="23"/>
  <c r="BP25" i="23"/>
  <c r="BO25" i="23"/>
  <c r="BN25" i="23"/>
  <c r="BM25" i="23"/>
  <c r="BL25" i="23"/>
  <c r="BK25" i="23"/>
  <c r="BJ25" i="23"/>
  <c r="BI25" i="23"/>
  <c r="BH25" i="23"/>
  <c r="BG25" i="23"/>
  <c r="BF25" i="23"/>
  <c r="BE25" i="23"/>
  <c r="BD25" i="23"/>
  <c r="BC25" i="23"/>
  <c r="BB25" i="23"/>
  <c r="BA25" i="23"/>
  <c r="AZ25" i="23"/>
  <c r="AY25" i="23"/>
  <c r="AX25" i="23"/>
  <c r="AW25" i="23"/>
  <c r="AV25" i="23"/>
  <c r="AU25" i="23"/>
  <c r="AT25" i="23"/>
  <c r="AS25" i="23"/>
  <c r="AR25" i="23"/>
  <c r="AQ25" i="23"/>
  <c r="AP25" i="23"/>
  <c r="AO25" i="23"/>
  <c r="AN25" i="23"/>
  <c r="AM25" i="23"/>
  <c r="AL25" i="23"/>
  <c r="AK25" i="23"/>
  <c r="AJ25" i="23"/>
  <c r="AI25" i="23"/>
  <c r="AH25" i="23"/>
  <c r="AG25" i="23"/>
  <c r="AF25" i="23"/>
  <c r="AE25" i="23"/>
  <c r="AD25" i="23"/>
  <c r="AC25" i="23"/>
  <c r="AB25" i="23"/>
  <c r="AA25" i="23"/>
  <c r="Z25" i="23"/>
  <c r="Y25" i="23"/>
  <c r="X25" i="23"/>
  <c r="W25" i="23"/>
  <c r="V25" i="23"/>
  <c r="U25" i="23"/>
  <c r="T25" i="23"/>
  <c r="S25" i="23"/>
  <c r="R25" i="23"/>
  <c r="Q25" i="23"/>
  <c r="P25" i="23"/>
  <c r="O25" i="23"/>
  <c r="N25" i="23"/>
  <c r="M25" i="23"/>
  <c r="L25" i="23"/>
  <c r="K25" i="23"/>
  <c r="J25" i="23"/>
  <c r="I25" i="23"/>
  <c r="H25" i="23"/>
  <c r="G25" i="23"/>
  <c r="F25" i="23"/>
  <c r="E25" i="23"/>
  <c r="CK25" i="23" s="1"/>
  <c r="BX24" i="23"/>
  <c r="BW24" i="23"/>
  <c r="BV24" i="23"/>
  <c r="BU24" i="23"/>
  <c r="BT24" i="23"/>
  <c r="BS24" i="23"/>
  <c r="BR24" i="23"/>
  <c r="BQ24" i="23"/>
  <c r="BP24" i="23"/>
  <c r="BO24" i="23"/>
  <c r="BN24" i="23"/>
  <c r="BM24" i="23"/>
  <c r="BL24" i="23"/>
  <c r="BK24" i="23"/>
  <c r="BJ24" i="23"/>
  <c r="BI24" i="23"/>
  <c r="BH24" i="23"/>
  <c r="BG24" i="23"/>
  <c r="BF24" i="23"/>
  <c r="BE24" i="23"/>
  <c r="BD24" i="23"/>
  <c r="BC24" i="23"/>
  <c r="BB24" i="23"/>
  <c r="BA24" i="23"/>
  <c r="AZ24" i="23"/>
  <c r="AY24" i="23"/>
  <c r="AX24" i="23"/>
  <c r="AW24" i="23"/>
  <c r="AV24" i="23"/>
  <c r="AU24" i="23"/>
  <c r="AT24" i="23"/>
  <c r="AS24" i="23"/>
  <c r="AR24" i="23"/>
  <c r="AQ24" i="23"/>
  <c r="AP24" i="23"/>
  <c r="AO24" i="23"/>
  <c r="AN24" i="23"/>
  <c r="AM24" i="23"/>
  <c r="AL24" i="23"/>
  <c r="AK24" i="23"/>
  <c r="AJ24" i="23"/>
  <c r="AI24" i="23"/>
  <c r="AH24" i="23"/>
  <c r="AG24" i="23"/>
  <c r="AF24" i="23"/>
  <c r="AE24" i="23"/>
  <c r="AD24" i="23"/>
  <c r="AC24" i="23"/>
  <c r="AB24" i="23"/>
  <c r="AA24" i="23"/>
  <c r="Z24" i="23"/>
  <c r="Y24" i="23"/>
  <c r="X24" i="23"/>
  <c r="W24" i="23"/>
  <c r="V24" i="23"/>
  <c r="U24" i="23"/>
  <c r="S24" i="23"/>
  <c r="R24" i="23"/>
  <c r="Q24" i="23"/>
  <c r="P24" i="23"/>
  <c r="O24" i="23"/>
  <c r="N24" i="23"/>
  <c r="M24" i="23"/>
  <c r="L24" i="23"/>
  <c r="K24" i="23"/>
  <c r="J24" i="23"/>
  <c r="I24" i="23"/>
  <c r="H24" i="23"/>
  <c r="G24" i="23"/>
  <c r="F24" i="23"/>
  <c r="E24" i="23"/>
  <c r="BX23" i="23"/>
  <c r="BW23" i="23"/>
  <c r="BV23" i="23"/>
  <c r="BU23" i="23"/>
  <c r="BT23" i="23"/>
  <c r="BS23" i="23"/>
  <c r="BR23" i="23"/>
  <c r="BQ23" i="23"/>
  <c r="BP23" i="23"/>
  <c r="BO23" i="23"/>
  <c r="BN23" i="23"/>
  <c r="BM23" i="23"/>
  <c r="BL23" i="23"/>
  <c r="BK23" i="23"/>
  <c r="BJ23" i="23"/>
  <c r="BI23" i="23"/>
  <c r="BH23" i="23"/>
  <c r="BG23" i="23"/>
  <c r="BF23" i="23"/>
  <c r="BE23" i="23"/>
  <c r="BD23" i="23"/>
  <c r="BC23" i="23"/>
  <c r="BB23" i="23"/>
  <c r="BA23" i="23"/>
  <c r="AZ23" i="23"/>
  <c r="AY23" i="23"/>
  <c r="AX23" i="23"/>
  <c r="AW23" i="23"/>
  <c r="AV23" i="23"/>
  <c r="AU23" i="23"/>
  <c r="AT23" i="23"/>
  <c r="AS23" i="23"/>
  <c r="AR23" i="23"/>
  <c r="AQ23" i="23"/>
  <c r="AP23" i="23"/>
  <c r="AO23" i="23"/>
  <c r="AN23" i="23"/>
  <c r="AM23" i="23"/>
  <c r="AL23" i="23"/>
  <c r="AK23" i="23"/>
  <c r="AJ23" i="23"/>
  <c r="AI23" i="23"/>
  <c r="AH23" i="23"/>
  <c r="AG23" i="23"/>
  <c r="AF23" i="23"/>
  <c r="AE23" i="23"/>
  <c r="AD23" i="23"/>
  <c r="AC23" i="23"/>
  <c r="AB23" i="23"/>
  <c r="AA23" i="23"/>
  <c r="Z23" i="23"/>
  <c r="Y23" i="23"/>
  <c r="X23" i="23"/>
  <c r="W23" i="23"/>
  <c r="V23" i="23"/>
  <c r="U23" i="23"/>
  <c r="S23" i="23"/>
  <c r="R23" i="23"/>
  <c r="Q23" i="23"/>
  <c r="P23" i="23"/>
  <c r="O23" i="23"/>
  <c r="N23" i="23"/>
  <c r="M23" i="23"/>
  <c r="L23" i="23"/>
  <c r="K23" i="23"/>
  <c r="J23" i="23"/>
  <c r="I23" i="23"/>
  <c r="H23" i="23"/>
  <c r="G23" i="23"/>
  <c r="F23" i="23"/>
  <c r="E23" i="23"/>
  <c r="CK20" i="23"/>
  <c r="CK19" i="23"/>
  <c r="CK18" i="23"/>
  <c r="CK17" i="23"/>
  <c r="CK16" i="23"/>
  <c r="BX13" i="23"/>
  <c r="BW13" i="23"/>
  <c r="BV13" i="23"/>
  <c r="BU13" i="23"/>
  <c r="BT13" i="23"/>
  <c r="BS13" i="23"/>
  <c r="BR13" i="23"/>
  <c r="BQ13" i="23"/>
  <c r="BP13" i="23"/>
  <c r="BO13" i="23"/>
  <c r="BN13" i="23"/>
  <c r="BM13" i="23"/>
  <c r="BL13" i="23"/>
  <c r="BK13" i="23"/>
  <c r="BJ13" i="23"/>
  <c r="BI13" i="23"/>
  <c r="BH13" i="23"/>
  <c r="BG13" i="23"/>
  <c r="BF13" i="23"/>
  <c r="BE13" i="23"/>
  <c r="BD13" i="23"/>
  <c r="BC13" i="23"/>
  <c r="BB13" i="23"/>
  <c r="BA13" i="23"/>
  <c r="AZ13" i="23"/>
  <c r="AY13" i="23"/>
  <c r="AX13" i="23"/>
  <c r="AW13" i="23"/>
  <c r="AV13" i="23"/>
  <c r="AU13" i="23"/>
  <c r="AT13" i="23"/>
  <c r="AS13" i="23"/>
  <c r="AR13" i="23"/>
  <c r="AQ13" i="23"/>
  <c r="AP13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AA13" i="23"/>
  <c r="Z13" i="23"/>
  <c r="Y13" i="23"/>
  <c r="X13" i="23"/>
  <c r="W13" i="23"/>
  <c r="V13" i="23"/>
  <c r="U13" i="23"/>
  <c r="T13" i="23"/>
  <c r="S13" i="23"/>
  <c r="R13" i="23"/>
  <c r="Q13" i="23"/>
  <c r="P13" i="23"/>
  <c r="O13" i="23"/>
  <c r="N13" i="23"/>
  <c r="M13" i="23"/>
  <c r="L13" i="23"/>
  <c r="K13" i="23"/>
  <c r="J13" i="23"/>
  <c r="I13" i="23"/>
  <c r="H13" i="23"/>
  <c r="G13" i="23"/>
  <c r="F13" i="23"/>
  <c r="E13" i="23"/>
  <c r="CK13" i="23" s="1"/>
  <c r="CL13" i="23" s="1"/>
  <c r="CK10" i="23"/>
  <c r="CL10" i="23" s="1"/>
  <c r="CK9" i="23"/>
  <c r="CL9" i="23" s="1"/>
  <c r="CK8" i="23"/>
  <c r="CL8" i="23" s="1"/>
  <c r="CK7" i="23"/>
  <c r="CL7" i="23" s="1"/>
  <c r="E6" i="23"/>
  <c r="CK6" i="23" s="1"/>
  <c r="BX5" i="23"/>
  <c r="BW5" i="23"/>
  <c r="BV5" i="23"/>
  <c r="BU5" i="23"/>
  <c r="BT5" i="23"/>
  <c r="BS5" i="23"/>
  <c r="BR5" i="23"/>
  <c r="BQ5" i="23"/>
  <c r="BP5" i="23"/>
  <c r="BO5" i="23"/>
  <c r="BN5" i="23"/>
  <c r="BM5" i="23"/>
  <c r="BL5" i="23"/>
  <c r="BK5" i="23"/>
  <c r="BJ5" i="23"/>
  <c r="BI5" i="23"/>
  <c r="BH5" i="23"/>
  <c r="BG5" i="23"/>
  <c r="BF5" i="23"/>
  <c r="BE5" i="23"/>
  <c r="BD5" i="23"/>
  <c r="BC5" i="23"/>
  <c r="BB5" i="23"/>
  <c r="BA5" i="23"/>
  <c r="AZ5" i="23"/>
  <c r="AY5" i="23"/>
  <c r="AX5" i="23"/>
  <c r="AW5" i="23"/>
  <c r="AV5" i="23"/>
  <c r="AU5" i="23"/>
  <c r="AT5" i="23"/>
  <c r="AS5" i="23"/>
  <c r="AR5" i="23"/>
  <c r="AQ5" i="23"/>
  <c r="AP5" i="23"/>
  <c r="AO5" i="23"/>
  <c r="AN5" i="23"/>
  <c r="AM5" i="23"/>
  <c r="AL5" i="23"/>
  <c r="AK5" i="23"/>
  <c r="AJ5" i="23"/>
  <c r="AI5" i="23"/>
  <c r="AH5" i="23"/>
  <c r="AG5" i="23"/>
  <c r="AF5" i="23"/>
  <c r="AE5" i="23"/>
  <c r="AD5" i="23"/>
  <c r="AC5" i="23"/>
  <c r="AB5" i="23"/>
  <c r="AA5" i="23"/>
  <c r="Z5" i="23"/>
  <c r="Y5" i="23"/>
  <c r="X5" i="23"/>
  <c r="W5" i="23"/>
  <c r="V5" i="23"/>
  <c r="U5" i="23"/>
  <c r="T5" i="23"/>
  <c r="S5" i="23"/>
  <c r="R5" i="23"/>
  <c r="Q5" i="23"/>
  <c r="P5" i="23"/>
  <c r="O5" i="23"/>
  <c r="N5" i="23"/>
  <c r="M5" i="23"/>
  <c r="L5" i="23"/>
  <c r="K5" i="23"/>
  <c r="J5" i="23"/>
  <c r="I5" i="23"/>
  <c r="H5" i="23"/>
  <c r="G5" i="23"/>
  <c r="F5" i="23"/>
  <c r="E5" i="23"/>
  <c r="BX4" i="23"/>
  <c r="BW4" i="23"/>
  <c r="BV4" i="23"/>
  <c r="BU4" i="23"/>
  <c r="BT4" i="23"/>
  <c r="BS4" i="23"/>
  <c r="BR4" i="23"/>
  <c r="BQ4" i="23"/>
  <c r="BP4" i="23"/>
  <c r="BO4" i="23"/>
  <c r="BN4" i="23"/>
  <c r="BM4" i="23"/>
  <c r="BL4" i="23"/>
  <c r="BK4" i="23"/>
  <c r="BJ4" i="23"/>
  <c r="BI4" i="23"/>
  <c r="BH4" i="23"/>
  <c r="BG4" i="23"/>
  <c r="BF4" i="23"/>
  <c r="BE4" i="23"/>
  <c r="BD4" i="23"/>
  <c r="BC4" i="23"/>
  <c r="BB4" i="23"/>
  <c r="BA4" i="23"/>
  <c r="AZ4" i="23"/>
  <c r="AY4" i="23"/>
  <c r="AX4" i="23"/>
  <c r="AW4" i="23"/>
  <c r="AV4" i="23"/>
  <c r="AU4" i="23"/>
  <c r="AT4" i="23"/>
  <c r="AS4" i="23"/>
  <c r="AR4" i="23"/>
  <c r="AQ4" i="23"/>
  <c r="AP4" i="23"/>
  <c r="AO4" i="23"/>
  <c r="AN4" i="23"/>
  <c r="AM4" i="23"/>
  <c r="AL4" i="23"/>
  <c r="AK4" i="23"/>
  <c r="AJ4" i="23"/>
  <c r="AI4" i="23"/>
  <c r="AH4" i="23"/>
  <c r="AG4" i="23"/>
  <c r="AF4" i="23"/>
  <c r="AE4" i="23"/>
  <c r="AD4" i="23"/>
  <c r="AC4" i="23"/>
  <c r="AB4" i="23"/>
  <c r="AA4" i="23"/>
  <c r="Z4" i="23"/>
  <c r="Y4" i="23"/>
  <c r="X4" i="23"/>
  <c r="W4" i="23"/>
  <c r="V4" i="23"/>
  <c r="U4" i="23"/>
  <c r="T4" i="23"/>
  <c r="S4" i="23"/>
  <c r="R4" i="23"/>
  <c r="Q4" i="23"/>
  <c r="P4" i="23"/>
  <c r="O4" i="23"/>
  <c r="N4" i="23"/>
  <c r="M4" i="23"/>
  <c r="L4" i="23"/>
  <c r="K4" i="23"/>
  <c r="J4" i="23"/>
  <c r="I4" i="23"/>
  <c r="H4" i="23"/>
  <c r="G4" i="23"/>
  <c r="F4" i="23"/>
  <c r="E4" i="23"/>
  <c r="CJ3" i="23"/>
  <c r="CJ33" i="23" s="1"/>
  <c r="CI3" i="23"/>
  <c r="CI33" i="23" s="1"/>
  <c r="CH3" i="23"/>
  <c r="CH33" i="23" s="1"/>
  <c r="CG3" i="23"/>
  <c r="CG33" i="23" s="1"/>
  <c r="CF3" i="23"/>
  <c r="CF33" i="23" s="1"/>
  <c r="CE3" i="23"/>
  <c r="CE33" i="23" s="1"/>
  <c r="CD3" i="23"/>
  <c r="CD33" i="23" s="1"/>
  <c r="CA3" i="23"/>
  <c r="CA33" i="23" s="1"/>
  <c r="BX3" i="23"/>
  <c r="BX33" i="23" s="1"/>
  <c r="BW3" i="23"/>
  <c r="BW33" i="23" s="1"/>
  <c r="BV3" i="23"/>
  <c r="BV33" i="23" s="1"/>
  <c r="BU3" i="23"/>
  <c r="BU33" i="23" s="1"/>
  <c r="BT3" i="23"/>
  <c r="BT33" i="23" s="1"/>
  <c r="BS3" i="23"/>
  <c r="BS33" i="23" s="1"/>
  <c r="BR3" i="23"/>
  <c r="BR33" i="23" s="1"/>
  <c r="BQ3" i="23"/>
  <c r="BQ33" i="23" s="1"/>
  <c r="BP3" i="23"/>
  <c r="BP33" i="23" s="1"/>
  <c r="BO3" i="23"/>
  <c r="BO33" i="23" s="1"/>
  <c r="BN3" i="23"/>
  <c r="BN33" i="23" s="1"/>
  <c r="BM3" i="23"/>
  <c r="BM33" i="23" s="1"/>
  <c r="BL3" i="23"/>
  <c r="BL33" i="23" s="1"/>
  <c r="BK3" i="23"/>
  <c r="BK33" i="23" s="1"/>
  <c r="BJ3" i="23"/>
  <c r="BJ33" i="23" s="1"/>
  <c r="BI3" i="23"/>
  <c r="BI33" i="23" s="1"/>
  <c r="BH3" i="23"/>
  <c r="BH33" i="23" s="1"/>
  <c r="BG3" i="23"/>
  <c r="BG33" i="23" s="1"/>
  <c r="BF3" i="23"/>
  <c r="BF33" i="23" s="1"/>
  <c r="BE3" i="23"/>
  <c r="BE33" i="23" s="1"/>
  <c r="BD3" i="23"/>
  <c r="BD33" i="23" s="1"/>
  <c r="BC3" i="23"/>
  <c r="BC33" i="23" s="1"/>
  <c r="BB3" i="23"/>
  <c r="BB33" i="23" s="1"/>
  <c r="BA3" i="23"/>
  <c r="BA33" i="23" s="1"/>
  <c r="AZ3" i="23"/>
  <c r="AZ33" i="23" s="1"/>
  <c r="AY3" i="23"/>
  <c r="AY33" i="23" s="1"/>
  <c r="AX3" i="23"/>
  <c r="AX33" i="23" s="1"/>
  <c r="AW3" i="23"/>
  <c r="AW33" i="23" s="1"/>
  <c r="AV3" i="23"/>
  <c r="AV33" i="23" s="1"/>
  <c r="AU3" i="23"/>
  <c r="AU33" i="23" s="1"/>
  <c r="AT3" i="23"/>
  <c r="AT33" i="23" s="1"/>
  <c r="AS3" i="23"/>
  <c r="AS33" i="23" s="1"/>
  <c r="AR3" i="23"/>
  <c r="AR33" i="23" s="1"/>
  <c r="AQ3" i="23"/>
  <c r="AQ33" i="23" s="1"/>
  <c r="AP3" i="23"/>
  <c r="AP33" i="23" s="1"/>
  <c r="AO3" i="23"/>
  <c r="AO33" i="23" s="1"/>
  <c r="AN3" i="23"/>
  <c r="AN33" i="23" s="1"/>
  <c r="AM3" i="23"/>
  <c r="AM33" i="23" s="1"/>
  <c r="AL3" i="23"/>
  <c r="AL33" i="23" s="1"/>
  <c r="AK3" i="23"/>
  <c r="AK33" i="23" s="1"/>
  <c r="AJ3" i="23"/>
  <c r="AJ33" i="23" s="1"/>
  <c r="AI3" i="23"/>
  <c r="AI33" i="23" s="1"/>
  <c r="AH3" i="23"/>
  <c r="AH33" i="23" s="1"/>
  <c r="AG3" i="23"/>
  <c r="AG33" i="23" s="1"/>
  <c r="AF3" i="23"/>
  <c r="AF33" i="23" s="1"/>
  <c r="AE3" i="23"/>
  <c r="AE33" i="23" s="1"/>
  <c r="AD3" i="23"/>
  <c r="AD33" i="23" s="1"/>
  <c r="AC3" i="23"/>
  <c r="AC33" i="23" s="1"/>
  <c r="AB3" i="23"/>
  <c r="AB33" i="23" s="1"/>
  <c r="AA3" i="23"/>
  <c r="AA33" i="23" s="1"/>
  <c r="Z3" i="23"/>
  <c r="Z33" i="23" s="1"/>
  <c r="Y3" i="23"/>
  <c r="Y33" i="23" s="1"/>
  <c r="X3" i="23"/>
  <c r="X33" i="23" s="1"/>
  <c r="W3" i="23"/>
  <c r="W33" i="23" s="1"/>
  <c r="V3" i="23"/>
  <c r="V33" i="23" s="1"/>
  <c r="U3" i="23"/>
  <c r="U33" i="23" s="1"/>
  <c r="T3" i="23"/>
  <c r="S3" i="23"/>
  <c r="S33" i="23" s="1"/>
  <c r="R3" i="23"/>
  <c r="R33" i="23" s="1"/>
  <c r="Q3" i="23"/>
  <c r="Q33" i="23" s="1"/>
  <c r="P3" i="23"/>
  <c r="P33" i="23" s="1"/>
  <c r="O3" i="23"/>
  <c r="O33" i="23" s="1"/>
  <c r="N3" i="23"/>
  <c r="N33" i="23" s="1"/>
  <c r="M3" i="23"/>
  <c r="M33" i="23" s="1"/>
  <c r="L3" i="23"/>
  <c r="L33" i="23" s="1"/>
  <c r="K3" i="23"/>
  <c r="K33" i="23" s="1"/>
  <c r="J3" i="23"/>
  <c r="J33" i="23" s="1"/>
  <c r="I3" i="23"/>
  <c r="I33" i="23" s="1"/>
  <c r="G3" i="23"/>
  <c r="G33" i="23" s="1"/>
  <c r="F3" i="23"/>
  <c r="F33" i="23" s="1"/>
  <c r="E3" i="23"/>
  <c r="Q1" i="23"/>
  <c r="AC1" i="23" s="1"/>
  <c r="AO1" i="23" s="1"/>
  <c r="BA1" i="23" s="1"/>
  <c r="BM1" i="23" s="1"/>
  <c r="BY1" i="23" s="1"/>
  <c r="R8" i="22" a="1"/>
  <c r="R8" i="22"/>
  <c r="S8" i="22" s="1"/>
  <c r="M8" i="22" a="1"/>
  <c r="M8" i="22"/>
  <c r="N8" i="22" s="1"/>
  <c r="H8" i="22" a="1"/>
  <c r="H8" i="22"/>
  <c r="I8" i="22" s="1"/>
  <c r="R8" i="21" a="1"/>
  <c r="R8" i="21"/>
  <c r="S8" i="21" s="1"/>
  <c r="D187" i="20"/>
  <c r="BX180" i="20"/>
  <c r="BW180" i="20"/>
  <c r="BV180" i="20"/>
  <c r="BU180" i="20"/>
  <c r="BT180" i="20"/>
  <c r="BS180" i="20"/>
  <c r="BR180" i="20"/>
  <c r="BQ180" i="20"/>
  <c r="BP180" i="20"/>
  <c r="BO180" i="20"/>
  <c r="BN180" i="20"/>
  <c r="BM180" i="20"/>
  <c r="BL180" i="20"/>
  <c r="BK180" i="20"/>
  <c r="BJ180" i="20"/>
  <c r="BI180" i="20"/>
  <c r="BH180" i="20"/>
  <c r="BG180" i="20"/>
  <c r="BF180" i="20"/>
  <c r="BE180" i="20"/>
  <c r="BD180" i="20"/>
  <c r="BC180" i="20"/>
  <c r="BB180" i="20"/>
  <c r="BA180" i="20"/>
  <c r="AZ180" i="20"/>
  <c r="AY180" i="20"/>
  <c r="AX180" i="20"/>
  <c r="AW180" i="20"/>
  <c r="AV180" i="20"/>
  <c r="AU180" i="20"/>
  <c r="AT180" i="20"/>
  <c r="AS180" i="20"/>
  <c r="AR180" i="20"/>
  <c r="AQ180" i="20"/>
  <c r="AP180" i="20"/>
  <c r="AO180" i="20"/>
  <c r="AN180" i="20"/>
  <c r="AM180" i="20"/>
  <c r="AL180" i="20"/>
  <c r="AK180" i="20"/>
  <c r="AJ180" i="20"/>
  <c r="AI180" i="20"/>
  <c r="AH180" i="20"/>
  <c r="AG180" i="20"/>
  <c r="AF180" i="20"/>
  <c r="AE180" i="20"/>
  <c r="AD180" i="20"/>
  <c r="AC180" i="20"/>
  <c r="AB180" i="20"/>
  <c r="AA180" i="20"/>
  <c r="Z180" i="20"/>
  <c r="Y180" i="20"/>
  <c r="X180" i="20"/>
  <c r="W180" i="20"/>
  <c r="V180" i="20"/>
  <c r="U180" i="20"/>
  <c r="T180" i="20"/>
  <c r="S180" i="20"/>
  <c r="S183" i="20" s="1"/>
  <c r="R180" i="20"/>
  <c r="R183" i="20" s="1"/>
  <c r="Q180" i="20"/>
  <c r="Q183" i="20" s="1"/>
  <c r="P180" i="20"/>
  <c r="P183" i="20" s="1"/>
  <c r="O180" i="20"/>
  <c r="O183" i="20" s="1"/>
  <c r="N180" i="20"/>
  <c r="N183" i="20" s="1"/>
  <c r="M180" i="20"/>
  <c r="M183" i="20" s="1"/>
  <c r="L180" i="20"/>
  <c r="L183" i="20" s="1"/>
  <c r="K180" i="20"/>
  <c r="K183" i="20" s="1"/>
  <c r="J180" i="20"/>
  <c r="J183" i="20" s="1"/>
  <c r="I180" i="20"/>
  <c r="I183" i="20" s="1"/>
  <c r="H180" i="20"/>
  <c r="G180" i="20"/>
  <c r="F180" i="20"/>
  <c r="E180" i="20"/>
  <c r="BX178" i="20"/>
  <c r="BW178" i="20"/>
  <c r="BW183" i="20" s="1"/>
  <c r="BV178" i="20"/>
  <c r="BV183" i="20" s="1"/>
  <c r="BU178" i="20"/>
  <c r="BU183" i="20" s="1"/>
  <c r="BT178" i="20"/>
  <c r="BT183" i="20" s="1"/>
  <c r="BS178" i="20"/>
  <c r="BS183" i="20" s="1"/>
  <c r="BR178" i="20"/>
  <c r="BR183" i="20" s="1"/>
  <c r="BQ178" i="20"/>
  <c r="BQ183" i="20" s="1"/>
  <c r="BP178" i="20"/>
  <c r="BP183" i="20" s="1"/>
  <c r="BO178" i="20"/>
  <c r="BO183" i="20" s="1"/>
  <c r="BN178" i="20"/>
  <c r="BN183" i="20" s="1"/>
  <c r="BM178" i="20"/>
  <c r="BM183" i="20" s="1"/>
  <c r="BL178" i="20"/>
  <c r="BL183" i="20" s="1"/>
  <c r="BK178" i="20"/>
  <c r="BK183" i="20" s="1"/>
  <c r="BJ178" i="20"/>
  <c r="BJ183" i="20" s="1"/>
  <c r="BI178" i="20"/>
  <c r="BI183" i="20" s="1"/>
  <c r="BH178" i="20"/>
  <c r="BH183" i="20" s="1"/>
  <c r="BG178" i="20"/>
  <c r="BG183" i="20" s="1"/>
  <c r="BF178" i="20"/>
  <c r="BF183" i="20" s="1"/>
  <c r="BE178" i="20"/>
  <c r="BE183" i="20" s="1"/>
  <c r="BD178" i="20"/>
  <c r="BD183" i="20" s="1"/>
  <c r="BC178" i="20"/>
  <c r="BC183" i="20" s="1"/>
  <c r="BB178" i="20"/>
  <c r="BB183" i="20" s="1"/>
  <c r="BA178" i="20"/>
  <c r="BA183" i="20" s="1"/>
  <c r="AZ178" i="20"/>
  <c r="AZ183" i="20" s="1"/>
  <c r="AY178" i="20"/>
  <c r="AY183" i="20" s="1"/>
  <c r="AX178" i="20"/>
  <c r="AX183" i="20" s="1"/>
  <c r="AW178" i="20"/>
  <c r="AW183" i="20" s="1"/>
  <c r="AV178" i="20"/>
  <c r="AV183" i="20" s="1"/>
  <c r="AU178" i="20"/>
  <c r="AU183" i="20" s="1"/>
  <c r="AT178" i="20"/>
  <c r="AT183" i="20" s="1"/>
  <c r="AS178" i="20"/>
  <c r="AS183" i="20" s="1"/>
  <c r="AR178" i="20"/>
  <c r="AR183" i="20" s="1"/>
  <c r="AQ178" i="20"/>
  <c r="AQ183" i="20" s="1"/>
  <c r="AP178" i="20"/>
  <c r="AP183" i="20" s="1"/>
  <c r="AO178" i="20"/>
  <c r="AO183" i="20" s="1"/>
  <c r="AN178" i="20"/>
  <c r="AN183" i="20" s="1"/>
  <c r="AM178" i="20"/>
  <c r="AM183" i="20" s="1"/>
  <c r="AL178" i="20"/>
  <c r="AL183" i="20" s="1"/>
  <c r="AK178" i="20"/>
  <c r="AK183" i="20" s="1"/>
  <c r="AJ178" i="20"/>
  <c r="AJ183" i="20" s="1"/>
  <c r="AI178" i="20"/>
  <c r="AI183" i="20" s="1"/>
  <c r="AH178" i="20"/>
  <c r="AH183" i="20" s="1"/>
  <c r="AG178" i="20"/>
  <c r="AG183" i="20" s="1"/>
  <c r="AF178" i="20"/>
  <c r="AF183" i="20" s="1"/>
  <c r="AE178" i="20"/>
  <c r="AE183" i="20" s="1"/>
  <c r="AD178" i="20"/>
  <c r="AD183" i="20" s="1"/>
  <c r="AC178" i="20"/>
  <c r="AC183" i="20" s="1"/>
  <c r="AB178" i="20"/>
  <c r="AB183" i="20" s="1"/>
  <c r="AA178" i="20"/>
  <c r="AA183" i="20" s="1"/>
  <c r="Z178" i="20"/>
  <c r="Z183" i="20" s="1"/>
  <c r="Y178" i="20"/>
  <c r="Y183" i="20" s="1"/>
  <c r="X178" i="20"/>
  <c r="X183" i="20" s="1"/>
  <c r="W178" i="20"/>
  <c r="W183" i="20" s="1"/>
  <c r="V178" i="20"/>
  <c r="V183" i="20" s="1"/>
  <c r="U178" i="20"/>
  <c r="U183" i="20" s="1"/>
  <c r="T178" i="20"/>
  <c r="H178" i="20"/>
  <c r="H183" i="20" s="1"/>
  <c r="G178" i="20"/>
  <c r="G183" i="20" s="1"/>
  <c r="F178" i="20"/>
  <c r="F183" i="20" s="1"/>
  <c r="E178" i="20"/>
  <c r="E183" i="20" s="1"/>
  <c r="D171" i="20"/>
  <c r="BX164" i="20"/>
  <c r="BW164" i="20"/>
  <c r="BV164" i="20"/>
  <c r="BU164" i="20"/>
  <c r="BT164" i="20"/>
  <c r="BS164" i="20"/>
  <c r="BR164" i="20"/>
  <c r="BQ164" i="20"/>
  <c r="BP164" i="20"/>
  <c r="BO164" i="20"/>
  <c r="BN164" i="20"/>
  <c r="BM164" i="20"/>
  <c r="BL164" i="20"/>
  <c r="BK164" i="20"/>
  <c r="BJ164" i="20"/>
  <c r="BI164" i="20"/>
  <c r="BH164" i="20"/>
  <c r="BG164" i="20"/>
  <c r="BF164" i="20"/>
  <c r="BE164" i="20"/>
  <c r="BD164" i="20"/>
  <c r="BC164" i="20"/>
  <c r="BB164" i="20"/>
  <c r="BA164" i="20"/>
  <c r="AZ164" i="20"/>
  <c r="AY164" i="20"/>
  <c r="AX164" i="20"/>
  <c r="AW164" i="20"/>
  <c r="AV164" i="20"/>
  <c r="AU164" i="20"/>
  <c r="AT164" i="20"/>
  <c r="AS164" i="20"/>
  <c r="AR164" i="20"/>
  <c r="AQ164" i="20"/>
  <c r="AP164" i="20"/>
  <c r="AO164" i="20"/>
  <c r="AN164" i="20"/>
  <c r="AM164" i="20"/>
  <c r="AL164" i="20"/>
  <c r="AK164" i="20"/>
  <c r="AJ164" i="20"/>
  <c r="AI164" i="20"/>
  <c r="AH164" i="20"/>
  <c r="AG164" i="20"/>
  <c r="AF164" i="20"/>
  <c r="AE164" i="20"/>
  <c r="AD164" i="20"/>
  <c r="AC164" i="20"/>
  <c r="AB164" i="20"/>
  <c r="AA164" i="20"/>
  <c r="Z164" i="20"/>
  <c r="Y164" i="20"/>
  <c r="X164" i="20"/>
  <c r="W164" i="20"/>
  <c r="V164" i="20"/>
  <c r="U164" i="20"/>
  <c r="T164" i="20"/>
  <c r="S164" i="20"/>
  <c r="R164" i="20"/>
  <c r="Q164" i="20"/>
  <c r="P164" i="20"/>
  <c r="O164" i="20"/>
  <c r="N164" i="20"/>
  <c r="M164" i="20"/>
  <c r="L164" i="20"/>
  <c r="K164" i="20"/>
  <c r="J164" i="20"/>
  <c r="I164" i="20"/>
  <c r="H164" i="20"/>
  <c r="G164" i="20"/>
  <c r="F164" i="20"/>
  <c r="E164" i="20"/>
  <c r="BX162" i="20"/>
  <c r="BW162" i="20"/>
  <c r="BW167" i="20" s="1"/>
  <c r="BV162" i="20"/>
  <c r="BV167" i="20" s="1"/>
  <c r="BU162" i="20"/>
  <c r="BU167" i="20" s="1"/>
  <c r="BT162" i="20"/>
  <c r="BT167" i="20" s="1"/>
  <c r="BS162" i="20"/>
  <c r="BS167" i="20" s="1"/>
  <c r="BR162" i="20"/>
  <c r="BR167" i="20" s="1"/>
  <c r="BQ162" i="20"/>
  <c r="BQ167" i="20" s="1"/>
  <c r="BP162" i="20"/>
  <c r="BP167" i="20" s="1"/>
  <c r="BO162" i="20"/>
  <c r="BO167" i="20" s="1"/>
  <c r="BN162" i="20"/>
  <c r="BN167" i="20" s="1"/>
  <c r="BM162" i="20"/>
  <c r="BM167" i="20" s="1"/>
  <c r="BL162" i="20"/>
  <c r="BL167" i="20" s="1"/>
  <c r="BK162" i="20"/>
  <c r="BK167" i="20" s="1"/>
  <c r="BJ162" i="20"/>
  <c r="BJ167" i="20" s="1"/>
  <c r="BI162" i="20"/>
  <c r="BI167" i="20" s="1"/>
  <c r="BH162" i="20"/>
  <c r="BH167" i="20" s="1"/>
  <c r="BG162" i="20"/>
  <c r="BG167" i="20" s="1"/>
  <c r="BF162" i="20"/>
  <c r="BF167" i="20" s="1"/>
  <c r="BE162" i="20"/>
  <c r="BE167" i="20" s="1"/>
  <c r="BD162" i="20"/>
  <c r="BD167" i="20" s="1"/>
  <c r="BC162" i="20"/>
  <c r="BC167" i="20" s="1"/>
  <c r="BB162" i="20"/>
  <c r="BB167" i="20" s="1"/>
  <c r="BA162" i="20"/>
  <c r="BA167" i="20" s="1"/>
  <c r="AZ162" i="20"/>
  <c r="AZ167" i="20" s="1"/>
  <c r="AY162" i="20"/>
  <c r="AY167" i="20" s="1"/>
  <c r="AX162" i="20"/>
  <c r="AX167" i="20" s="1"/>
  <c r="AW162" i="20"/>
  <c r="AW167" i="20" s="1"/>
  <c r="AV162" i="20"/>
  <c r="AV167" i="20" s="1"/>
  <c r="AU162" i="20"/>
  <c r="AU167" i="20" s="1"/>
  <c r="AT162" i="20"/>
  <c r="AT167" i="20" s="1"/>
  <c r="AS162" i="20"/>
  <c r="AS167" i="20" s="1"/>
  <c r="AR162" i="20"/>
  <c r="AR167" i="20" s="1"/>
  <c r="AQ162" i="20"/>
  <c r="AQ167" i="20" s="1"/>
  <c r="AP162" i="20"/>
  <c r="AP167" i="20" s="1"/>
  <c r="AO162" i="20"/>
  <c r="AO167" i="20" s="1"/>
  <c r="AN162" i="20"/>
  <c r="AN167" i="20" s="1"/>
  <c r="AM162" i="20"/>
  <c r="AM167" i="20" s="1"/>
  <c r="AL162" i="20"/>
  <c r="AL167" i="20" s="1"/>
  <c r="AK162" i="20"/>
  <c r="AK167" i="20" s="1"/>
  <c r="AJ162" i="20"/>
  <c r="AJ167" i="20" s="1"/>
  <c r="AI162" i="20"/>
  <c r="AI167" i="20" s="1"/>
  <c r="AH162" i="20"/>
  <c r="AH167" i="20" s="1"/>
  <c r="AG162" i="20"/>
  <c r="AG167" i="20" s="1"/>
  <c r="AF162" i="20"/>
  <c r="AF167" i="20" s="1"/>
  <c r="AE162" i="20"/>
  <c r="AE167" i="20" s="1"/>
  <c r="AD162" i="20"/>
  <c r="AD167" i="20" s="1"/>
  <c r="AC162" i="20"/>
  <c r="AC167" i="20" s="1"/>
  <c r="AB162" i="20"/>
  <c r="AB167" i="20" s="1"/>
  <c r="AA162" i="20"/>
  <c r="AA167" i="20" s="1"/>
  <c r="Z162" i="20"/>
  <c r="Z167" i="20" s="1"/>
  <c r="Y162" i="20"/>
  <c r="Y167" i="20" s="1"/>
  <c r="X162" i="20"/>
  <c r="X167" i="20" s="1"/>
  <c r="W162" i="20"/>
  <c r="W167" i="20" s="1"/>
  <c r="V162" i="20"/>
  <c r="V167" i="20" s="1"/>
  <c r="U162" i="20"/>
  <c r="U167" i="20" s="1"/>
  <c r="T162" i="20"/>
  <c r="S162" i="20"/>
  <c r="S167" i="20" s="1"/>
  <c r="R162" i="20"/>
  <c r="R167" i="20" s="1"/>
  <c r="Q162" i="20"/>
  <c r="Q167" i="20" s="1"/>
  <c r="P162" i="20"/>
  <c r="P167" i="20" s="1"/>
  <c r="O162" i="20"/>
  <c r="O167" i="20" s="1"/>
  <c r="N162" i="20"/>
  <c r="N167" i="20" s="1"/>
  <c r="M162" i="20"/>
  <c r="M167" i="20" s="1"/>
  <c r="L162" i="20"/>
  <c r="L167" i="20" s="1"/>
  <c r="K162" i="20"/>
  <c r="K167" i="20" s="1"/>
  <c r="J162" i="20"/>
  <c r="J167" i="20" s="1"/>
  <c r="I162" i="20"/>
  <c r="I167" i="20" s="1"/>
  <c r="H162" i="20"/>
  <c r="H167" i="20" s="1"/>
  <c r="G162" i="20"/>
  <c r="G167" i="20" s="1"/>
  <c r="F162" i="20"/>
  <c r="F167" i="20" s="1"/>
  <c r="E162" i="20"/>
  <c r="E167" i="20" s="1"/>
  <c r="D155" i="20"/>
  <c r="T149" i="20"/>
  <c r="BX148" i="20"/>
  <c r="BW148" i="20"/>
  <c r="BV148" i="20"/>
  <c r="BU148" i="20"/>
  <c r="BT148" i="20"/>
  <c r="BS148" i="20"/>
  <c r="BR148" i="20"/>
  <c r="BQ148" i="20"/>
  <c r="BP148" i="20"/>
  <c r="BO148" i="20"/>
  <c r="BN148" i="20"/>
  <c r="BM148" i="20"/>
  <c r="BL148" i="20"/>
  <c r="BK148" i="20"/>
  <c r="BJ148" i="20"/>
  <c r="BI148" i="20"/>
  <c r="BH148" i="20"/>
  <c r="BG148" i="20"/>
  <c r="BF148" i="20"/>
  <c r="BE148" i="20"/>
  <c r="BD148" i="20"/>
  <c r="BC148" i="20"/>
  <c r="BB148" i="20"/>
  <c r="BA148" i="20"/>
  <c r="AZ148" i="20"/>
  <c r="AY148" i="20"/>
  <c r="AX148" i="20"/>
  <c r="AW148" i="20"/>
  <c r="AV148" i="20"/>
  <c r="AU148" i="20"/>
  <c r="AT148" i="20"/>
  <c r="AS148" i="20"/>
  <c r="AR148" i="20"/>
  <c r="AQ148" i="20"/>
  <c r="AP148" i="20"/>
  <c r="AO148" i="20"/>
  <c r="AN148" i="20"/>
  <c r="AM148" i="20"/>
  <c r="AL148" i="20"/>
  <c r="AK148" i="20"/>
  <c r="AJ148" i="20"/>
  <c r="AI148" i="20"/>
  <c r="AH148" i="20"/>
  <c r="AG148" i="20"/>
  <c r="AF148" i="20"/>
  <c r="AE148" i="20"/>
  <c r="AD148" i="20"/>
  <c r="AC148" i="20"/>
  <c r="AB148" i="20"/>
  <c r="AA148" i="20"/>
  <c r="Z148" i="20"/>
  <c r="Y148" i="20"/>
  <c r="X148" i="20"/>
  <c r="W148" i="20"/>
  <c r="V148" i="20"/>
  <c r="U148" i="20"/>
  <c r="T148" i="20"/>
  <c r="S148" i="20"/>
  <c r="R148" i="20"/>
  <c r="Q148" i="20"/>
  <c r="P148" i="20"/>
  <c r="O148" i="20"/>
  <c r="N148" i="20"/>
  <c r="M148" i="20"/>
  <c r="L148" i="20"/>
  <c r="K148" i="20"/>
  <c r="K151" i="20" s="1"/>
  <c r="J148" i="20"/>
  <c r="I148" i="20"/>
  <c r="I151" i="20" s="1"/>
  <c r="H148" i="20"/>
  <c r="G148" i="20"/>
  <c r="F148" i="20"/>
  <c r="E148" i="20"/>
  <c r="BX146" i="20"/>
  <c r="BW146" i="20"/>
  <c r="BW151" i="20" s="1"/>
  <c r="BV146" i="20"/>
  <c r="BV151" i="20" s="1"/>
  <c r="BU146" i="20"/>
  <c r="BU151" i="20" s="1"/>
  <c r="BT146" i="20"/>
  <c r="BT151" i="20" s="1"/>
  <c r="BS146" i="20"/>
  <c r="BS151" i="20" s="1"/>
  <c r="BR146" i="20"/>
  <c r="BR151" i="20" s="1"/>
  <c r="BQ146" i="20"/>
  <c r="BQ151" i="20" s="1"/>
  <c r="BP146" i="20"/>
  <c r="BP151" i="20" s="1"/>
  <c r="BO146" i="20"/>
  <c r="BO151" i="20" s="1"/>
  <c r="BN146" i="20"/>
  <c r="BN151" i="20" s="1"/>
  <c r="BM146" i="20"/>
  <c r="BM151" i="20" s="1"/>
  <c r="BL146" i="20"/>
  <c r="BL151" i="20" s="1"/>
  <c r="BK146" i="20"/>
  <c r="BK151" i="20" s="1"/>
  <c r="BJ146" i="20"/>
  <c r="BJ151" i="20" s="1"/>
  <c r="BI146" i="20"/>
  <c r="BI151" i="20" s="1"/>
  <c r="BH146" i="20"/>
  <c r="BH151" i="20" s="1"/>
  <c r="BG146" i="20"/>
  <c r="BG151" i="20" s="1"/>
  <c r="BF146" i="20"/>
  <c r="BF151" i="20" s="1"/>
  <c r="BE146" i="20"/>
  <c r="BE151" i="20" s="1"/>
  <c r="BD146" i="20"/>
  <c r="BD151" i="20" s="1"/>
  <c r="BC146" i="20"/>
  <c r="BC151" i="20" s="1"/>
  <c r="BB146" i="20"/>
  <c r="BB151" i="20" s="1"/>
  <c r="BA146" i="20"/>
  <c r="BA151" i="20" s="1"/>
  <c r="AZ146" i="20"/>
  <c r="AZ151" i="20" s="1"/>
  <c r="AY146" i="20"/>
  <c r="AY151" i="20" s="1"/>
  <c r="AX146" i="20"/>
  <c r="AX151" i="20" s="1"/>
  <c r="AW146" i="20"/>
  <c r="AW151" i="20" s="1"/>
  <c r="AV146" i="20"/>
  <c r="AV151" i="20" s="1"/>
  <c r="AU146" i="20"/>
  <c r="AU151" i="20" s="1"/>
  <c r="AT146" i="20"/>
  <c r="AT151" i="20" s="1"/>
  <c r="AS146" i="20"/>
  <c r="AS151" i="20" s="1"/>
  <c r="AR146" i="20"/>
  <c r="AR151" i="20" s="1"/>
  <c r="AQ146" i="20"/>
  <c r="AQ151" i="20" s="1"/>
  <c r="AP146" i="20"/>
  <c r="AP151" i="20" s="1"/>
  <c r="AO146" i="20"/>
  <c r="AO151" i="20" s="1"/>
  <c r="AN146" i="20"/>
  <c r="AN151" i="20" s="1"/>
  <c r="AM146" i="20"/>
  <c r="AM151" i="20" s="1"/>
  <c r="AL146" i="20"/>
  <c r="AL151" i="20" s="1"/>
  <c r="AK146" i="20"/>
  <c r="AK151" i="20" s="1"/>
  <c r="AJ146" i="20"/>
  <c r="AJ151" i="20" s="1"/>
  <c r="AI146" i="20"/>
  <c r="AI151" i="20" s="1"/>
  <c r="AH146" i="20"/>
  <c r="AH151" i="20" s="1"/>
  <c r="AG146" i="20"/>
  <c r="AG151" i="20" s="1"/>
  <c r="AF146" i="20"/>
  <c r="AF151" i="20" s="1"/>
  <c r="AE146" i="20"/>
  <c r="AE151" i="20" s="1"/>
  <c r="AD146" i="20"/>
  <c r="AD151" i="20" s="1"/>
  <c r="AC146" i="20"/>
  <c r="AC151" i="20" s="1"/>
  <c r="AB146" i="20"/>
  <c r="AB151" i="20" s="1"/>
  <c r="AA146" i="20"/>
  <c r="AA151" i="20" s="1"/>
  <c r="Z146" i="20"/>
  <c r="Z151" i="20" s="1"/>
  <c r="Y146" i="20"/>
  <c r="Y151" i="20" s="1"/>
  <c r="X146" i="20"/>
  <c r="X151" i="20" s="1"/>
  <c r="W146" i="20"/>
  <c r="W151" i="20" s="1"/>
  <c r="V146" i="20"/>
  <c r="V151" i="20" s="1"/>
  <c r="U146" i="20"/>
  <c r="U151" i="20" s="1"/>
  <c r="S146" i="20"/>
  <c r="S151" i="20" s="1"/>
  <c r="R146" i="20"/>
  <c r="R151" i="20" s="1"/>
  <c r="Q146" i="20"/>
  <c r="Q151" i="20" s="1"/>
  <c r="P146" i="20"/>
  <c r="P151" i="20" s="1"/>
  <c r="O146" i="20"/>
  <c r="O151" i="20" s="1"/>
  <c r="N146" i="20"/>
  <c r="N151" i="20" s="1"/>
  <c r="M146" i="20"/>
  <c r="M151" i="20" s="1"/>
  <c r="L146" i="20"/>
  <c r="L151" i="20" s="1"/>
  <c r="J146" i="20"/>
  <c r="J151" i="20" s="1"/>
  <c r="H146" i="20"/>
  <c r="G146" i="20"/>
  <c r="G151" i="20" s="1"/>
  <c r="F146" i="20"/>
  <c r="F151" i="20" s="1"/>
  <c r="E146" i="20"/>
  <c r="E151" i="20" s="1"/>
  <c r="E152" i="20" s="1"/>
  <c r="F152" i="20" s="1"/>
  <c r="G152" i="20" s="1"/>
  <c r="D139" i="20"/>
  <c r="BX132" i="20"/>
  <c r="BW132" i="20"/>
  <c r="BV132" i="20"/>
  <c r="BU132" i="20"/>
  <c r="BT132" i="20"/>
  <c r="BS132" i="20"/>
  <c r="BR132" i="20"/>
  <c r="BQ132" i="20"/>
  <c r="BP132" i="20"/>
  <c r="BO132" i="20"/>
  <c r="BN132" i="20"/>
  <c r="BM132" i="20"/>
  <c r="BL132" i="20"/>
  <c r="BK132" i="20"/>
  <c r="BJ132" i="20"/>
  <c r="BI132" i="20"/>
  <c r="BH132" i="20"/>
  <c r="BG132" i="20"/>
  <c r="BF132" i="20"/>
  <c r="BE132" i="20"/>
  <c r="BD132" i="20"/>
  <c r="BC132" i="20"/>
  <c r="BB132" i="20"/>
  <c r="BA132" i="20"/>
  <c r="AZ132" i="20"/>
  <c r="AY132" i="20"/>
  <c r="AX132" i="20"/>
  <c r="AW132" i="20"/>
  <c r="AV132" i="20"/>
  <c r="AU132" i="20"/>
  <c r="AT132" i="20"/>
  <c r="AS132" i="20"/>
  <c r="AR132" i="20"/>
  <c r="AQ132" i="20"/>
  <c r="AP132" i="20"/>
  <c r="AO132" i="20"/>
  <c r="AN132" i="20"/>
  <c r="AM132" i="20"/>
  <c r="AL132" i="20"/>
  <c r="AK132" i="20"/>
  <c r="AJ132" i="20"/>
  <c r="AI132" i="20"/>
  <c r="AH132" i="20"/>
  <c r="AG132" i="20"/>
  <c r="AF132" i="20"/>
  <c r="AE132" i="20"/>
  <c r="AD132" i="20"/>
  <c r="AC132" i="20"/>
  <c r="AB132" i="20"/>
  <c r="AA132" i="20"/>
  <c r="Z132" i="20"/>
  <c r="Y132" i="20"/>
  <c r="X132" i="20"/>
  <c r="W132" i="20"/>
  <c r="V132" i="20"/>
  <c r="U132" i="20"/>
  <c r="S132" i="20"/>
  <c r="R132" i="20"/>
  <c r="Q132" i="20"/>
  <c r="P132" i="20"/>
  <c r="O132" i="20"/>
  <c r="N132" i="20"/>
  <c r="M132" i="20"/>
  <c r="L132" i="20"/>
  <c r="K132" i="20"/>
  <c r="J132" i="20"/>
  <c r="I132" i="20"/>
  <c r="H132" i="20"/>
  <c r="G132" i="20"/>
  <c r="F132" i="20"/>
  <c r="E132" i="20"/>
  <c r="BX130" i="20"/>
  <c r="BW130" i="20"/>
  <c r="BW135" i="20" s="1"/>
  <c r="BV130" i="20"/>
  <c r="BV135" i="20" s="1"/>
  <c r="BU130" i="20"/>
  <c r="BU135" i="20" s="1"/>
  <c r="BT130" i="20"/>
  <c r="BT135" i="20" s="1"/>
  <c r="BS130" i="20"/>
  <c r="BS135" i="20" s="1"/>
  <c r="BR130" i="20"/>
  <c r="BR135" i="20" s="1"/>
  <c r="BQ130" i="20"/>
  <c r="BQ135" i="20" s="1"/>
  <c r="BP130" i="20"/>
  <c r="BP135" i="20" s="1"/>
  <c r="BO130" i="20"/>
  <c r="BO135" i="20" s="1"/>
  <c r="BN130" i="20"/>
  <c r="BN135" i="20" s="1"/>
  <c r="BM130" i="20"/>
  <c r="BM135" i="20" s="1"/>
  <c r="BL130" i="20"/>
  <c r="BL135" i="20" s="1"/>
  <c r="BK130" i="20"/>
  <c r="BK135" i="20" s="1"/>
  <c r="BJ130" i="20"/>
  <c r="BJ135" i="20" s="1"/>
  <c r="BI130" i="20"/>
  <c r="BI135" i="20" s="1"/>
  <c r="BH130" i="20"/>
  <c r="BH135" i="20" s="1"/>
  <c r="BG130" i="20"/>
  <c r="BG135" i="20" s="1"/>
  <c r="BF130" i="20"/>
  <c r="BF135" i="20" s="1"/>
  <c r="BE130" i="20"/>
  <c r="BE135" i="20" s="1"/>
  <c r="BD130" i="20"/>
  <c r="BD135" i="20" s="1"/>
  <c r="BC130" i="20"/>
  <c r="BC135" i="20" s="1"/>
  <c r="BB130" i="20"/>
  <c r="BB135" i="20" s="1"/>
  <c r="BA130" i="20"/>
  <c r="BA135" i="20" s="1"/>
  <c r="AZ130" i="20"/>
  <c r="AZ135" i="20" s="1"/>
  <c r="AY130" i="20"/>
  <c r="AY135" i="20" s="1"/>
  <c r="AX130" i="20"/>
  <c r="AX135" i="20" s="1"/>
  <c r="AW130" i="20"/>
  <c r="AW135" i="20" s="1"/>
  <c r="AV130" i="20"/>
  <c r="AV135" i="20" s="1"/>
  <c r="AU130" i="20"/>
  <c r="AU135" i="20" s="1"/>
  <c r="AT130" i="20"/>
  <c r="AT135" i="20" s="1"/>
  <c r="AS130" i="20"/>
  <c r="AS135" i="20" s="1"/>
  <c r="AR130" i="20"/>
  <c r="AR135" i="20" s="1"/>
  <c r="AQ130" i="20"/>
  <c r="AQ135" i="20" s="1"/>
  <c r="AP130" i="20"/>
  <c r="AP135" i="20" s="1"/>
  <c r="AO130" i="20"/>
  <c r="AO135" i="20" s="1"/>
  <c r="AN130" i="20"/>
  <c r="AN135" i="20" s="1"/>
  <c r="AM130" i="20"/>
  <c r="AM135" i="20" s="1"/>
  <c r="AL130" i="20"/>
  <c r="AL135" i="20" s="1"/>
  <c r="AK130" i="20"/>
  <c r="AK135" i="20" s="1"/>
  <c r="AJ130" i="20"/>
  <c r="AJ135" i="20" s="1"/>
  <c r="AI130" i="20"/>
  <c r="AI135" i="20" s="1"/>
  <c r="AH130" i="20"/>
  <c r="AH135" i="20" s="1"/>
  <c r="AG130" i="20"/>
  <c r="AG135" i="20" s="1"/>
  <c r="AF130" i="20"/>
  <c r="AF135" i="20" s="1"/>
  <c r="AE130" i="20"/>
  <c r="AE135" i="20" s="1"/>
  <c r="AD130" i="20"/>
  <c r="AD135" i="20" s="1"/>
  <c r="AC130" i="20"/>
  <c r="AC135" i="20" s="1"/>
  <c r="AB130" i="20"/>
  <c r="AB135" i="20" s="1"/>
  <c r="AA130" i="20"/>
  <c r="AA135" i="20" s="1"/>
  <c r="Z130" i="20"/>
  <c r="Z135" i="20" s="1"/>
  <c r="Y130" i="20"/>
  <c r="Y135" i="20" s="1"/>
  <c r="X130" i="20"/>
  <c r="X135" i="20" s="1"/>
  <c r="W130" i="20"/>
  <c r="W135" i="20" s="1"/>
  <c r="V130" i="20"/>
  <c r="V135" i="20" s="1"/>
  <c r="U130" i="20"/>
  <c r="U135" i="20" s="1"/>
  <c r="S130" i="20"/>
  <c r="S135" i="20" s="1"/>
  <c r="R130" i="20"/>
  <c r="R135" i="20" s="1"/>
  <c r="Q130" i="20"/>
  <c r="Q135" i="20" s="1"/>
  <c r="P130" i="20"/>
  <c r="P135" i="20" s="1"/>
  <c r="O130" i="20"/>
  <c r="O135" i="20" s="1"/>
  <c r="N130" i="20"/>
  <c r="N135" i="20" s="1"/>
  <c r="M130" i="20"/>
  <c r="M135" i="20" s="1"/>
  <c r="L130" i="20"/>
  <c r="L135" i="20" s="1"/>
  <c r="K130" i="20"/>
  <c r="K135" i="20" s="1"/>
  <c r="J130" i="20"/>
  <c r="J135" i="20" s="1"/>
  <c r="I130" i="20"/>
  <c r="I135" i="20" s="1"/>
  <c r="H130" i="20"/>
  <c r="H135" i="20" s="1"/>
  <c r="G130" i="20"/>
  <c r="G135" i="20" s="1"/>
  <c r="F130" i="20"/>
  <c r="F135" i="20" s="1"/>
  <c r="E130" i="20"/>
  <c r="BX114" i="20"/>
  <c r="BW114" i="20"/>
  <c r="BV114" i="20"/>
  <c r="BU114" i="20"/>
  <c r="BT114" i="20"/>
  <c r="BS114" i="20"/>
  <c r="BR114" i="20"/>
  <c r="BQ114" i="20"/>
  <c r="BP114" i="20"/>
  <c r="BO114" i="20"/>
  <c r="BN114" i="20"/>
  <c r="BM114" i="20"/>
  <c r="BL114" i="20"/>
  <c r="BK114" i="20"/>
  <c r="BJ114" i="20"/>
  <c r="BI114" i="20"/>
  <c r="BH114" i="20"/>
  <c r="BG114" i="20"/>
  <c r="BF114" i="20"/>
  <c r="BE114" i="20"/>
  <c r="BD114" i="20"/>
  <c r="BC114" i="20"/>
  <c r="BB114" i="20"/>
  <c r="BA114" i="20"/>
  <c r="AZ114" i="20"/>
  <c r="AY114" i="20"/>
  <c r="AX114" i="20"/>
  <c r="AW114" i="20"/>
  <c r="AV114" i="20"/>
  <c r="AU114" i="20"/>
  <c r="AT114" i="20"/>
  <c r="AS114" i="20"/>
  <c r="AR114" i="20"/>
  <c r="AQ114" i="20"/>
  <c r="AP114" i="20"/>
  <c r="AO114" i="20"/>
  <c r="AN114" i="20"/>
  <c r="AM114" i="20"/>
  <c r="AL114" i="20"/>
  <c r="AK114" i="20"/>
  <c r="AJ114" i="20"/>
  <c r="AI114" i="20"/>
  <c r="AH114" i="20"/>
  <c r="AG114" i="20"/>
  <c r="AF114" i="20"/>
  <c r="AE114" i="20"/>
  <c r="AD114" i="20"/>
  <c r="AC114" i="20"/>
  <c r="AB114" i="20"/>
  <c r="AA114" i="20"/>
  <c r="Z114" i="20"/>
  <c r="Y114" i="20"/>
  <c r="X114" i="20"/>
  <c r="W114" i="20"/>
  <c r="V114" i="20"/>
  <c r="U114" i="20"/>
  <c r="S114" i="20"/>
  <c r="R114" i="20"/>
  <c r="Q114" i="20"/>
  <c r="P114" i="20"/>
  <c r="O114" i="20"/>
  <c r="N114" i="20"/>
  <c r="M114" i="20"/>
  <c r="L114" i="20"/>
  <c r="K114" i="20"/>
  <c r="J114" i="20"/>
  <c r="I114" i="20"/>
  <c r="H114" i="20"/>
  <c r="G114" i="20"/>
  <c r="F114" i="20"/>
  <c r="E114" i="20"/>
  <c r="H113" i="20"/>
  <c r="D121" i="20" s="1"/>
  <c r="BX112" i="20"/>
  <c r="BW112" i="20"/>
  <c r="BW118" i="20" s="1"/>
  <c r="BV112" i="20"/>
  <c r="BV118" i="20" s="1"/>
  <c r="BU112" i="20"/>
  <c r="BU118" i="20" s="1"/>
  <c r="BT112" i="20"/>
  <c r="BT118" i="20" s="1"/>
  <c r="BS112" i="20"/>
  <c r="BS118" i="20" s="1"/>
  <c r="BR112" i="20"/>
  <c r="BR118" i="20" s="1"/>
  <c r="BQ112" i="20"/>
  <c r="BQ118" i="20" s="1"/>
  <c r="BP112" i="20"/>
  <c r="BP118" i="20" s="1"/>
  <c r="BO112" i="20"/>
  <c r="BO118" i="20" s="1"/>
  <c r="BN112" i="20"/>
  <c r="BN118" i="20" s="1"/>
  <c r="BM112" i="20"/>
  <c r="BM118" i="20" s="1"/>
  <c r="BL112" i="20"/>
  <c r="BL118" i="20" s="1"/>
  <c r="BK112" i="20"/>
  <c r="BK118" i="20" s="1"/>
  <c r="BJ112" i="20"/>
  <c r="BJ118" i="20" s="1"/>
  <c r="BI112" i="20"/>
  <c r="BI118" i="20" s="1"/>
  <c r="BH112" i="20"/>
  <c r="BH118" i="20" s="1"/>
  <c r="BG112" i="20"/>
  <c r="BG118" i="20" s="1"/>
  <c r="BF112" i="20"/>
  <c r="BF118" i="20" s="1"/>
  <c r="BE112" i="20"/>
  <c r="BE118" i="20" s="1"/>
  <c r="BD112" i="20"/>
  <c r="BD118" i="20" s="1"/>
  <c r="BC112" i="20"/>
  <c r="BC118" i="20" s="1"/>
  <c r="BB112" i="20"/>
  <c r="BB118" i="20" s="1"/>
  <c r="BA112" i="20"/>
  <c r="BA118" i="20" s="1"/>
  <c r="AZ112" i="20"/>
  <c r="AZ118" i="20" s="1"/>
  <c r="AY112" i="20"/>
  <c r="AY118" i="20" s="1"/>
  <c r="AX112" i="20"/>
  <c r="AX118" i="20" s="1"/>
  <c r="AW112" i="20"/>
  <c r="AW118" i="20" s="1"/>
  <c r="AV112" i="20"/>
  <c r="AV118" i="20" s="1"/>
  <c r="AU112" i="20"/>
  <c r="AU118" i="20" s="1"/>
  <c r="AT112" i="20"/>
  <c r="AT118" i="20" s="1"/>
  <c r="AS112" i="20"/>
  <c r="AS118" i="20" s="1"/>
  <c r="AR112" i="20"/>
  <c r="AR118" i="20" s="1"/>
  <c r="AQ112" i="20"/>
  <c r="AQ118" i="20" s="1"/>
  <c r="AP112" i="20"/>
  <c r="AP118" i="20" s="1"/>
  <c r="AO112" i="20"/>
  <c r="AO118" i="20" s="1"/>
  <c r="AN112" i="20"/>
  <c r="AN118" i="20" s="1"/>
  <c r="AM112" i="20"/>
  <c r="AM118" i="20" s="1"/>
  <c r="AL112" i="20"/>
  <c r="AL118" i="20" s="1"/>
  <c r="AK112" i="20"/>
  <c r="AK118" i="20" s="1"/>
  <c r="AJ112" i="20"/>
  <c r="AJ118" i="20" s="1"/>
  <c r="AI112" i="20"/>
  <c r="AI118" i="20" s="1"/>
  <c r="AH112" i="20"/>
  <c r="AH118" i="20" s="1"/>
  <c r="AG112" i="20"/>
  <c r="AG118" i="20" s="1"/>
  <c r="AF112" i="20"/>
  <c r="AF118" i="20" s="1"/>
  <c r="AE112" i="20"/>
  <c r="AE118" i="20" s="1"/>
  <c r="AD112" i="20"/>
  <c r="AD118" i="20" s="1"/>
  <c r="AC112" i="20"/>
  <c r="AC118" i="20" s="1"/>
  <c r="AB112" i="20"/>
  <c r="AB118" i="20" s="1"/>
  <c r="AA112" i="20"/>
  <c r="AA118" i="20" s="1"/>
  <c r="Z112" i="20"/>
  <c r="Z118" i="20" s="1"/>
  <c r="Y112" i="20"/>
  <c r="Y118" i="20" s="1"/>
  <c r="X112" i="20"/>
  <c r="X118" i="20" s="1"/>
  <c r="W112" i="20"/>
  <c r="W118" i="20" s="1"/>
  <c r="V112" i="20"/>
  <c r="V118" i="20" s="1"/>
  <c r="U112" i="20"/>
  <c r="U118" i="20" s="1"/>
  <c r="S112" i="20"/>
  <c r="S118" i="20" s="1"/>
  <c r="R112" i="20"/>
  <c r="R118" i="20" s="1"/>
  <c r="Q112" i="20"/>
  <c r="Q118" i="20" s="1"/>
  <c r="P112" i="20"/>
  <c r="P118" i="20" s="1"/>
  <c r="O112" i="20"/>
  <c r="O118" i="20" s="1"/>
  <c r="N112" i="20"/>
  <c r="N118" i="20" s="1"/>
  <c r="M112" i="20"/>
  <c r="M118" i="20" s="1"/>
  <c r="L112" i="20"/>
  <c r="L118" i="20" s="1"/>
  <c r="K112" i="20"/>
  <c r="K118" i="20" s="1"/>
  <c r="J112" i="20"/>
  <c r="J118" i="20" s="1"/>
  <c r="I112" i="20"/>
  <c r="I118" i="20" s="1"/>
  <c r="G112" i="20"/>
  <c r="G118" i="20" s="1"/>
  <c r="F112" i="20"/>
  <c r="F118" i="20" s="1"/>
  <c r="E112" i="20"/>
  <c r="E118" i="20" s="1"/>
  <c r="BW104" i="20"/>
  <c r="BV104" i="20"/>
  <c r="BU104" i="20"/>
  <c r="BT104" i="20"/>
  <c r="BS104" i="20"/>
  <c r="BR104" i="20"/>
  <c r="BQ104" i="20"/>
  <c r="BP104" i="20"/>
  <c r="BO104" i="20"/>
  <c r="BN104" i="20"/>
  <c r="BM104" i="20"/>
  <c r="BL104" i="20"/>
  <c r="BK104" i="20"/>
  <c r="BJ104" i="20"/>
  <c r="BI104" i="20"/>
  <c r="BH104" i="20"/>
  <c r="BG104" i="20"/>
  <c r="BF104" i="20"/>
  <c r="BE104" i="20"/>
  <c r="BD104" i="20"/>
  <c r="BC104" i="20"/>
  <c r="BB104" i="20"/>
  <c r="BA104" i="20"/>
  <c r="AZ104" i="20"/>
  <c r="AY104" i="20"/>
  <c r="AX104" i="20"/>
  <c r="AW104" i="20"/>
  <c r="AV104" i="20"/>
  <c r="AU104" i="20"/>
  <c r="AT104" i="20"/>
  <c r="AS104" i="20"/>
  <c r="AR104" i="20"/>
  <c r="AQ104" i="20"/>
  <c r="AP104" i="20"/>
  <c r="AO104" i="20"/>
  <c r="AN104" i="20"/>
  <c r="AM104" i="20"/>
  <c r="AL104" i="20"/>
  <c r="AK104" i="20"/>
  <c r="AJ104" i="20"/>
  <c r="AI104" i="20"/>
  <c r="AH104" i="20"/>
  <c r="AG104" i="20"/>
  <c r="AF104" i="20"/>
  <c r="AE104" i="20"/>
  <c r="AD104" i="20"/>
  <c r="AC104" i="20"/>
  <c r="AB104" i="20"/>
  <c r="AA104" i="20"/>
  <c r="Z104" i="20"/>
  <c r="Y104" i="20"/>
  <c r="X104" i="20"/>
  <c r="W104" i="20"/>
  <c r="V104" i="20"/>
  <c r="U104" i="20"/>
  <c r="S104" i="20"/>
  <c r="R104" i="20"/>
  <c r="Q104" i="20"/>
  <c r="P104" i="20"/>
  <c r="O104" i="20"/>
  <c r="N104" i="20"/>
  <c r="M104" i="20"/>
  <c r="L104" i="20"/>
  <c r="K104" i="20"/>
  <c r="J104" i="20"/>
  <c r="I104" i="20"/>
  <c r="G104" i="20"/>
  <c r="F104" i="20"/>
  <c r="E104" i="20"/>
  <c r="G100" i="20"/>
  <c r="BY96" i="20"/>
  <c r="BY95" i="20"/>
  <c r="BY94" i="20"/>
  <c r="BY93" i="20"/>
  <c r="BX90" i="20"/>
  <c r="BW90" i="20"/>
  <c r="BV90" i="20"/>
  <c r="BU90" i="20"/>
  <c r="BT90" i="20"/>
  <c r="BS90" i="20"/>
  <c r="BR90" i="20"/>
  <c r="BQ90" i="20"/>
  <c r="BP90" i="20"/>
  <c r="BO90" i="20"/>
  <c r="BN90" i="20"/>
  <c r="BM90" i="20"/>
  <c r="BL90" i="20"/>
  <c r="BK90" i="20"/>
  <c r="BJ90" i="20"/>
  <c r="BI90" i="20"/>
  <c r="BH90" i="20"/>
  <c r="BG90" i="20"/>
  <c r="BF90" i="20"/>
  <c r="BE90" i="20"/>
  <c r="BD90" i="20"/>
  <c r="BC90" i="20"/>
  <c r="BB90" i="20"/>
  <c r="BA90" i="20"/>
  <c r="AZ90" i="20"/>
  <c r="AY90" i="20"/>
  <c r="AX90" i="20"/>
  <c r="AW90" i="20"/>
  <c r="AV90" i="20"/>
  <c r="AU90" i="20"/>
  <c r="AT90" i="20"/>
  <c r="AS90" i="20"/>
  <c r="AR90" i="20"/>
  <c r="AQ90" i="20"/>
  <c r="AP90" i="20"/>
  <c r="AO90" i="20"/>
  <c r="AN90" i="20"/>
  <c r="AM90" i="20"/>
  <c r="AL90" i="20"/>
  <c r="AK90" i="20"/>
  <c r="AJ90" i="20"/>
  <c r="AI90" i="20"/>
  <c r="AH90" i="20"/>
  <c r="AG90" i="20"/>
  <c r="AF90" i="20"/>
  <c r="AE90" i="20"/>
  <c r="AD90" i="20"/>
  <c r="AC90" i="20"/>
  <c r="AB90" i="20"/>
  <c r="AA90" i="20"/>
  <c r="Z90" i="20"/>
  <c r="Y90" i="20"/>
  <c r="X90" i="20"/>
  <c r="W90" i="20"/>
  <c r="V90" i="20"/>
  <c r="U90" i="20"/>
  <c r="P90" i="20"/>
  <c r="O90" i="20"/>
  <c r="N90" i="20"/>
  <c r="M90" i="20"/>
  <c r="L90" i="20"/>
  <c r="K90" i="20"/>
  <c r="J90" i="20"/>
  <c r="I90" i="20"/>
  <c r="H90" i="20"/>
  <c r="G90" i="20"/>
  <c r="F90" i="20"/>
  <c r="E90" i="20"/>
  <c r="BY89" i="20"/>
  <c r="BY88" i="20"/>
  <c r="BY87" i="20"/>
  <c r="BX87" i="20"/>
  <c r="BW87" i="20"/>
  <c r="BV87" i="20"/>
  <c r="BU87" i="20"/>
  <c r="BT87" i="20"/>
  <c r="BS87" i="20"/>
  <c r="BR87" i="20"/>
  <c r="BQ87" i="20"/>
  <c r="BP87" i="20"/>
  <c r="BO87" i="20"/>
  <c r="BN87" i="20"/>
  <c r="BM87" i="20"/>
  <c r="BL87" i="20"/>
  <c r="BK87" i="20"/>
  <c r="BJ87" i="20"/>
  <c r="BI87" i="20"/>
  <c r="BH87" i="20"/>
  <c r="BG87" i="20"/>
  <c r="BF87" i="20"/>
  <c r="BE87" i="20"/>
  <c r="BD87" i="20"/>
  <c r="BC87" i="20"/>
  <c r="BB87" i="20"/>
  <c r="BA87" i="20"/>
  <c r="AZ87" i="20"/>
  <c r="AY87" i="20"/>
  <c r="AX87" i="20"/>
  <c r="AW87" i="20"/>
  <c r="AV87" i="20"/>
  <c r="AU87" i="20"/>
  <c r="AT87" i="20"/>
  <c r="AS87" i="20"/>
  <c r="AR87" i="20"/>
  <c r="AQ87" i="20"/>
  <c r="AP87" i="20"/>
  <c r="AO87" i="20"/>
  <c r="AN87" i="20"/>
  <c r="AM87" i="20"/>
  <c r="AL87" i="20"/>
  <c r="AK87" i="20"/>
  <c r="AJ87" i="20"/>
  <c r="AI87" i="20"/>
  <c r="AH87" i="20"/>
  <c r="AG87" i="20"/>
  <c r="AF87" i="20"/>
  <c r="AE87" i="20"/>
  <c r="AD87" i="20"/>
  <c r="AC87" i="20"/>
  <c r="AB87" i="20"/>
  <c r="AA87" i="20"/>
  <c r="Z87" i="20"/>
  <c r="Y87" i="20"/>
  <c r="X87" i="20"/>
  <c r="W87" i="20"/>
  <c r="V87" i="20"/>
  <c r="U87" i="20"/>
  <c r="T87" i="20"/>
  <c r="S87" i="20"/>
  <c r="R87" i="20"/>
  <c r="Q87" i="20"/>
  <c r="P87" i="20"/>
  <c r="O87" i="20"/>
  <c r="N87" i="20"/>
  <c r="M87" i="20"/>
  <c r="L87" i="20"/>
  <c r="K87" i="20"/>
  <c r="J87" i="20"/>
  <c r="I87" i="20"/>
  <c r="H87" i="20"/>
  <c r="G87" i="20"/>
  <c r="F87" i="20"/>
  <c r="E87" i="20"/>
  <c r="BY86" i="20"/>
  <c r="BY85" i="20"/>
  <c r="BY84" i="20"/>
  <c r="BY83" i="20"/>
  <c r="BY81" i="20"/>
  <c r="BY80" i="20"/>
  <c r="BY79" i="20"/>
  <c r="BY78" i="20"/>
  <c r="BY77" i="20"/>
  <c r="BY76" i="20"/>
  <c r="BY75" i="20"/>
  <c r="BY74" i="20"/>
  <c r="BY73" i="20"/>
  <c r="BY72" i="20"/>
  <c r="BY71" i="20"/>
  <c r="BY70" i="20"/>
  <c r="BY69" i="20"/>
  <c r="BY68" i="20"/>
  <c r="BY67" i="20"/>
  <c r="BY66" i="20"/>
  <c r="BY65" i="20"/>
  <c r="BY64" i="20"/>
  <c r="BX63" i="20"/>
  <c r="BW63" i="20"/>
  <c r="BV63" i="20"/>
  <c r="BU63" i="20"/>
  <c r="BT63" i="20"/>
  <c r="BS63" i="20"/>
  <c r="BR63" i="20"/>
  <c r="BQ63" i="20"/>
  <c r="BP63" i="20"/>
  <c r="BO63" i="20"/>
  <c r="BN63" i="20"/>
  <c r="BM63" i="20"/>
  <c r="BL63" i="20"/>
  <c r="BK63" i="20"/>
  <c r="BJ63" i="20"/>
  <c r="BI63" i="20"/>
  <c r="BH63" i="20"/>
  <c r="BG63" i="20"/>
  <c r="BF63" i="20"/>
  <c r="BE63" i="20"/>
  <c r="BD63" i="20"/>
  <c r="BC63" i="20"/>
  <c r="BB63" i="20"/>
  <c r="BA63" i="20"/>
  <c r="AZ63" i="20"/>
  <c r="AY63" i="20"/>
  <c r="AX63" i="20"/>
  <c r="AW63" i="20"/>
  <c r="AV63" i="20"/>
  <c r="AU63" i="20"/>
  <c r="AT63" i="20"/>
  <c r="AS63" i="20"/>
  <c r="AR63" i="20"/>
  <c r="AQ63" i="20"/>
  <c r="AP63" i="20"/>
  <c r="AO63" i="20"/>
  <c r="AN63" i="20"/>
  <c r="AM63" i="20"/>
  <c r="AL63" i="20"/>
  <c r="AK63" i="20"/>
  <c r="AJ63" i="20"/>
  <c r="AI63" i="20"/>
  <c r="AH63" i="20"/>
  <c r="AG63" i="20"/>
  <c r="AF63" i="20"/>
  <c r="AE63" i="20"/>
  <c r="AD63" i="20"/>
  <c r="AC63" i="20"/>
  <c r="AB63" i="20"/>
  <c r="AA63" i="20"/>
  <c r="Z63" i="20"/>
  <c r="Y63" i="20"/>
  <c r="X63" i="20"/>
  <c r="W63" i="20"/>
  <c r="V63" i="20"/>
  <c r="U63" i="20"/>
  <c r="P63" i="20"/>
  <c r="O63" i="20"/>
  <c r="N63" i="20"/>
  <c r="M63" i="20"/>
  <c r="L63" i="20"/>
  <c r="K63" i="20"/>
  <c r="J63" i="20"/>
  <c r="I63" i="20"/>
  <c r="H63" i="20"/>
  <c r="G63" i="20"/>
  <c r="F63" i="20"/>
  <c r="E63" i="20"/>
  <c r="BY61" i="20"/>
  <c r="D61" i="20"/>
  <c r="BY60" i="20"/>
  <c r="BY59" i="20"/>
  <c r="BY58" i="20"/>
  <c r="BY56" i="20"/>
  <c r="BX55" i="20"/>
  <c r="BW55" i="20"/>
  <c r="BV55" i="20"/>
  <c r="BU55" i="20"/>
  <c r="BT55" i="20"/>
  <c r="BS55" i="20"/>
  <c r="BR55" i="20"/>
  <c r="BQ55" i="20"/>
  <c r="BP55" i="20"/>
  <c r="BO55" i="20"/>
  <c r="BN55" i="20"/>
  <c r="BM55" i="20"/>
  <c r="BL55" i="20"/>
  <c r="BK55" i="20"/>
  <c r="BJ55" i="20"/>
  <c r="BI55" i="20"/>
  <c r="BH55" i="20"/>
  <c r="BG55" i="20"/>
  <c r="BF55" i="20"/>
  <c r="BE55" i="20"/>
  <c r="BD55" i="20"/>
  <c r="BC55" i="20"/>
  <c r="BB55" i="20"/>
  <c r="BA55" i="20"/>
  <c r="AZ55" i="20"/>
  <c r="AY55" i="20"/>
  <c r="AX55" i="20"/>
  <c r="AW55" i="20"/>
  <c r="AV55" i="20"/>
  <c r="AU55" i="20"/>
  <c r="AT55" i="20"/>
  <c r="AS55" i="20"/>
  <c r="AR55" i="20"/>
  <c r="AQ55" i="20"/>
  <c r="AP55" i="20"/>
  <c r="AO55" i="20"/>
  <c r="AN55" i="20"/>
  <c r="AM55" i="20"/>
  <c r="AL55" i="20"/>
  <c r="AK55" i="20"/>
  <c r="AJ55" i="20"/>
  <c r="AI55" i="20"/>
  <c r="AH55" i="20"/>
  <c r="AG55" i="20"/>
  <c r="AF55" i="20"/>
  <c r="AE55" i="20"/>
  <c r="AD55" i="20"/>
  <c r="AC55" i="20"/>
  <c r="AB55" i="20"/>
  <c r="AA55" i="20"/>
  <c r="Z55" i="20"/>
  <c r="Y55" i="20"/>
  <c r="X55" i="20"/>
  <c r="W55" i="20"/>
  <c r="V55" i="20"/>
  <c r="U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I54" i="20"/>
  <c r="BY54" i="20" s="1"/>
  <c r="I53" i="20"/>
  <c r="H53" i="20"/>
  <c r="BY52" i="20"/>
  <c r="BY51" i="20"/>
  <c r="K50" i="20"/>
  <c r="BY50" i="20" s="1"/>
  <c r="BX49" i="20"/>
  <c r="BW49" i="20"/>
  <c r="BV49" i="20"/>
  <c r="BU49" i="20"/>
  <c r="BT49" i="20"/>
  <c r="BS49" i="20"/>
  <c r="BR49" i="20"/>
  <c r="BQ49" i="20"/>
  <c r="BP49" i="20"/>
  <c r="BO49" i="20"/>
  <c r="BN49" i="20"/>
  <c r="BM49" i="20"/>
  <c r="BL49" i="20"/>
  <c r="BK49" i="20"/>
  <c r="BJ49" i="20"/>
  <c r="BI49" i="20"/>
  <c r="BH49" i="20"/>
  <c r="BG49" i="20"/>
  <c r="BF49" i="20"/>
  <c r="BE49" i="20"/>
  <c r="BD49" i="20"/>
  <c r="BC49" i="20"/>
  <c r="BB49" i="20"/>
  <c r="BA49" i="20"/>
  <c r="AZ49" i="20"/>
  <c r="AY49" i="20"/>
  <c r="AX49" i="20"/>
  <c r="AW49" i="20"/>
  <c r="AV49" i="20"/>
  <c r="AU49" i="20"/>
  <c r="AT49" i="20"/>
  <c r="AS49" i="20"/>
  <c r="AR49" i="20"/>
  <c r="AQ49" i="20"/>
  <c r="AP49" i="20"/>
  <c r="AO49" i="20"/>
  <c r="AN49" i="20"/>
  <c r="AM49" i="20"/>
  <c r="AL49" i="20"/>
  <c r="AK49" i="20"/>
  <c r="AJ49" i="20"/>
  <c r="AI49" i="20"/>
  <c r="AH49" i="20"/>
  <c r="AG49" i="20"/>
  <c r="AF49" i="20"/>
  <c r="AE49" i="20"/>
  <c r="AD49" i="20"/>
  <c r="AC49" i="20"/>
  <c r="AB49" i="20"/>
  <c r="AA49" i="20"/>
  <c r="Z49" i="20"/>
  <c r="Y49" i="20"/>
  <c r="X49" i="20"/>
  <c r="W49" i="20"/>
  <c r="V49" i="20"/>
  <c r="U49" i="20"/>
  <c r="I49" i="20"/>
  <c r="H49" i="20"/>
  <c r="G49" i="20"/>
  <c r="F49" i="20"/>
  <c r="E49" i="20"/>
  <c r="O48" i="20"/>
  <c r="J48" i="20"/>
  <c r="BY48" i="20" s="1"/>
  <c r="BY47" i="20"/>
  <c r="I46" i="20"/>
  <c r="H46" i="20"/>
  <c r="H45" i="20"/>
  <c r="H44" i="20"/>
  <c r="BY44" i="20" s="1"/>
  <c r="I43" i="20"/>
  <c r="H43" i="20"/>
  <c r="BY43" i="20" s="1"/>
  <c r="I42" i="20"/>
  <c r="H42" i="20"/>
  <c r="BY41" i="20"/>
  <c r="BY40" i="20"/>
  <c r="BY39" i="20"/>
  <c r="P38" i="20"/>
  <c r="O38" i="20"/>
  <c r="N38" i="20"/>
  <c r="M38" i="20"/>
  <c r="L38" i="20"/>
  <c r="K38" i="20"/>
  <c r="J38" i="20"/>
  <c r="I38" i="20"/>
  <c r="BY38" i="20" s="1"/>
  <c r="BX37" i="20"/>
  <c r="BW37" i="20"/>
  <c r="BV37" i="20"/>
  <c r="BU37" i="20"/>
  <c r="BT37" i="20"/>
  <c r="BS37" i="20"/>
  <c r="BR37" i="20"/>
  <c r="BQ37" i="20"/>
  <c r="BP37" i="20"/>
  <c r="BO37" i="20"/>
  <c r="BN37" i="20"/>
  <c r="BM37" i="20"/>
  <c r="BL37" i="20"/>
  <c r="BK37" i="20"/>
  <c r="BJ37" i="20"/>
  <c r="BI37" i="20"/>
  <c r="BH37" i="20"/>
  <c r="BG37" i="20"/>
  <c r="BF37" i="20"/>
  <c r="BE37" i="20"/>
  <c r="BD37" i="20"/>
  <c r="BC37" i="20"/>
  <c r="BB37" i="20"/>
  <c r="BA37" i="20"/>
  <c r="AZ37" i="20"/>
  <c r="AY37" i="20"/>
  <c r="AX37" i="20"/>
  <c r="AW37" i="20"/>
  <c r="AV37" i="20"/>
  <c r="AU37" i="20"/>
  <c r="AT37" i="20"/>
  <c r="AS37" i="20"/>
  <c r="AR37" i="20"/>
  <c r="AQ37" i="20"/>
  <c r="AP37" i="20"/>
  <c r="AO37" i="20"/>
  <c r="AN37" i="20"/>
  <c r="AM37" i="20"/>
  <c r="AL37" i="20"/>
  <c r="AK37" i="20"/>
  <c r="AJ37" i="20"/>
  <c r="AI37" i="20"/>
  <c r="AH37" i="20"/>
  <c r="AG37" i="20"/>
  <c r="AF37" i="20"/>
  <c r="AE37" i="20"/>
  <c r="AD37" i="20"/>
  <c r="AC37" i="20"/>
  <c r="AB37" i="20"/>
  <c r="AA37" i="20"/>
  <c r="Z37" i="20"/>
  <c r="Y37" i="20"/>
  <c r="X37" i="20"/>
  <c r="W37" i="20"/>
  <c r="V37" i="20"/>
  <c r="U37" i="20"/>
  <c r="I37" i="20"/>
  <c r="H37" i="20"/>
  <c r="G37" i="20"/>
  <c r="F37" i="20"/>
  <c r="E37" i="20"/>
  <c r="BY36" i="20"/>
  <c r="BY35" i="20"/>
  <c r="BY34" i="20"/>
  <c r="BX34" i="20"/>
  <c r="BW34" i="20"/>
  <c r="BV34" i="20"/>
  <c r="BU34" i="20"/>
  <c r="BT34" i="20"/>
  <c r="BS34" i="20"/>
  <c r="BR34" i="20"/>
  <c r="BQ34" i="20"/>
  <c r="BP34" i="20"/>
  <c r="BO34" i="20"/>
  <c r="BN34" i="20"/>
  <c r="BM34" i="20"/>
  <c r="BL34" i="20"/>
  <c r="BK34" i="20"/>
  <c r="BJ34" i="20"/>
  <c r="BI34" i="20"/>
  <c r="BH34" i="20"/>
  <c r="BG34" i="20"/>
  <c r="BF34" i="20"/>
  <c r="BE34" i="20"/>
  <c r="BD34" i="20"/>
  <c r="BC34" i="20"/>
  <c r="BB34" i="20"/>
  <c r="BA34" i="20"/>
  <c r="AZ34" i="20"/>
  <c r="AY34" i="20"/>
  <c r="AX34" i="20"/>
  <c r="AW34" i="20"/>
  <c r="AV34" i="20"/>
  <c r="AU34" i="20"/>
  <c r="AT34" i="20"/>
  <c r="AS34" i="20"/>
  <c r="AR34" i="20"/>
  <c r="AQ34" i="20"/>
  <c r="AP34" i="20"/>
  <c r="AO34" i="20"/>
  <c r="AN34" i="20"/>
  <c r="AM34" i="20"/>
  <c r="AL34" i="20"/>
  <c r="AK34" i="20"/>
  <c r="AJ34" i="20"/>
  <c r="AI34" i="20"/>
  <c r="AH34" i="20"/>
  <c r="AG34" i="20"/>
  <c r="AF34" i="20"/>
  <c r="AE34" i="20"/>
  <c r="AD34" i="20"/>
  <c r="AC34" i="20"/>
  <c r="AB34" i="20"/>
  <c r="AA34" i="20"/>
  <c r="Z34" i="20"/>
  <c r="Y34" i="20"/>
  <c r="X34" i="20"/>
  <c r="W34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BY33" i="20"/>
  <c r="L32" i="20"/>
  <c r="I32" i="20"/>
  <c r="BY32" i="20" s="1"/>
  <c r="H31" i="20"/>
  <c r="BY31" i="20" s="1"/>
  <c r="BY30" i="20"/>
  <c r="BY29" i="20"/>
  <c r="BY28" i="20"/>
  <c r="P27" i="20"/>
  <c r="O27" i="20"/>
  <c r="N27" i="20"/>
  <c r="M27" i="20"/>
  <c r="L27" i="20"/>
  <c r="K27" i="20"/>
  <c r="BY27" i="20" s="1"/>
  <c r="BY26" i="20"/>
  <c r="BX26" i="20"/>
  <c r="BW26" i="20"/>
  <c r="BV26" i="20"/>
  <c r="BU26" i="20"/>
  <c r="BT26" i="20"/>
  <c r="BS26" i="20"/>
  <c r="BR26" i="20"/>
  <c r="BQ26" i="20"/>
  <c r="BP26" i="20"/>
  <c r="BO26" i="20"/>
  <c r="BN26" i="20"/>
  <c r="BM26" i="20"/>
  <c r="BL26" i="20"/>
  <c r="BK26" i="20"/>
  <c r="BJ26" i="20"/>
  <c r="BI26" i="20"/>
  <c r="BH26" i="20"/>
  <c r="BG26" i="20"/>
  <c r="BF26" i="20"/>
  <c r="BE26" i="20"/>
  <c r="BD26" i="20"/>
  <c r="BC26" i="20"/>
  <c r="BB26" i="20"/>
  <c r="BA26" i="20"/>
  <c r="AZ26" i="20"/>
  <c r="AY26" i="20"/>
  <c r="AX26" i="20"/>
  <c r="AW26" i="20"/>
  <c r="AV26" i="20"/>
  <c r="AU26" i="20"/>
  <c r="AT26" i="20"/>
  <c r="AS26" i="20"/>
  <c r="AR26" i="20"/>
  <c r="AQ26" i="20"/>
  <c r="AP26" i="20"/>
  <c r="AO26" i="20"/>
  <c r="AN26" i="20"/>
  <c r="AM26" i="20"/>
  <c r="AL26" i="20"/>
  <c r="AK26" i="20"/>
  <c r="AJ26" i="20"/>
  <c r="AI26" i="20"/>
  <c r="AH26" i="20"/>
  <c r="AG26" i="20"/>
  <c r="AF26" i="20"/>
  <c r="AE26" i="20"/>
  <c r="AD26" i="20"/>
  <c r="AC26" i="20"/>
  <c r="AB26" i="20"/>
  <c r="AA26" i="20"/>
  <c r="Z26" i="20"/>
  <c r="Y26" i="20"/>
  <c r="X26" i="20"/>
  <c r="W26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K25" i="20"/>
  <c r="BY25" i="20" s="1"/>
  <c r="K24" i="20"/>
  <c r="I24" i="20"/>
  <c r="BY24" i="20" s="1"/>
  <c r="CE23" i="20"/>
  <c r="BY23" i="20"/>
  <c r="BX23" i="20"/>
  <c r="BW23" i="20"/>
  <c r="BV23" i="20"/>
  <c r="BU23" i="20"/>
  <c r="BT23" i="20"/>
  <c r="BS23" i="20"/>
  <c r="BR23" i="20"/>
  <c r="BQ23" i="20"/>
  <c r="BP23" i="20"/>
  <c r="BO23" i="20"/>
  <c r="BN23" i="20"/>
  <c r="BM23" i="20"/>
  <c r="BL23" i="20"/>
  <c r="BK23" i="20"/>
  <c r="BJ23" i="20"/>
  <c r="BI23" i="20"/>
  <c r="BH23" i="20"/>
  <c r="BG23" i="20"/>
  <c r="BF23" i="20"/>
  <c r="BE23" i="20"/>
  <c r="BD23" i="20"/>
  <c r="BC23" i="20"/>
  <c r="BB23" i="20"/>
  <c r="BA23" i="20"/>
  <c r="AZ23" i="20"/>
  <c r="AY23" i="20"/>
  <c r="AX23" i="20"/>
  <c r="AW23" i="20"/>
  <c r="AV23" i="20"/>
  <c r="AU23" i="20"/>
  <c r="AT23" i="20"/>
  <c r="AS23" i="20"/>
  <c r="AR23" i="20"/>
  <c r="AQ23" i="20"/>
  <c r="AP23" i="20"/>
  <c r="AO23" i="20"/>
  <c r="AN23" i="20"/>
  <c r="AM23" i="20"/>
  <c r="AL23" i="20"/>
  <c r="AK23" i="20"/>
  <c r="AJ23" i="20"/>
  <c r="AI23" i="20"/>
  <c r="AH23" i="20"/>
  <c r="AG23" i="20"/>
  <c r="AF23" i="20"/>
  <c r="AE23" i="20"/>
  <c r="AD23" i="20"/>
  <c r="AC23" i="20"/>
  <c r="AB23" i="20"/>
  <c r="AA23" i="20"/>
  <c r="Z23" i="20"/>
  <c r="Y23" i="20"/>
  <c r="X23" i="20"/>
  <c r="W23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BY22" i="20"/>
  <c r="BY21" i="20"/>
  <c r="BY20" i="20"/>
  <c r="BY19" i="20"/>
  <c r="J18" i="20"/>
  <c r="H18" i="20"/>
  <c r="BY18" i="20" s="1"/>
  <c r="BY17" i="20"/>
  <c r="BX17" i="20"/>
  <c r="BX98" i="20" s="1"/>
  <c r="BW17" i="20"/>
  <c r="BW98" i="20" s="1"/>
  <c r="BV17" i="20"/>
  <c r="BV98" i="20" s="1"/>
  <c r="BU17" i="20"/>
  <c r="BU98" i="20" s="1"/>
  <c r="BT17" i="20"/>
  <c r="BT98" i="20" s="1"/>
  <c r="BS17" i="20"/>
  <c r="BS98" i="20" s="1"/>
  <c r="BR17" i="20"/>
  <c r="BR98" i="20" s="1"/>
  <c r="BQ17" i="20"/>
  <c r="BQ98" i="20" s="1"/>
  <c r="BP17" i="20"/>
  <c r="BP98" i="20" s="1"/>
  <c r="BO17" i="20"/>
  <c r="BO98" i="20" s="1"/>
  <c r="BN17" i="20"/>
  <c r="BN98" i="20" s="1"/>
  <c r="BM17" i="20"/>
  <c r="BM98" i="20" s="1"/>
  <c r="BL17" i="20"/>
  <c r="BL98" i="20" s="1"/>
  <c r="BK17" i="20"/>
  <c r="BK98" i="20" s="1"/>
  <c r="BJ17" i="20"/>
  <c r="BJ98" i="20" s="1"/>
  <c r="BI17" i="20"/>
  <c r="BI98" i="20" s="1"/>
  <c r="BH17" i="20"/>
  <c r="BH98" i="20" s="1"/>
  <c r="BG17" i="20"/>
  <c r="BG98" i="20" s="1"/>
  <c r="BF17" i="20"/>
  <c r="BF98" i="20" s="1"/>
  <c r="BE17" i="20"/>
  <c r="BE98" i="20" s="1"/>
  <c r="BD17" i="20"/>
  <c r="BD98" i="20" s="1"/>
  <c r="BC17" i="20"/>
  <c r="BC98" i="20" s="1"/>
  <c r="BB17" i="20"/>
  <c r="BB98" i="20" s="1"/>
  <c r="BA17" i="20"/>
  <c r="BA98" i="20" s="1"/>
  <c r="AZ17" i="20"/>
  <c r="AZ98" i="20" s="1"/>
  <c r="AY17" i="20"/>
  <c r="AY98" i="20" s="1"/>
  <c r="AX17" i="20"/>
  <c r="AX98" i="20" s="1"/>
  <c r="AW17" i="20"/>
  <c r="AW98" i="20" s="1"/>
  <c r="AV17" i="20"/>
  <c r="AV98" i="20" s="1"/>
  <c r="AU17" i="20"/>
  <c r="AU98" i="20" s="1"/>
  <c r="AT17" i="20"/>
  <c r="AT98" i="20" s="1"/>
  <c r="AS17" i="20"/>
  <c r="AS98" i="20" s="1"/>
  <c r="AR17" i="20"/>
  <c r="AR98" i="20" s="1"/>
  <c r="AQ17" i="20"/>
  <c r="AQ98" i="20" s="1"/>
  <c r="AP17" i="20"/>
  <c r="AP98" i="20" s="1"/>
  <c r="AO17" i="20"/>
  <c r="AO98" i="20" s="1"/>
  <c r="AN17" i="20"/>
  <c r="AN98" i="20" s="1"/>
  <c r="AM17" i="20"/>
  <c r="AM98" i="20" s="1"/>
  <c r="AL17" i="20"/>
  <c r="AL98" i="20" s="1"/>
  <c r="AK17" i="20"/>
  <c r="AK98" i="20" s="1"/>
  <c r="AJ17" i="20"/>
  <c r="AJ98" i="20" s="1"/>
  <c r="AI17" i="20"/>
  <c r="AI98" i="20" s="1"/>
  <c r="AH17" i="20"/>
  <c r="AH98" i="20" s="1"/>
  <c r="AG17" i="20"/>
  <c r="AG98" i="20" s="1"/>
  <c r="AF17" i="20"/>
  <c r="AF98" i="20" s="1"/>
  <c r="AE17" i="20"/>
  <c r="AE98" i="20" s="1"/>
  <c r="AD17" i="20"/>
  <c r="AD98" i="20" s="1"/>
  <c r="AC17" i="20"/>
  <c r="AC98" i="20" s="1"/>
  <c r="AB17" i="20"/>
  <c r="AB98" i="20" s="1"/>
  <c r="AA17" i="20"/>
  <c r="AA98" i="20" s="1"/>
  <c r="Z17" i="20"/>
  <c r="Z98" i="20" s="1"/>
  <c r="Y17" i="20"/>
  <c r="Y98" i="20" s="1"/>
  <c r="X17" i="20"/>
  <c r="X98" i="20" s="1"/>
  <c r="W17" i="20"/>
  <c r="W98" i="20" s="1"/>
  <c r="V17" i="20"/>
  <c r="V98" i="20" s="1"/>
  <c r="U17" i="20"/>
  <c r="U98" i="20" s="1"/>
  <c r="T17" i="20"/>
  <c r="S17" i="20"/>
  <c r="R17" i="20"/>
  <c r="Q17" i="20"/>
  <c r="P17" i="20"/>
  <c r="O17" i="20"/>
  <c r="N17" i="20"/>
  <c r="M17" i="20"/>
  <c r="L17" i="20"/>
  <c r="K17" i="20"/>
  <c r="J17" i="20"/>
  <c r="I17" i="20"/>
  <c r="I98" i="20" s="1"/>
  <c r="H17" i="20"/>
  <c r="H98" i="20" s="1"/>
  <c r="G17" i="20"/>
  <c r="G98" i="20" s="1"/>
  <c r="F17" i="20"/>
  <c r="F98" i="20" s="1"/>
  <c r="E17" i="20"/>
  <c r="E98" i="20" s="1"/>
  <c r="BX16" i="20"/>
  <c r="BX99" i="20" s="1"/>
  <c r="BW16" i="20"/>
  <c r="BW99" i="20" s="1"/>
  <c r="BV16" i="20"/>
  <c r="BV99" i="20" s="1"/>
  <c r="BU16" i="20"/>
  <c r="BU99" i="20" s="1"/>
  <c r="BT16" i="20"/>
  <c r="BT99" i="20" s="1"/>
  <c r="BS16" i="20"/>
  <c r="BS99" i="20" s="1"/>
  <c r="BR16" i="20"/>
  <c r="BR99" i="20" s="1"/>
  <c r="BQ16" i="20"/>
  <c r="BQ99" i="20" s="1"/>
  <c r="BP16" i="20"/>
  <c r="BP99" i="20" s="1"/>
  <c r="BO16" i="20"/>
  <c r="BO99" i="20" s="1"/>
  <c r="BN16" i="20"/>
  <c r="BN99" i="20" s="1"/>
  <c r="BM16" i="20"/>
  <c r="BM99" i="20" s="1"/>
  <c r="BL16" i="20"/>
  <c r="BL99" i="20" s="1"/>
  <c r="BK16" i="20"/>
  <c r="BK99" i="20" s="1"/>
  <c r="BJ16" i="20"/>
  <c r="BJ99" i="20" s="1"/>
  <c r="BI16" i="20"/>
  <c r="BI99" i="20" s="1"/>
  <c r="BH16" i="20"/>
  <c r="BH99" i="20" s="1"/>
  <c r="BG16" i="20"/>
  <c r="BG99" i="20" s="1"/>
  <c r="BF16" i="20"/>
  <c r="BF99" i="20" s="1"/>
  <c r="BE16" i="20"/>
  <c r="BE99" i="20" s="1"/>
  <c r="BD16" i="20"/>
  <c r="BD99" i="20" s="1"/>
  <c r="BC16" i="20"/>
  <c r="BC99" i="20" s="1"/>
  <c r="BB16" i="20"/>
  <c r="BB99" i="20" s="1"/>
  <c r="BA16" i="20"/>
  <c r="BA99" i="20" s="1"/>
  <c r="AZ16" i="20"/>
  <c r="AZ99" i="20" s="1"/>
  <c r="AY16" i="20"/>
  <c r="AY99" i="20" s="1"/>
  <c r="AX16" i="20"/>
  <c r="AX99" i="20" s="1"/>
  <c r="AW16" i="20"/>
  <c r="AW99" i="20" s="1"/>
  <c r="AV16" i="20"/>
  <c r="AV99" i="20" s="1"/>
  <c r="AU16" i="20"/>
  <c r="AU99" i="20" s="1"/>
  <c r="AT16" i="20"/>
  <c r="AT99" i="20" s="1"/>
  <c r="AS16" i="20"/>
  <c r="AS99" i="20" s="1"/>
  <c r="AR16" i="20"/>
  <c r="AR99" i="20" s="1"/>
  <c r="AQ16" i="20"/>
  <c r="AQ99" i="20" s="1"/>
  <c r="AP16" i="20"/>
  <c r="AP99" i="20" s="1"/>
  <c r="AO16" i="20"/>
  <c r="AO99" i="20" s="1"/>
  <c r="AN16" i="20"/>
  <c r="AN99" i="20" s="1"/>
  <c r="AM16" i="20"/>
  <c r="AM99" i="20" s="1"/>
  <c r="AL16" i="20"/>
  <c r="AL99" i="20" s="1"/>
  <c r="AK16" i="20"/>
  <c r="AK99" i="20" s="1"/>
  <c r="AJ16" i="20"/>
  <c r="AJ99" i="20" s="1"/>
  <c r="AI16" i="20"/>
  <c r="AI99" i="20" s="1"/>
  <c r="AH16" i="20"/>
  <c r="AH99" i="20" s="1"/>
  <c r="AG16" i="20"/>
  <c r="AG99" i="20" s="1"/>
  <c r="AF16" i="20"/>
  <c r="AF99" i="20" s="1"/>
  <c r="AE16" i="20"/>
  <c r="AE99" i="20" s="1"/>
  <c r="AD16" i="20"/>
  <c r="AD99" i="20" s="1"/>
  <c r="AC16" i="20"/>
  <c r="AC99" i="20" s="1"/>
  <c r="AB16" i="20"/>
  <c r="AB99" i="20" s="1"/>
  <c r="AA16" i="20"/>
  <c r="AA99" i="20" s="1"/>
  <c r="Z16" i="20"/>
  <c r="Z99" i="20" s="1"/>
  <c r="Y16" i="20"/>
  <c r="Y99" i="20" s="1"/>
  <c r="X16" i="20"/>
  <c r="X99" i="20" s="1"/>
  <c r="W16" i="20"/>
  <c r="W99" i="20" s="1"/>
  <c r="V16" i="20"/>
  <c r="V99" i="20" s="1"/>
  <c r="U16" i="20"/>
  <c r="U99" i="20" s="1"/>
  <c r="I16" i="20"/>
  <c r="I99" i="20" s="1"/>
  <c r="G16" i="20"/>
  <c r="G99" i="20" s="1"/>
  <c r="F16" i="20"/>
  <c r="F99" i="20" s="1"/>
  <c r="E16" i="20"/>
  <c r="E99" i="20" s="1"/>
  <c r="E100" i="20" s="1"/>
  <c r="O15" i="20"/>
  <c r="CE14" i="20"/>
  <c r="CE15" i="20" s="1"/>
  <c r="K14" i="20"/>
  <c r="K16" i="20" s="1"/>
  <c r="J14" i="20"/>
  <c r="P11" i="20"/>
  <c r="O11" i="20"/>
  <c r="N11" i="20"/>
  <c r="M11" i="20"/>
  <c r="BY10" i="20"/>
  <c r="CB10" i="20" s="1"/>
  <c r="BY9" i="20"/>
  <c r="BY8" i="20"/>
  <c r="CB8" i="20" s="1"/>
  <c r="CA7" i="20"/>
  <c r="BY7" i="20"/>
  <c r="CB7" i="20" s="1"/>
  <c r="CA6" i="20"/>
  <c r="BY6" i="20"/>
  <c r="H5" i="20"/>
  <c r="D216" i="19"/>
  <c r="BX209" i="19"/>
  <c r="BW209" i="19"/>
  <c r="BV209" i="19"/>
  <c r="BU209" i="19"/>
  <c r="BT209" i="19"/>
  <c r="BS209" i="19"/>
  <c r="BR209" i="19"/>
  <c r="BQ209" i="19"/>
  <c r="BP209" i="19"/>
  <c r="BO209" i="19"/>
  <c r="BN209" i="19"/>
  <c r="BM209" i="19"/>
  <c r="BL209" i="19"/>
  <c r="BK209" i="19"/>
  <c r="BJ209" i="19"/>
  <c r="BI209" i="19"/>
  <c r="BH209" i="19"/>
  <c r="BG209" i="19"/>
  <c r="BF209" i="19"/>
  <c r="BE209" i="19"/>
  <c r="BD209" i="19"/>
  <c r="BC209" i="19"/>
  <c r="BB209" i="19"/>
  <c r="BA209" i="19"/>
  <c r="AZ209" i="19"/>
  <c r="AY209" i="19"/>
  <c r="AX209" i="19"/>
  <c r="AW209" i="19"/>
  <c r="AV209" i="19"/>
  <c r="AU209" i="19"/>
  <c r="AT209" i="19"/>
  <c r="AS209" i="19"/>
  <c r="AR209" i="19"/>
  <c r="AQ209" i="19"/>
  <c r="AP209" i="19"/>
  <c r="AO209" i="19"/>
  <c r="AN209" i="19"/>
  <c r="AM209" i="19"/>
  <c r="AL209" i="19"/>
  <c r="AK209" i="19"/>
  <c r="AJ209" i="19"/>
  <c r="AI209" i="19"/>
  <c r="AH209" i="19"/>
  <c r="AG209" i="19"/>
  <c r="AF209" i="19"/>
  <c r="AE209" i="19"/>
  <c r="AD209" i="19"/>
  <c r="AC209" i="19"/>
  <c r="AB209" i="19"/>
  <c r="AA209" i="19"/>
  <c r="Z209" i="19"/>
  <c r="Y209" i="19"/>
  <c r="X209" i="19"/>
  <c r="W209" i="19"/>
  <c r="V209" i="19"/>
  <c r="U209" i="19"/>
  <c r="T209" i="19"/>
  <c r="S209" i="19"/>
  <c r="S212" i="19" s="1"/>
  <c r="R209" i="19"/>
  <c r="R212" i="19" s="1"/>
  <c r="Q209" i="19"/>
  <c r="Q212" i="19" s="1"/>
  <c r="P209" i="19"/>
  <c r="P212" i="19" s="1"/>
  <c r="O209" i="19"/>
  <c r="O212" i="19" s="1"/>
  <c r="N209" i="19"/>
  <c r="N212" i="19" s="1"/>
  <c r="M209" i="19"/>
  <c r="M212" i="19" s="1"/>
  <c r="L209" i="19"/>
  <c r="L212" i="19" s="1"/>
  <c r="K209" i="19"/>
  <c r="K212" i="19" s="1"/>
  <c r="J209" i="19"/>
  <c r="J212" i="19" s="1"/>
  <c r="I209" i="19"/>
  <c r="I212" i="19" s="1"/>
  <c r="H209" i="19"/>
  <c r="G209" i="19"/>
  <c r="F209" i="19"/>
  <c r="E209" i="19"/>
  <c r="BX207" i="19"/>
  <c r="BW207" i="19"/>
  <c r="BW212" i="19" s="1"/>
  <c r="BV207" i="19"/>
  <c r="BV212" i="19" s="1"/>
  <c r="BU207" i="19"/>
  <c r="BU212" i="19" s="1"/>
  <c r="BT207" i="19"/>
  <c r="BT212" i="19" s="1"/>
  <c r="BS207" i="19"/>
  <c r="BS212" i="19" s="1"/>
  <c r="BR207" i="19"/>
  <c r="BR212" i="19" s="1"/>
  <c r="BQ207" i="19"/>
  <c r="BQ212" i="19" s="1"/>
  <c r="BP207" i="19"/>
  <c r="BP212" i="19" s="1"/>
  <c r="BO207" i="19"/>
  <c r="BO212" i="19" s="1"/>
  <c r="BN207" i="19"/>
  <c r="BN212" i="19" s="1"/>
  <c r="BM207" i="19"/>
  <c r="BM212" i="19" s="1"/>
  <c r="BL207" i="19"/>
  <c r="BL212" i="19" s="1"/>
  <c r="BK207" i="19"/>
  <c r="BK212" i="19" s="1"/>
  <c r="BJ207" i="19"/>
  <c r="BJ212" i="19" s="1"/>
  <c r="BI207" i="19"/>
  <c r="BI212" i="19" s="1"/>
  <c r="BH207" i="19"/>
  <c r="BH212" i="19" s="1"/>
  <c r="BG207" i="19"/>
  <c r="BG212" i="19" s="1"/>
  <c r="BF207" i="19"/>
  <c r="BF212" i="19" s="1"/>
  <c r="BE207" i="19"/>
  <c r="BE212" i="19" s="1"/>
  <c r="BD207" i="19"/>
  <c r="BD212" i="19" s="1"/>
  <c r="BC207" i="19"/>
  <c r="BC212" i="19" s="1"/>
  <c r="BB207" i="19"/>
  <c r="BB212" i="19" s="1"/>
  <c r="BA207" i="19"/>
  <c r="BA212" i="19" s="1"/>
  <c r="AZ207" i="19"/>
  <c r="AZ212" i="19" s="1"/>
  <c r="AY207" i="19"/>
  <c r="AY212" i="19" s="1"/>
  <c r="AX207" i="19"/>
  <c r="AX212" i="19" s="1"/>
  <c r="AW207" i="19"/>
  <c r="AW212" i="19" s="1"/>
  <c r="AV207" i="19"/>
  <c r="AV212" i="19" s="1"/>
  <c r="AU207" i="19"/>
  <c r="AU212" i="19" s="1"/>
  <c r="AT207" i="19"/>
  <c r="AT212" i="19" s="1"/>
  <c r="AS207" i="19"/>
  <c r="AS212" i="19" s="1"/>
  <c r="AR207" i="19"/>
  <c r="AR212" i="19" s="1"/>
  <c r="AQ207" i="19"/>
  <c r="AQ212" i="19" s="1"/>
  <c r="AP207" i="19"/>
  <c r="AP212" i="19" s="1"/>
  <c r="AO207" i="19"/>
  <c r="AO212" i="19" s="1"/>
  <c r="AN207" i="19"/>
  <c r="AN212" i="19" s="1"/>
  <c r="AM207" i="19"/>
  <c r="AM212" i="19" s="1"/>
  <c r="AL207" i="19"/>
  <c r="AL212" i="19" s="1"/>
  <c r="AK207" i="19"/>
  <c r="AK212" i="19" s="1"/>
  <c r="AJ207" i="19"/>
  <c r="AJ212" i="19" s="1"/>
  <c r="AI207" i="19"/>
  <c r="AI212" i="19" s="1"/>
  <c r="AH207" i="19"/>
  <c r="AH212" i="19" s="1"/>
  <c r="AG207" i="19"/>
  <c r="AG212" i="19" s="1"/>
  <c r="AF207" i="19"/>
  <c r="AF212" i="19" s="1"/>
  <c r="AE207" i="19"/>
  <c r="AE212" i="19" s="1"/>
  <c r="AD207" i="19"/>
  <c r="AD212" i="19" s="1"/>
  <c r="AC207" i="19"/>
  <c r="AC212" i="19" s="1"/>
  <c r="AB207" i="19"/>
  <c r="AB212" i="19" s="1"/>
  <c r="AA207" i="19"/>
  <c r="AA212" i="19" s="1"/>
  <c r="Z207" i="19"/>
  <c r="Z212" i="19" s="1"/>
  <c r="Y207" i="19"/>
  <c r="Y212" i="19" s="1"/>
  <c r="X207" i="19"/>
  <c r="X212" i="19" s="1"/>
  <c r="W207" i="19"/>
  <c r="W212" i="19" s="1"/>
  <c r="V207" i="19"/>
  <c r="V212" i="19" s="1"/>
  <c r="U207" i="19"/>
  <c r="U212" i="19" s="1"/>
  <c r="T207" i="19"/>
  <c r="H207" i="19"/>
  <c r="H212" i="19" s="1"/>
  <c r="G207" i="19"/>
  <c r="G212" i="19" s="1"/>
  <c r="F207" i="19"/>
  <c r="F212" i="19" s="1"/>
  <c r="E207" i="19"/>
  <c r="E212" i="19" s="1"/>
  <c r="D200" i="19"/>
  <c r="BX193" i="19"/>
  <c r="BW193" i="19"/>
  <c r="BV193" i="19"/>
  <c r="BU193" i="19"/>
  <c r="BT193" i="19"/>
  <c r="BS193" i="19"/>
  <c r="BR193" i="19"/>
  <c r="BQ193" i="19"/>
  <c r="BP193" i="19"/>
  <c r="BO193" i="19"/>
  <c r="BN193" i="19"/>
  <c r="BM193" i="19"/>
  <c r="BL193" i="19"/>
  <c r="BK193" i="19"/>
  <c r="BJ193" i="19"/>
  <c r="BI193" i="19"/>
  <c r="BH193" i="19"/>
  <c r="BG193" i="19"/>
  <c r="BF193" i="19"/>
  <c r="BE193" i="19"/>
  <c r="BD193" i="19"/>
  <c r="BC193" i="19"/>
  <c r="BB193" i="19"/>
  <c r="BA193" i="19"/>
  <c r="AZ193" i="19"/>
  <c r="AY193" i="19"/>
  <c r="AX193" i="19"/>
  <c r="AW193" i="19"/>
  <c r="AV193" i="19"/>
  <c r="AU193" i="19"/>
  <c r="AT193" i="19"/>
  <c r="AS193" i="19"/>
  <c r="AR193" i="19"/>
  <c r="AQ193" i="19"/>
  <c r="AP193" i="19"/>
  <c r="AO193" i="19"/>
  <c r="AN193" i="19"/>
  <c r="AM193" i="19"/>
  <c r="AL193" i="19"/>
  <c r="AK193" i="19"/>
  <c r="AJ193" i="19"/>
  <c r="AI193" i="19"/>
  <c r="AH193" i="19"/>
  <c r="AG193" i="19"/>
  <c r="AF193" i="19"/>
  <c r="AE193" i="19"/>
  <c r="AD193" i="19"/>
  <c r="AB193" i="19"/>
  <c r="AA193" i="19"/>
  <c r="Z193" i="19"/>
  <c r="Y193" i="19"/>
  <c r="X193" i="19"/>
  <c r="W193" i="19"/>
  <c r="V193" i="19"/>
  <c r="U193" i="19"/>
  <c r="T193" i="19"/>
  <c r="S193" i="19"/>
  <c r="R193" i="19"/>
  <c r="Q193" i="19"/>
  <c r="P193" i="19"/>
  <c r="O193" i="19"/>
  <c r="N193" i="19"/>
  <c r="M193" i="19"/>
  <c r="L193" i="19"/>
  <c r="K193" i="19"/>
  <c r="J193" i="19"/>
  <c r="I193" i="19"/>
  <c r="H193" i="19"/>
  <c r="G193" i="19"/>
  <c r="F193" i="19"/>
  <c r="E193" i="19"/>
  <c r="BX191" i="19"/>
  <c r="BW191" i="19"/>
  <c r="BW196" i="19" s="1"/>
  <c r="BV191" i="19"/>
  <c r="BV196" i="19" s="1"/>
  <c r="BU191" i="19"/>
  <c r="BU196" i="19" s="1"/>
  <c r="BT191" i="19"/>
  <c r="BT196" i="19" s="1"/>
  <c r="BS191" i="19"/>
  <c r="BS196" i="19" s="1"/>
  <c r="BR191" i="19"/>
  <c r="BR196" i="19" s="1"/>
  <c r="BQ191" i="19"/>
  <c r="BQ196" i="19" s="1"/>
  <c r="BP191" i="19"/>
  <c r="BP196" i="19" s="1"/>
  <c r="BO191" i="19"/>
  <c r="BO196" i="19" s="1"/>
  <c r="BN191" i="19"/>
  <c r="BN196" i="19" s="1"/>
  <c r="BM191" i="19"/>
  <c r="BM196" i="19" s="1"/>
  <c r="BL191" i="19"/>
  <c r="BL196" i="19" s="1"/>
  <c r="BK191" i="19"/>
  <c r="BK196" i="19" s="1"/>
  <c r="BJ191" i="19"/>
  <c r="BJ196" i="19" s="1"/>
  <c r="BI191" i="19"/>
  <c r="BI196" i="19" s="1"/>
  <c r="BH191" i="19"/>
  <c r="BH196" i="19" s="1"/>
  <c r="BG191" i="19"/>
  <c r="BG196" i="19" s="1"/>
  <c r="BF191" i="19"/>
  <c r="BF196" i="19" s="1"/>
  <c r="BE191" i="19"/>
  <c r="BE196" i="19" s="1"/>
  <c r="BD191" i="19"/>
  <c r="BD196" i="19" s="1"/>
  <c r="BC191" i="19"/>
  <c r="BC196" i="19" s="1"/>
  <c r="BB191" i="19"/>
  <c r="BB196" i="19" s="1"/>
  <c r="BA191" i="19"/>
  <c r="BA196" i="19" s="1"/>
  <c r="AZ191" i="19"/>
  <c r="AZ196" i="19" s="1"/>
  <c r="AY191" i="19"/>
  <c r="AY196" i="19" s="1"/>
  <c r="AX191" i="19"/>
  <c r="AX196" i="19" s="1"/>
  <c r="AW191" i="19"/>
  <c r="AW196" i="19" s="1"/>
  <c r="AV191" i="19"/>
  <c r="AV196" i="19" s="1"/>
  <c r="AU191" i="19"/>
  <c r="AU196" i="19" s="1"/>
  <c r="AT191" i="19"/>
  <c r="AT196" i="19" s="1"/>
  <c r="AS191" i="19"/>
  <c r="AS196" i="19" s="1"/>
  <c r="AR191" i="19"/>
  <c r="AR196" i="19" s="1"/>
  <c r="AQ191" i="19"/>
  <c r="AQ196" i="19" s="1"/>
  <c r="AP191" i="19"/>
  <c r="AP196" i="19" s="1"/>
  <c r="AO191" i="19"/>
  <c r="AO196" i="19" s="1"/>
  <c r="AN191" i="19"/>
  <c r="AN196" i="19" s="1"/>
  <c r="AM191" i="19"/>
  <c r="AM196" i="19" s="1"/>
  <c r="AL191" i="19"/>
  <c r="AL196" i="19" s="1"/>
  <c r="AK191" i="19"/>
  <c r="AK196" i="19" s="1"/>
  <c r="AJ191" i="19"/>
  <c r="AJ196" i="19" s="1"/>
  <c r="AI191" i="19"/>
  <c r="AI196" i="19" s="1"/>
  <c r="AH191" i="19"/>
  <c r="AH196" i="19" s="1"/>
  <c r="AG191" i="19"/>
  <c r="AG196" i="19" s="1"/>
  <c r="AF191" i="19"/>
  <c r="AF196" i="19" s="1"/>
  <c r="AE191" i="19"/>
  <c r="AE196" i="19" s="1"/>
  <c r="AD191" i="19"/>
  <c r="AD196" i="19" s="1"/>
  <c r="AB191" i="19"/>
  <c r="AB196" i="19" s="1"/>
  <c r="AA191" i="19"/>
  <c r="AA196" i="19" s="1"/>
  <c r="Z191" i="19"/>
  <c r="Z196" i="19" s="1"/>
  <c r="Y191" i="19"/>
  <c r="Y196" i="19" s="1"/>
  <c r="X191" i="19"/>
  <c r="X196" i="19" s="1"/>
  <c r="W191" i="19"/>
  <c r="W196" i="19" s="1"/>
  <c r="V191" i="19"/>
  <c r="V196" i="19" s="1"/>
  <c r="U191" i="19"/>
  <c r="U196" i="19" s="1"/>
  <c r="T191" i="19"/>
  <c r="S191" i="19"/>
  <c r="S196" i="19" s="1"/>
  <c r="R191" i="19"/>
  <c r="R196" i="19" s="1"/>
  <c r="Q191" i="19"/>
  <c r="Q196" i="19" s="1"/>
  <c r="P191" i="19"/>
  <c r="P196" i="19" s="1"/>
  <c r="O191" i="19"/>
  <c r="O196" i="19" s="1"/>
  <c r="N191" i="19"/>
  <c r="N196" i="19" s="1"/>
  <c r="M191" i="19"/>
  <c r="M196" i="19" s="1"/>
  <c r="K191" i="19"/>
  <c r="K196" i="19" s="1"/>
  <c r="J191" i="19"/>
  <c r="J196" i="19" s="1"/>
  <c r="I191" i="19"/>
  <c r="I196" i="19" s="1"/>
  <c r="H191" i="19"/>
  <c r="H196" i="19" s="1"/>
  <c r="G191" i="19"/>
  <c r="G196" i="19" s="1"/>
  <c r="F191" i="19"/>
  <c r="F196" i="19" s="1"/>
  <c r="E191" i="19"/>
  <c r="E196" i="19" s="1"/>
  <c r="D184" i="19"/>
  <c r="T178" i="19"/>
  <c r="BX177" i="19"/>
  <c r="BW177" i="19"/>
  <c r="BV177" i="19"/>
  <c r="BU177" i="19"/>
  <c r="BT177" i="19"/>
  <c r="BS177" i="19"/>
  <c r="BR177" i="19"/>
  <c r="BQ177" i="19"/>
  <c r="BP177" i="19"/>
  <c r="BO177" i="19"/>
  <c r="BN177" i="19"/>
  <c r="BM177" i="19"/>
  <c r="BL177" i="19"/>
  <c r="BK177" i="19"/>
  <c r="BJ177" i="19"/>
  <c r="BI177" i="19"/>
  <c r="BH177" i="19"/>
  <c r="BG177" i="19"/>
  <c r="BF177" i="19"/>
  <c r="BE177" i="19"/>
  <c r="BD177" i="19"/>
  <c r="BC177" i="19"/>
  <c r="BB177" i="19"/>
  <c r="BA177" i="19"/>
  <c r="AZ177" i="19"/>
  <c r="AY177" i="19"/>
  <c r="AX177" i="19"/>
  <c r="AW177" i="19"/>
  <c r="AV177" i="19"/>
  <c r="AU177" i="19"/>
  <c r="AT177" i="19"/>
  <c r="AS177" i="19"/>
  <c r="AR177" i="19"/>
  <c r="AQ177" i="19"/>
  <c r="AP177" i="19"/>
  <c r="AO177" i="19"/>
  <c r="AN177" i="19"/>
  <c r="AM177" i="19"/>
  <c r="AL177" i="19"/>
  <c r="AK177" i="19"/>
  <c r="AJ177" i="19"/>
  <c r="AI177" i="19"/>
  <c r="AH177" i="19"/>
  <c r="AG177" i="19"/>
  <c r="AF177" i="19"/>
  <c r="AE177" i="19"/>
  <c r="AD177" i="19"/>
  <c r="AC177" i="19"/>
  <c r="AB177" i="19"/>
  <c r="AA177" i="19"/>
  <c r="Z177" i="19"/>
  <c r="Y177" i="19"/>
  <c r="X177" i="19"/>
  <c r="W177" i="19"/>
  <c r="V177" i="19"/>
  <c r="U177" i="19"/>
  <c r="T177" i="19"/>
  <c r="S177" i="19"/>
  <c r="R177" i="19"/>
  <c r="Q177" i="19"/>
  <c r="P177" i="19"/>
  <c r="O177" i="19"/>
  <c r="N177" i="19"/>
  <c r="M177" i="19"/>
  <c r="L177" i="19"/>
  <c r="K177" i="19"/>
  <c r="K180" i="19" s="1"/>
  <c r="J177" i="19"/>
  <c r="I177" i="19"/>
  <c r="I180" i="19" s="1"/>
  <c r="H177" i="19"/>
  <c r="G177" i="19"/>
  <c r="F177" i="19"/>
  <c r="E177" i="19"/>
  <c r="BX175" i="19"/>
  <c r="BW175" i="19"/>
  <c r="BW180" i="19" s="1"/>
  <c r="BV175" i="19"/>
  <c r="BV180" i="19" s="1"/>
  <c r="BU175" i="19"/>
  <c r="BU180" i="19" s="1"/>
  <c r="BT175" i="19"/>
  <c r="BT180" i="19" s="1"/>
  <c r="BS175" i="19"/>
  <c r="BS180" i="19" s="1"/>
  <c r="BR175" i="19"/>
  <c r="BR180" i="19" s="1"/>
  <c r="BQ175" i="19"/>
  <c r="BQ180" i="19" s="1"/>
  <c r="BP175" i="19"/>
  <c r="BP180" i="19" s="1"/>
  <c r="BO175" i="19"/>
  <c r="BO180" i="19" s="1"/>
  <c r="BN175" i="19"/>
  <c r="BN180" i="19" s="1"/>
  <c r="BM175" i="19"/>
  <c r="BM180" i="19" s="1"/>
  <c r="BL175" i="19"/>
  <c r="BL180" i="19" s="1"/>
  <c r="BK175" i="19"/>
  <c r="BK180" i="19" s="1"/>
  <c r="BJ175" i="19"/>
  <c r="BJ180" i="19" s="1"/>
  <c r="BI175" i="19"/>
  <c r="BI180" i="19" s="1"/>
  <c r="BH175" i="19"/>
  <c r="BH180" i="19" s="1"/>
  <c r="BG175" i="19"/>
  <c r="BG180" i="19" s="1"/>
  <c r="BF175" i="19"/>
  <c r="BF180" i="19" s="1"/>
  <c r="BE175" i="19"/>
  <c r="BE180" i="19" s="1"/>
  <c r="BD175" i="19"/>
  <c r="BD180" i="19" s="1"/>
  <c r="BC175" i="19"/>
  <c r="BC180" i="19" s="1"/>
  <c r="BB175" i="19"/>
  <c r="BB180" i="19" s="1"/>
  <c r="BA175" i="19"/>
  <c r="BA180" i="19" s="1"/>
  <c r="AZ175" i="19"/>
  <c r="AZ180" i="19" s="1"/>
  <c r="AY175" i="19"/>
  <c r="AY180" i="19" s="1"/>
  <c r="AX175" i="19"/>
  <c r="AX180" i="19" s="1"/>
  <c r="AW175" i="19"/>
  <c r="AW180" i="19" s="1"/>
  <c r="AV175" i="19"/>
  <c r="AV180" i="19" s="1"/>
  <c r="AU175" i="19"/>
  <c r="AU180" i="19" s="1"/>
  <c r="AT175" i="19"/>
  <c r="AT180" i="19" s="1"/>
  <c r="AS175" i="19"/>
  <c r="AS180" i="19" s="1"/>
  <c r="AR175" i="19"/>
  <c r="AR180" i="19" s="1"/>
  <c r="AQ175" i="19"/>
  <c r="AQ180" i="19" s="1"/>
  <c r="AP175" i="19"/>
  <c r="AP180" i="19" s="1"/>
  <c r="AO175" i="19"/>
  <c r="AO180" i="19" s="1"/>
  <c r="AN175" i="19"/>
  <c r="AN180" i="19" s="1"/>
  <c r="AM175" i="19"/>
  <c r="AM180" i="19" s="1"/>
  <c r="AL175" i="19"/>
  <c r="AL180" i="19" s="1"/>
  <c r="AK175" i="19"/>
  <c r="AK180" i="19" s="1"/>
  <c r="AJ175" i="19"/>
  <c r="AJ180" i="19" s="1"/>
  <c r="AI175" i="19"/>
  <c r="AI180" i="19" s="1"/>
  <c r="AH175" i="19"/>
  <c r="AH180" i="19" s="1"/>
  <c r="AG175" i="19"/>
  <c r="AG180" i="19" s="1"/>
  <c r="AF175" i="19"/>
  <c r="AF180" i="19" s="1"/>
  <c r="AE175" i="19"/>
  <c r="AE180" i="19" s="1"/>
  <c r="AD175" i="19"/>
  <c r="AD180" i="19" s="1"/>
  <c r="AC175" i="19"/>
  <c r="AC180" i="19" s="1"/>
  <c r="AB175" i="19"/>
  <c r="AB180" i="19" s="1"/>
  <c r="AA175" i="19"/>
  <c r="AA180" i="19" s="1"/>
  <c r="Z175" i="19"/>
  <c r="Z180" i="19" s="1"/>
  <c r="Y175" i="19"/>
  <c r="Y180" i="19" s="1"/>
  <c r="X175" i="19"/>
  <c r="X180" i="19" s="1"/>
  <c r="W175" i="19"/>
  <c r="W180" i="19" s="1"/>
  <c r="V175" i="19"/>
  <c r="V180" i="19" s="1"/>
  <c r="U175" i="19"/>
  <c r="U180" i="19" s="1"/>
  <c r="S175" i="19"/>
  <c r="S180" i="19" s="1"/>
  <c r="R175" i="19"/>
  <c r="R180" i="19" s="1"/>
  <c r="Q175" i="19"/>
  <c r="Q180" i="19" s="1"/>
  <c r="P175" i="19"/>
  <c r="P180" i="19" s="1"/>
  <c r="O175" i="19"/>
  <c r="O180" i="19" s="1"/>
  <c r="N175" i="19"/>
  <c r="N180" i="19" s="1"/>
  <c r="M175" i="19"/>
  <c r="M180" i="19" s="1"/>
  <c r="L175" i="19"/>
  <c r="L180" i="19" s="1"/>
  <c r="J175" i="19"/>
  <c r="J180" i="19" s="1"/>
  <c r="H175" i="19"/>
  <c r="G175" i="19"/>
  <c r="G180" i="19" s="1"/>
  <c r="F175" i="19"/>
  <c r="F180" i="19" s="1"/>
  <c r="E175" i="19"/>
  <c r="E180" i="19" s="1"/>
  <c r="E181" i="19" s="1"/>
  <c r="F181" i="19" s="1"/>
  <c r="G181" i="19" s="1"/>
  <c r="T148" i="19"/>
  <c r="BX147" i="19"/>
  <c r="BW147" i="19"/>
  <c r="BV147" i="19"/>
  <c r="BU147" i="19"/>
  <c r="BT147" i="19"/>
  <c r="BS147" i="19"/>
  <c r="BR147" i="19"/>
  <c r="BQ147" i="19"/>
  <c r="BP147" i="19"/>
  <c r="BO147" i="19"/>
  <c r="BN147" i="19"/>
  <c r="BM147" i="19"/>
  <c r="BL147" i="19"/>
  <c r="BK147" i="19"/>
  <c r="BJ147" i="19"/>
  <c r="BI147" i="19"/>
  <c r="BH147" i="19"/>
  <c r="BG147" i="19"/>
  <c r="BF147" i="19"/>
  <c r="BE147" i="19"/>
  <c r="BD147" i="19"/>
  <c r="BC147" i="19"/>
  <c r="BB147" i="19"/>
  <c r="BA147" i="19"/>
  <c r="AZ147" i="19"/>
  <c r="AY147" i="19"/>
  <c r="AX147" i="19"/>
  <c r="AW147" i="19"/>
  <c r="AV147" i="19"/>
  <c r="AU147" i="19"/>
  <c r="AT147" i="19"/>
  <c r="AS147" i="19"/>
  <c r="AR147" i="19"/>
  <c r="AQ147" i="19"/>
  <c r="AP147" i="19"/>
  <c r="AO147" i="19"/>
  <c r="AN147" i="19"/>
  <c r="AM147" i="19"/>
  <c r="AL147" i="19"/>
  <c r="AK147" i="19"/>
  <c r="AJ147" i="19"/>
  <c r="AI147" i="19"/>
  <c r="AH147" i="19"/>
  <c r="AG147" i="19"/>
  <c r="AF147" i="19"/>
  <c r="AE147" i="19"/>
  <c r="AD147" i="19"/>
  <c r="AB147" i="19"/>
  <c r="AA147" i="19"/>
  <c r="Z147" i="19"/>
  <c r="Y147" i="19"/>
  <c r="X147" i="19"/>
  <c r="W147" i="19"/>
  <c r="V147" i="19"/>
  <c r="U147" i="19"/>
  <c r="T147" i="19"/>
  <c r="S147" i="19"/>
  <c r="R147" i="19"/>
  <c r="Q147" i="19"/>
  <c r="P147" i="19"/>
  <c r="O147" i="19"/>
  <c r="N147" i="19"/>
  <c r="M147" i="19"/>
  <c r="L147" i="19"/>
  <c r="K147" i="19"/>
  <c r="J147" i="19"/>
  <c r="I147" i="19"/>
  <c r="H147" i="19"/>
  <c r="G147" i="19"/>
  <c r="F147" i="19"/>
  <c r="E147" i="19"/>
  <c r="BX145" i="19"/>
  <c r="BW145" i="19"/>
  <c r="BW150" i="19" s="1"/>
  <c r="BV145" i="19"/>
  <c r="BV150" i="19" s="1"/>
  <c r="BU145" i="19"/>
  <c r="BU150" i="19" s="1"/>
  <c r="BT145" i="19"/>
  <c r="BT150" i="19" s="1"/>
  <c r="BS145" i="19"/>
  <c r="BS150" i="19" s="1"/>
  <c r="BR145" i="19"/>
  <c r="BR150" i="19" s="1"/>
  <c r="BQ145" i="19"/>
  <c r="BQ150" i="19" s="1"/>
  <c r="BP145" i="19"/>
  <c r="BP150" i="19" s="1"/>
  <c r="BO145" i="19"/>
  <c r="BO150" i="19" s="1"/>
  <c r="BN145" i="19"/>
  <c r="BN150" i="19" s="1"/>
  <c r="BM145" i="19"/>
  <c r="BM150" i="19" s="1"/>
  <c r="BL145" i="19"/>
  <c r="BL150" i="19" s="1"/>
  <c r="BK145" i="19"/>
  <c r="BK150" i="19" s="1"/>
  <c r="BJ145" i="19"/>
  <c r="BJ150" i="19" s="1"/>
  <c r="BI145" i="19"/>
  <c r="BI150" i="19" s="1"/>
  <c r="BH145" i="19"/>
  <c r="BH150" i="19" s="1"/>
  <c r="BG145" i="19"/>
  <c r="BG150" i="19" s="1"/>
  <c r="BF145" i="19"/>
  <c r="BF150" i="19" s="1"/>
  <c r="BE145" i="19"/>
  <c r="BE150" i="19" s="1"/>
  <c r="BD145" i="19"/>
  <c r="BD150" i="19" s="1"/>
  <c r="BC145" i="19"/>
  <c r="BC150" i="19" s="1"/>
  <c r="BB145" i="19"/>
  <c r="BB150" i="19" s="1"/>
  <c r="BA145" i="19"/>
  <c r="BA150" i="19" s="1"/>
  <c r="AZ145" i="19"/>
  <c r="AZ150" i="19" s="1"/>
  <c r="AY145" i="19"/>
  <c r="AY150" i="19" s="1"/>
  <c r="AX145" i="19"/>
  <c r="AX150" i="19" s="1"/>
  <c r="AW145" i="19"/>
  <c r="AW150" i="19" s="1"/>
  <c r="AV145" i="19"/>
  <c r="AV150" i="19" s="1"/>
  <c r="AU145" i="19"/>
  <c r="AU150" i="19" s="1"/>
  <c r="AT145" i="19"/>
  <c r="AT150" i="19" s="1"/>
  <c r="AS145" i="19"/>
  <c r="AS150" i="19" s="1"/>
  <c r="AR145" i="19"/>
  <c r="AR150" i="19" s="1"/>
  <c r="AQ145" i="19"/>
  <c r="AQ150" i="19" s="1"/>
  <c r="AP145" i="19"/>
  <c r="AP150" i="19" s="1"/>
  <c r="AO145" i="19"/>
  <c r="AO150" i="19" s="1"/>
  <c r="AN145" i="19"/>
  <c r="AN150" i="19" s="1"/>
  <c r="AM145" i="19"/>
  <c r="AM150" i="19" s="1"/>
  <c r="AL145" i="19"/>
  <c r="AL150" i="19" s="1"/>
  <c r="AK145" i="19"/>
  <c r="AK150" i="19" s="1"/>
  <c r="AJ145" i="19"/>
  <c r="AJ150" i="19" s="1"/>
  <c r="AI145" i="19"/>
  <c r="AI150" i="19" s="1"/>
  <c r="AH145" i="19"/>
  <c r="AH150" i="19" s="1"/>
  <c r="AG145" i="19"/>
  <c r="AG150" i="19" s="1"/>
  <c r="AF145" i="19"/>
  <c r="AF150" i="19" s="1"/>
  <c r="AE145" i="19"/>
  <c r="AE150" i="19" s="1"/>
  <c r="AD145" i="19"/>
  <c r="AD150" i="19" s="1"/>
  <c r="AB145" i="19"/>
  <c r="AB150" i="19" s="1"/>
  <c r="AA145" i="19"/>
  <c r="AA150" i="19" s="1"/>
  <c r="Z145" i="19"/>
  <c r="Z150" i="19" s="1"/>
  <c r="Y145" i="19"/>
  <c r="Y150" i="19" s="1"/>
  <c r="X145" i="19"/>
  <c r="X150" i="19" s="1"/>
  <c r="W145" i="19"/>
  <c r="W150" i="19" s="1"/>
  <c r="V145" i="19"/>
  <c r="V150" i="19" s="1"/>
  <c r="U145" i="19"/>
  <c r="U150" i="19" s="1"/>
  <c r="T145" i="19"/>
  <c r="T150" i="19" s="1"/>
  <c r="S145" i="19"/>
  <c r="S150" i="19" s="1"/>
  <c r="R145" i="19"/>
  <c r="R150" i="19" s="1"/>
  <c r="Q145" i="19"/>
  <c r="Q150" i="19" s="1"/>
  <c r="P145" i="19"/>
  <c r="P150" i="19" s="1"/>
  <c r="O145" i="19"/>
  <c r="O150" i="19" s="1"/>
  <c r="N145" i="19"/>
  <c r="N150" i="19" s="1"/>
  <c r="M145" i="19"/>
  <c r="M150" i="19" s="1"/>
  <c r="K145" i="19"/>
  <c r="K150" i="19" s="1"/>
  <c r="J145" i="19"/>
  <c r="J150" i="19" s="1"/>
  <c r="I145" i="19"/>
  <c r="I150" i="19" s="1"/>
  <c r="H145" i="19"/>
  <c r="H150" i="19" s="1"/>
  <c r="G145" i="19"/>
  <c r="G150" i="19" s="1"/>
  <c r="F145" i="19"/>
  <c r="F150" i="19" s="1"/>
  <c r="E145" i="19"/>
  <c r="D139" i="19"/>
  <c r="BX132" i="19"/>
  <c r="BW132" i="19"/>
  <c r="BV132" i="19"/>
  <c r="BU132" i="19"/>
  <c r="BT132" i="19"/>
  <c r="BS132" i="19"/>
  <c r="BR132" i="19"/>
  <c r="BQ132" i="19"/>
  <c r="BP132" i="19"/>
  <c r="BO132" i="19"/>
  <c r="BN132" i="19"/>
  <c r="BM132" i="19"/>
  <c r="BL132" i="19"/>
  <c r="BK132" i="19"/>
  <c r="BJ132" i="19"/>
  <c r="BI132" i="19"/>
  <c r="BH132" i="19"/>
  <c r="BG132" i="19"/>
  <c r="BF132" i="19"/>
  <c r="BE132" i="19"/>
  <c r="BD132" i="19"/>
  <c r="BC132" i="19"/>
  <c r="BB132" i="19"/>
  <c r="BA132" i="19"/>
  <c r="AZ132" i="19"/>
  <c r="AY132" i="19"/>
  <c r="AX132" i="19"/>
  <c r="AW132" i="19"/>
  <c r="AV132" i="19"/>
  <c r="AU132" i="19"/>
  <c r="AT132" i="19"/>
  <c r="AS132" i="19"/>
  <c r="AR132" i="19"/>
  <c r="AQ132" i="19"/>
  <c r="AP132" i="19"/>
  <c r="AO132" i="19"/>
  <c r="AN132" i="19"/>
  <c r="AM132" i="19"/>
  <c r="AL132" i="19"/>
  <c r="AK132" i="19"/>
  <c r="AJ132" i="19"/>
  <c r="AI132" i="19"/>
  <c r="AH132" i="19"/>
  <c r="AG132" i="19"/>
  <c r="AF132" i="19"/>
  <c r="AE132" i="19"/>
  <c r="AD132" i="19"/>
  <c r="AC132" i="19"/>
  <c r="AB132" i="19"/>
  <c r="AA132" i="19"/>
  <c r="Z132" i="19"/>
  <c r="Y132" i="19"/>
  <c r="X132" i="19"/>
  <c r="W132" i="19"/>
  <c r="V132" i="19"/>
  <c r="U132" i="19"/>
  <c r="T132" i="19"/>
  <c r="S132" i="19"/>
  <c r="R132" i="19"/>
  <c r="Q132" i="19"/>
  <c r="P132" i="19"/>
  <c r="O132" i="19"/>
  <c r="N132" i="19"/>
  <c r="M132" i="19"/>
  <c r="K132" i="19"/>
  <c r="J132" i="19"/>
  <c r="I132" i="19"/>
  <c r="H132" i="19"/>
  <c r="G132" i="19"/>
  <c r="F132" i="19"/>
  <c r="E132" i="19"/>
  <c r="BX130" i="19"/>
  <c r="BW130" i="19"/>
  <c r="BW135" i="19" s="1"/>
  <c r="BV130" i="19"/>
  <c r="BV135" i="19" s="1"/>
  <c r="BU130" i="19"/>
  <c r="BU135" i="19" s="1"/>
  <c r="BT130" i="19"/>
  <c r="BT135" i="19" s="1"/>
  <c r="BS130" i="19"/>
  <c r="BS135" i="19" s="1"/>
  <c r="BR130" i="19"/>
  <c r="BR135" i="19" s="1"/>
  <c r="BQ130" i="19"/>
  <c r="BQ135" i="19" s="1"/>
  <c r="BP130" i="19"/>
  <c r="BP135" i="19" s="1"/>
  <c r="BO130" i="19"/>
  <c r="BO135" i="19" s="1"/>
  <c r="BN130" i="19"/>
  <c r="BN135" i="19" s="1"/>
  <c r="BM130" i="19"/>
  <c r="BM135" i="19" s="1"/>
  <c r="BL130" i="19"/>
  <c r="BL135" i="19" s="1"/>
  <c r="BK130" i="19"/>
  <c r="BK135" i="19" s="1"/>
  <c r="BJ130" i="19"/>
  <c r="BJ135" i="19" s="1"/>
  <c r="BI130" i="19"/>
  <c r="BI135" i="19" s="1"/>
  <c r="BH130" i="19"/>
  <c r="BH135" i="19" s="1"/>
  <c r="BG130" i="19"/>
  <c r="BG135" i="19" s="1"/>
  <c r="BF130" i="19"/>
  <c r="BF135" i="19" s="1"/>
  <c r="BE130" i="19"/>
  <c r="BE135" i="19" s="1"/>
  <c r="BD130" i="19"/>
  <c r="BD135" i="19" s="1"/>
  <c r="BC130" i="19"/>
  <c r="BC135" i="19" s="1"/>
  <c r="BB130" i="19"/>
  <c r="BB135" i="19" s="1"/>
  <c r="BA130" i="19"/>
  <c r="BA135" i="19" s="1"/>
  <c r="AZ130" i="19"/>
  <c r="AZ135" i="19" s="1"/>
  <c r="AY130" i="19"/>
  <c r="AY135" i="19" s="1"/>
  <c r="AX130" i="19"/>
  <c r="AX135" i="19" s="1"/>
  <c r="AW130" i="19"/>
  <c r="AW135" i="19" s="1"/>
  <c r="AV130" i="19"/>
  <c r="AV135" i="19" s="1"/>
  <c r="AU130" i="19"/>
  <c r="AU135" i="19" s="1"/>
  <c r="AT130" i="19"/>
  <c r="AT135" i="19" s="1"/>
  <c r="AS130" i="19"/>
  <c r="AS135" i="19" s="1"/>
  <c r="AR130" i="19"/>
  <c r="AR135" i="19" s="1"/>
  <c r="AQ130" i="19"/>
  <c r="AQ135" i="19" s="1"/>
  <c r="AP130" i="19"/>
  <c r="AP135" i="19" s="1"/>
  <c r="AO130" i="19"/>
  <c r="AO135" i="19" s="1"/>
  <c r="AN130" i="19"/>
  <c r="AN135" i="19" s="1"/>
  <c r="AM130" i="19"/>
  <c r="AM135" i="19" s="1"/>
  <c r="AL130" i="19"/>
  <c r="AL135" i="19" s="1"/>
  <c r="AK130" i="19"/>
  <c r="AK135" i="19" s="1"/>
  <c r="AJ130" i="19"/>
  <c r="AJ135" i="19" s="1"/>
  <c r="AI130" i="19"/>
  <c r="AI135" i="19" s="1"/>
  <c r="AH130" i="19"/>
  <c r="AH135" i="19" s="1"/>
  <c r="AG130" i="19"/>
  <c r="AG135" i="19" s="1"/>
  <c r="AF130" i="19"/>
  <c r="AF135" i="19" s="1"/>
  <c r="AE130" i="19"/>
  <c r="AE135" i="19" s="1"/>
  <c r="AD130" i="19"/>
  <c r="AD135" i="19" s="1"/>
  <c r="AB130" i="19"/>
  <c r="AB135" i="19" s="1"/>
  <c r="AA130" i="19"/>
  <c r="AA135" i="19" s="1"/>
  <c r="Z130" i="19"/>
  <c r="Z135" i="19" s="1"/>
  <c r="Y130" i="19"/>
  <c r="Y135" i="19" s="1"/>
  <c r="X130" i="19"/>
  <c r="X135" i="19" s="1"/>
  <c r="W130" i="19"/>
  <c r="W135" i="19" s="1"/>
  <c r="V130" i="19"/>
  <c r="V135" i="19" s="1"/>
  <c r="U130" i="19"/>
  <c r="U135" i="19" s="1"/>
  <c r="T130" i="19"/>
  <c r="S130" i="19"/>
  <c r="S135" i="19" s="1"/>
  <c r="R130" i="19"/>
  <c r="R135" i="19" s="1"/>
  <c r="Q130" i="19"/>
  <c r="Q135" i="19" s="1"/>
  <c r="P130" i="19"/>
  <c r="P135" i="19" s="1"/>
  <c r="O130" i="19"/>
  <c r="O135" i="19" s="1"/>
  <c r="N130" i="19"/>
  <c r="N135" i="19" s="1"/>
  <c r="M130" i="19"/>
  <c r="M135" i="19" s="1"/>
  <c r="K130" i="19"/>
  <c r="K135" i="19" s="1"/>
  <c r="I130" i="19"/>
  <c r="I135" i="19" s="1"/>
  <c r="H130" i="19"/>
  <c r="H135" i="19" s="1"/>
  <c r="G130" i="19"/>
  <c r="G135" i="19" s="1"/>
  <c r="F130" i="19"/>
  <c r="F135" i="19" s="1"/>
  <c r="E130" i="19"/>
  <c r="BX114" i="19"/>
  <c r="BW114" i="19"/>
  <c r="BV114" i="19"/>
  <c r="BU114" i="19"/>
  <c r="BT114" i="19"/>
  <c r="BS114" i="19"/>
  <c r="BR114" i="19"/>
  <c r="BQ114" i="19"/>
  <c r="BP114" i="19"/>
  <c r="BO114" i="19"/>
  <c r="BN114" i="19"/>
  <c r="BM114" i="19"/>
  <c r="BL114" i="19"/>
  <c r="BK114" i="19"/>
  <c r="BJ114" i="19"/>
  <c r="BI114" i="19"/>
  <c r="BH114" i="19"/>
  <c r="BG114" i="19"/>
  <c r="BF114" i="19"/>
  <c r="BE114" i="19"/>
  <c r="BD114" i="19"/>
  <c r="BC114" i="19"/>
  <c r="BB114" i="19"/>
  <c r="BA114" i="19"/>
  <c r="AZ114" i="19"/>
  <c r="AY114" i="19"/>
  <c r="AX114" i="19"/>
  <c r="AW114" i="19"/>
  <c r="AV114" i="19"/>
  <c r="AU114" i="19"/>
  <c r="AT114" i="19"/>
  <c r="AS114" i="19"/>
  <c r="AR114" i="19"/>
  <c r="AQ114" i="19"/>
  <c r="AP114" i="19"/>
  <c r="AO114" i="19"/>
  <c r="AN114" i="19"/>
  <c r="AM114" i="19"/>
  <c r="AL114" i="19"/>
  <c r="AK114" i="19"/>
  <c r="AJ114" i="19"/>
  <c r="AI114" i="19"/>
  <c r="AH114" i="19"/>
  <c r="AG114" i="19"/>
  <c r="AF114" i="19"/>
  <c r="AE114" i="19"/>
  <c r="AD114" i="19"/>
  <c r="AC114" i="19"/>
  <c r="AB114" i="19"/>
  <c r="AA114" i="19"/>
  <c r="Z114" i="19"/>
  <c r="Y114" i="19"/>
  <c r="X114" i="19"/>
  <c r="W114" i="19"/>
  <c r="V114" i="19"/>
  <c r="U114" i="19"/>
  <c r="T114" i="19"/>
  <c r="S114" i="19"/>
  <c r="R114" i="19"/>
  <c r="Q114" i="19"/>
  <c r="P114" i="19"/>
  <c r="O114" i="19"/>
  <c r="N114" i="19"/>
  <c r="M114" i="19"/>
  <c r="L114" i="19"/>
  <c r="K114" i="19"/>
  <c r="J114" i="19"/>
  <c r="I114" i="19"/>
  <c r="H114" i="19"/>
  <c r="G114" i="19"/>
  <c r="F114" i="19"/>
  <c r="E114" i="19"/>
  <c r="H113" i="19"/>
  <c r="D121" i="19" s="1"/>
  <c r="BX112" i="19"/>
  <c r="BW112" i="19"/>
  <c r="BW118" i="19" s="1"/>
  <c r="BV112" i="19"/>
  <c r="BV118" i="19" s="1"/>
  <c r="BU112" i="19"/>
  <c r="BU118" i="19" s="1"/>
  <c r="BT112" i="19"/>
  <c r="BT118" i="19" s="1"/>
  <c r="BS112" i="19"/>
  <c r="BS118" i="19" s="1"/>
  <c r="BR112" i="19"/>
  <c r="BR118" i="19" s="1"/>
  <c r="BQ112" i="19"/>
  <c r="BQ118" i="19" s="1"/>
  <c r="BP112" i="19"/>
  <c r="BP118" i="19" s="1"/>
  <c r="BO112" i="19"/>
  <c r="BO118" i="19" s="1"/>
  <c r="BN112" i="19"/>
  <c r="BN118" i="19" s="1"/>
  <c r="BM112" i="19"/>
  <c r="BM118" i="19" s="1"/>
  <c r="BL112" i="19"/>
  <c r="BL118" i="19" s="1"/>
  <c r="BK112" i="19"/>
  <c r="BK118" i="19" s="1"/>
  <c r="BJ112" i="19"/>
  <c r="BJ118" i="19" s="1"/>
  <c r="BI112" i="19"/>
  <c r="BI118" i="19" s="1"/>
  <c r="BH112" i="19"/>
  <c r="BH118" i="19" s="1"/>
  <c r="BG112" i="19"/>
  <c r="BG118" i="19" s="1"/>
  <c r="BF112" i="19"/>
  <c r="BF118" i="19" s="1"/>
  <c r="BE112" i="19"/>
  <c r="BE118" i="19" s="1"/>
  <c r="BD112" i="19"/>
  <c r="BD118" i="19" s="1"/>
  <c r="BC112" i="19"/>
  <c r="BC118" i="19" s="1"/>
  <c r="BB112" i="19"/>
  <c r="BB118" i="19" s="1"/>
  <c r="BA112" i="19"/>
  <c r="BA118" i="19" s="1"/>
  <c r="AZ112" i="19"/>
  <c r="AZ118" i="19" s="1"/>
  <c r="AY112" i="19"/>
  <c r="AY118" i="19" s="1"/>
  <c r="AX112" i="19"/>
  <c r="AX118" i="19" s="1"/>
  <c r="AW112" i="19"/>
  <c r="AW118" i="19" s="1"/>
  <c r="AV112" i="19"/>
  <c r="AV118" i="19" s="1"/>
  <c r="AU112" i="19"/>
  <c r="AU118" i="19" s="1"/>
  <c r="AT112" i="19"/>
  <c r="AT118" i="19" s="1"/>
  <c r="AS112" i="19"/>
  <c r="AS118" i="19" s="1"/>
  <c r="AR112" i="19"/>
  <c r="AR118" i="19" s="1"/>
  <c r="AQ112" i="19"/>
  <c r="AQ118" i="19" s="1"/>
  <c r="AP112" i="19"/>
  <c r="AP118" i="19" s="1"/>
  <c r="AO112" i="19"/>
  <c r="AO118" i="19" s="1"/>
  <c r="AN112" i="19"/>
  <c r="AN118" i="19" s="1"/>
  <c r="AM112" i="19"/>
  <c r="AM118" i="19" s="1"/>
  <c r="AL112" i="19"/>
  <c r="AL118" i="19" s="1"/>
  <c r="AK112" i="19"/>
  <c r="AK118" i="19" s="1"/>
  <c r="AJ112" i="19"/>
  <c r="AJ118" i="19" s="1"/>
  <c r="AI112" i="19"/>
  <c r="AI118" i="19" s="1"/>
  <c r="AH112" i="19"/>
  <c r="AH118" i="19" s="1"/>
  <c r="AG112" i="19"/>
  <c r="AG118" i="19" s="1"/>
  <c r="AF112" i="19"/>
  <c r="AF118" i="19" s="1"/>
  <c r="AE112" i="19"/>
  <c r="AE118" i="19" s="1"/>
  <c r="AD112" i="19"/>
  <c r="AD118" i="19" s="1"/>
  <c r="AB112" i="19"/>
  <c r="AB118" i="19" s="1"/>
  <c r="AA112" i="19"/>
  <c r="AA118" i="19" s="1"/>
  <c r="Z112" i="19"/>
  <c r="Z118" i="19" s="1"/>
  <c r="Y112" i="19"/>
  <c r="Y118" i="19" s="1"/>
  <c r="X112" i="19"/>
  <c r="X118" i="19" s="1"/>
  <c r="W112" i="19"/>
  <c r="W118" i="19" s="1"/>
  <c r="V112" i="19"/>
  <c r="V118" i="19" s="1"/>
  <c r="U112" i="19"/>
  <c r="U118" i="19" s="1"/>
  <c r="T112" i="19"/>
  <c r="T118" i="19" s="1"/>
  <c r="S112" i="19"/>
  <c r="S118" i="19" s="1"/>
  <c r="R112" i="19"/>
  <c r="R118" i="19" s="1"/>
  <c r="Q112" i="19"/>
  <c r="Q118" i="19" s="1"/>
  <c r="P112" i="19"/>
  <c r="P118" i="19" s="1"/>
  <c r="O112" i="19"/>
  <c r="O118" i="19" s="1"/>
  <c r="N112" i="19"/>
  <c r="N118" i="19" s="1"/>
  <c r="M112" i="19"/>
  <c r="M118" i="19" s="1"/>
  <c r="K112" i="19"/>
  <c r="K118" i="19" s="1"/>
  <c r="I112" i="19"/>
  <c r="I118" i="19" s="1"/>
  <c r="G112" i="19"/>
  <c r="G118" i="19" s="1"/>
  <c r="F112" i="19"/>
  <c r="F118" i="19" s="1"/>
  <c r="E112" i="19"/>
  <c r="E118" i="19" s="1"/>
  <c r="BW104" i="19"/>
  <c r="BV104" i="19"/>
  <c r="BU104" i="19"/>
  <c r="BT104" i="19"/>
  <c r="BS104" i="19"/>
  <c r="BR104" i="19"/>
  <c r="BQ104" i="19"/>
  <c r="BP104" i="19"/>
  <c r="BO104" i="19"/>
  <c r="BN104" i="19"/>
  <c r="BM104" i="19"/>
  <c r="BL104" i="19"/>
  <c r="BK104" i="19"/>
  <c r="BJ104" i="19"/>
  <c r="BI104" i="19"/>
  <c r="BH104" i="19"/>
  <c r="BG104" i="19"/>
  <c r="BF104" i="19"/>
  <c r="BE104" i="19"/>
  <c r="BD104" i="19"/>
  <c r="BC104" i="19"/>
  <c r="BB104" i="19"/>
  <c r="BA104" i="19"/>
  <c r="AZ104" i="19"/>
  <c r="AY104" i="19"/>
  <c r="AX104" i="19"/>
  <c r="AW104" i="19"/>
  <c r="AV104" i="19"/>
  <c r="AU104" i="19"/>
  <c r="AT104" i="19"/>
  <c r="AS104" i="19"/>
  <c r="AR104" i="19"/>
  <c r="AQ104" i="19"/>
  <c r="AP104" i="19"/>
  <c r="AO104" i="19"/>
  <c r="AN104" i="19"/>
  <c r="AM104" i="19"/>
  <c r="AL104" i="19"/>
  <c r="AK104" i="19"/>
  <c r="AJ104" i="19"/>
  <c r="AI104" i="19"/>
  <c r="AH104" i="19"/>
  <c r="AG104" i="19"/>
  <c r="AF104" i="19"/>
  <c r="AE104" i="19"/>
  <c r="AD104" i="19"/>
  <c r="AB104" i="19"/>
  <c r="AA104" i="19"/>
  <c r="Z104" i="19"/>
  <c r="Y104" i="19"/>
  <c r="X104" i="19"/>
  <c r="W104" i="19"/>
  <c r="V104" i="19"/>
  <c r="U104" i="19"/>
  <c r="T104" i="19"/>
  <c r="S104" i="19"/>
  <c r="R104" i="19"/>
  <c r="Q104" i="19"/>
  <c r="P104" i="19"/>
  <c r="O104" i="19"/>
  <c r="N104" i="19"/>
  <c r="M104" i="19"/>
  <c r="K104" i="19"/>
  <c r="I104" i="19"/>
  <c r="G104" i="19"/>
  <c r="F104" i="19"/>
  <c r="E104" i="19"/>
  <c r="G100" i="19"/>
  <c r="BY96" i="19"/>
  <c r="BY95" i="19"/>
  <c r="BY94" i="19"/>
  <c r="L92" i="19"/>
  <c r="BX90" i="19"/>
  <c r="BW90" i="19"/>
  <c r="BV90" i="19"/>
  <c r="BU90" i="19"/>
  <c r="BT90" i="19"/>
  <c r="BS90" i="19"/>
  <c r="BR90" i="19"/>
  <c r="BQ90" i="19"/>
  <c r="BP90" i="19"/>
  <c r="BO90" i="19"/>
  <c r="BN90" i="19"/>
  <c r="BM90" i="19"/>
  <c r="BL90" i="19"/>
  <c r="BK90" i="19"/>
  <c r="BJ90" i="19"/>
  <c r="BI90" i="19"/>
  <c r="BH90" i="19"/>
  <c r="BG90" i="19"/>
  <c r="BF90" i="19"/>
  <c r="BE90" i="19"/>
  <c r="BD90" i="19"/>
  <c r="BC90" i="19"/>
  <c r="BB90" i="19"/>
  <c r="BA90" i="19"/>
  <c r="AZ90" i="19"/>
  <c r="AY90" i="19"/>
  <c r="AX90" i="19"/>
  <c r="AW90" i="19"/>
  <c r="AV90" i="19"/>
  <c r="AU90" i="19"/>
  <c r="AT90" i="19"/>
  <c r="AS90" i="19"/>
  <c r="AR90" i="19"/>
  <c r="AQ90" i="19"/>
  <c r="AP90" i="19"/>
  <c r="AO90" i="19"/>
  <c r="AN90" i="19"/>
  <c r="AM90" i="19"/>
  <c r="AL90" i="19"/>
  <c r="AK90" i="19"/>
  <c r="AJ90" i="19"/>
  <c r="AI90" i="19"/>
  <c r="AH90" i="19"/>
  <c r="AG90" i="19"/>
  <c r="AF90" i="19"/>
  <c r="AE90" i="19"/>
  <c r="AD90" i="19"/>
  <c r="P90" i="19"/>
  <c r="O90" i="19"/>
  <c r="N90" i="19"/>
  <c r="M90" i="19"/>
  <c r="L90" i="19"/>
  <c r="K90" i="19"/>
  <c r="J90" i="19"/>
  <c r="I90" i="19"/>
  <c r="H90" i="19"/>
  <c r="G90" i="19"/>
  <c r="F90" i="19"/>
  <c r="E90" i="19"/>
  <c r="BY89" i="19"/>
  <c r="BY88" i="19"/>
  <c r="BY87" i="19"/>
  <c r="BX87" i="19"/>
  <c r="BW87" i="19"/>
  <c r="BV87" i="19"/>
  <c r="BU87" i="19"/>
  <c r="BT87" i="19"/>
  <c r="BS87" i="19"/>
  <c r="BR87" i="19"/>
  <c r="BQ87" i="19"/>
  <c r="BP87" i="19"/>
  <c r="BO87" i="19"/>
  <c r="BN87" i="19"/>
  <c r="BM87" i="19"/>
  <c r="BL87" i="19"/>
  <c r="BK87" i="19"/>
  <c r="BJ87" i="19"/>
  <c r="BI87" i="19"/>
  <c r="BH87" i="19"/>
  <c r="BG87" i="19"/>
  <c r="BF87" i="19"/>
  <c r="BE87" i="19"/>
  <c r="BD87" i="19"/>
  <c r="BC87" i="19"/>
  <c r="BB87" i="19"/>
  <c r="BA87" i="19"/>
  <c r="AZ87" i="19"/>
  <c r="AY87" i="19"/>
  <c r="AX87" i="19"/>
  <c r="AW87" i="19"/>
  <c r="AV87" i="19"/>
  <c r="AU87" i="19"/>
  <c r="AT87" i="19"/>
  <c r="AS87" i="19"/>
  <c r="AR87" i="19"/>
  <c r="AQ87" i="19"/>
  <c r="AP87" i="19"/>
  <c r="AO87" i="19"/>
  <c r="AN87" i="19"/>
  <c r="AM87" i="19"/>
  <c r="AL87" i="19"/>
  <c r="AK87" i="19"/>
  <c r="AJ87" i="19"/>
  <c r="AI87" i="19"/>
  <c r="AH87" i="19"/>
  <c r="AG87" i="19"/>
  <c r="AF87" i="19"/>
  <c r="AE87" i="19"/>
  <c r="AD87" i="19"/>
  <c r="AC87" i="19"/>
  <c r="AB87" i="19"/>
  <c r="AA87" i="19"/>
  <c r="Z87" i="19"/>
  <c r="Y87" i="19"/>
  <c r="X87" i="19"/>
  <c r="W87" i="19"/>
  <c r="V87" i="19"/>
  <c r="U87" i="19"/>
  <c r="T87" i="19"/>
  <c r="S87" i="19"/>
  <c r="R87" i="19"/>
  <c r="Q87" i="19"/>
  <c r="P87" i="19"/>
  <c r="O87" i="19"/>
  <c r="N87" i="19"/>
  <c r="M87" i="19"/>
  <c r="L87" i="19"/>
  <c r="K87" i="19"/>
  <c r="J87" i="19"/>
  <c r="I87" i="19"/>
  <c r="H87" i="19"/>
  <c r="G87" i="19"/>
  <c r="F87" i="19"/>
  <c r="E87" i="19"/>
  <c r="BY86" i="19"/>
  <c r="BY85" i="19"/>
  <c r="BY84" i="19"/>
  <c r="BY83" i="19"/>
  <c r="BY81" i="19"/>
  <c r="BY80" i="19"/>
  <c r="BY79" i="19"/>
  <c r="BY78" i="19"/>
  <c r="BY77" i="19"/>
  <c r="BY76" i="19"/>
  <c r="BY75" i="19"/>
  <c r="BY74" i="19"/>
  <c r="BY73" i="19"/>
  <c r="BY72" i="19"/>
  <c r="BY71" i="19"/>
  <c r="BY70" i="19"/>
  <c r="BY69" i="19"/>
  <c r="BY68" i="19"/>
  <c r="BY67" i="19"/>
  <c r="BY66" i="19"/>
  <c r="BY65" i="19"/>
  <c r="BY64" i="19"/>
  <c r="BX63" i="19"/>
  <c r="BW63" i="19"/>
  <c r="BV63" i="19"/>
  <c r="BU63" i="19"/>
  <c r="BT63" i="19"/>
  <c r="BS63" i="19"/>
  <c r="BR63" i="19"/>
  <c r="BQ63" i="19"/>
  <c r="BP63" i="19"/>
  <c r="BO63" i="19"/>
  <c r="BN63" i="19"/>
  <c r="BM63" i="19"/>
  <c r="BL63" i="19"/>
  <c r="BK63" i="19"/>
  <c r="BJ63" i="19"/>
  <c r="BI63" i="19"/>
  <c r="BH63" i="19"/>
  <c r="BG63" i="19"/>
  <c r="BF63" i="19"/>
  <c r="BE63" i="19"/>
  <c r="BD63" i="19"/>
  <c r="BC63" i="19"/>
  <c r="BB63" i="19"/>
  <c r="BA63" i="19"/>
  <c r="AZ63" i="19"/>
  <c r="AY63" i="19"/>
  <c r="AX63" i="19"/>
  <c r="AW63" i="19"/>
  <c r="AV63" i="19"/>
  <c r="AU63" i="19"/>
  <c r="AT63" i="19"/>
  <c r="AS63" i="19"/>
  <c r="AR63" i="19"/>
  <c r="AQ63" i="19"/>
  <c r="AP63" i="19"/>
  <c r="AO63" i="19"/>
  <c r="AN63" i="19"/>
  <c r="AM63" i="19"/>
  <c r="AL63" i="19"/>
  <c r="AK63" i="19"/>
  <c r="AJ63" i="19"/>
  <c r="AI63" i="19"/>
  <c r="AH63" i="19"/>
  <c r="AG63" i="19"/>
  <c r="AF63" i="19"/>
  <c r="AE63" i="19"/>
  <c r="AD63" i="19"/>
  <c r="P63" i="19"/>
  <c r="O63" i="19"/>
  <c r="N63" i="19"/>
  <c r="M63" i="19"/>
  <c r="L63" i="19"/>
  <c r="K63" i="19"/>
  <c r="J63" i="19"/>
  <c r="I63" i="19"/>
  <c r="H63" i="19"/>
  <c r="G63" i="19"/>
  <c r="F63" i="19"/>
  <c r="E63" i="19"/>
  <c r="P62" i="19"/>
  <c r="BY61" i="19"/>
  <c r="D61" i="19"/>
  <c r="BY60" i="19"/>
  <c r="BY59" i="19"/>
  <c r="L57" i="19"/>
  <c r="BY56" i="19"/>
  <c r="BX55" i="19"/>
  <c r="BW55" i="19"/>
  <c r="BV55" i="19"/>
  <c r="BU55" i="19"/>
  <c r="BT55" i="19"/>
  <c r="BS55" i="19"/>
  <c r="BR55" i="19"/>
  <c r="BQ55" i="19"/>
  <c r="BP55" i="19"/>
  <c r="BO55" i="19"/>
  <c r="BN55" i="19"/>
  <c r="BM55" i="19"/>
  <c r="BL55" i="19"/>
  <c r="BK55" i="19"/>
  <c r="BJ55" i="19"/>
  <c r="BI55" i="19"/>
  <c r="BH55" i="19"/>
  <c r="BG55" i="19"/>
  <c r="BF55" i="19"/>
  <c r="BE55" i="19"/>
  <c r="BD55" i="19"/>
  <c r="BC55" i="19"/>
  <c r="BB55" i="19"/>
  <c r="BA55" i="19"/>
  <c r="AZ55" i="19"/>
  <c r="AY55" i="19"/>
  <c r="AX55" i="19"/>
  <c r="AW55" i="19"/>
  <c r="AV55" i="19"/>
  <c r="AU55" i="19"/>
  <c r="AT55" i="19"/>
  <c r="AS55" i="19"/>
  <c r="AR55" i="19"/>
  <c r="AQ55" i="19"/>
  <c r="AP55" i="19"/>
  <c r="AO55" i="19"/>
  <c r="AN55" i="19"/>
  <c r="AM55" i="19"/>
  <c r="AL55" i="19"/>
  <c r="AK55" i="19"/>
  <c r="AJ55" i="19"/>
  <c r="AI55" i="19"/>
  <c r="AH55" i="19"/>
  <c r="AG55" i="19"/>
  <c r="AF55" i="19"/>
  <c r="AE55" i="19"/>
  <c r="AD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I54" i="19"/>
  <c r="BY54" i="19" s="1"/>
  <c r="J53" i="19"/>
  <c r="I53" i="19"/>
  <c r="H53" i="19"/>
  <c r="BY52" i="19"/>
  <c r="BY51" i="19"/>
  <c r="K50" i="19"/>
  <c r="BY50" i="19" s="1"/>
  <c r="BX49" i="19"/>
  <c r="BW49" i="19"/>
  <c r="BV49" i="19"/>
  <c r="BU49" i="19"/>
  <c r="BT49" i="19"/>
  <c r="BS49" i="19"/>
  <c r="BR49" i="19"/>
  <c r="BQ49" i="19"/>
  <c r="BP49" i="19"/>
  <c r="BO49" i="19"/>
  <c r="BN49" i="19"/>
  <c r="BM49" i="19"/>
  <c r="BL49" i="19"/>
  <c r="BK49" i="19"/>
  <c r="BJ49" i="19"/>
  <c r="BI49" i="19"/>
  <c r="BH49" i="19"/>
  <c r="BG49" i="19"/>
  <c r="BF49" i="19"/>
  <c r="BE49" i="19"/>
  <c r="BD49" i="19"/>
  <c r="BC49" i="19"/>
  <c r="BB49" i="19"/>
  <c r="BA49" i="19"/>
  <c r="AZ49" i="19"/>
  <c r="AY49" i="19"/>
  <c r="AX49" i="19"/>
  <c r="AW49" i="19"/>
  <c r="AV49" i="19"/>
  <c r="AU49" i="19"/>
  <c r="AT49" i="19"/>
  <c r="AS49" i="19"/>
  <c r="AR49" i="19"/>
  <c r="AQ49" i="19"/>
  <c r="AP49" i="19"/>
  <c r="AO49" i="19"/>
  <c r="AN49" i="19"/>
  <c r="AM49" i="19"/>
  <c r="AL49" i="19"/>
  <c r="AK49" i="19"/>
  <c r="AJ49" i="19"/>
  <c r="AI49" i="19"/>
  <c r="AH49" i="19"/>
  <c r="AG49" i="19"/>
  <c r="AF49" i="19"/>
  <c r="AE49" i="19"/>
  <c r="AD49" i="19"/>
  <c r="J49" i="19"/>
  <c r="I49" i="19"/>
  <c r="H49" i="19"/>
  <c r="G49" i="19"/>
  <c r="F49" i="19"/>
  <c r="E49" i="19"/>
  <c r="O48" i="19"/>
  <c r="K48" i="19"/>
  <c r="BY48" i="19" s="1"/>
  <c r="BY47" i="19"/>
  <c r="I46" i="19"/>
  <c r="H46" i="19"/>
  <c r="AC45" i="19"/>
  <c r="AB45" i="19"/>
  <c r="AA45" i="19"/>
  <c r="Z45" i="19"/>
  <c r="Y45" i="19"/>
  <c r="X45" i="19"/>
  <c r="W45" i="19"/>
  <c r="V45" i="19"/>
  <c r="U45" i="19"/>
  <c r="J45" i="19"/>
  <c r="H45" i="19"/>
  <c r="J44" i="19"/>
  <c r="H44" i="19"/>
  <c r="AC43" i="19"/>
  <c r="AB43" i="19"/>
  <c r="AA43" i="19"/>
  <c r="Z43" i="19"/>
  <c r="Y43" i="19"/>
  <c r="X43" i="19"/>
  <c r="W43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BM42" i="19"/>
  <c r="BL42" i="19"/>
  <c r="BK42" i="19"/>
  <c r="BJ42" i="19"/>
  <c r="BI42" i="19"/>
  <c r="BH42" i="19"/>
  <c r="BG42" i="19"/>
  <c r="BF42" i="19"/>
  <c r="BE42" i="19"/>
  <c r="BD42" i="19"/>
  <c r="BC42" i="19"/>
  <c r="BB42" i="19"/>
  <c r="BA42" i="19"/>
  <c r="AZ42" i="19"/>
  <c r="AY42" i="19"/>
  <c r="AX42" i="19"/>
  <c r="AW42" i="19"/>
  <c r="AV42" i="19"/>
  <c r="AU42" i="19"/>
  <c r="AT42" i="19"/>
  <c r="AS42" i="19"/>
  <c r="AR42" i="19"/>
  <c r="AQ42" i="19"/>
  <c r="AP42" i="19"/>
  <c r="AO42" i="19"/>
  <c r="AN42" i="19"/>
  <c r="AM42" i="19"/>
  <c r="AL42" i="19"/>
  <c r="AK42" i="19"/>
  <c r="AJ42" i="19"/>
  <c r="AI42" i="19"/>
  <c r="AH42" i="19"/>
  <c r="AG42" i="19"/>
  <c r="AF42" i="19"/>
  <c r="AE42" i="19"/>
  <c r="AD42" i="19"/>
  <c r="AC42" i="19"/>
  <c r="AB42" i="19"/>
  <c r="AA42" i="19"/>
  <c r="Z42" i="19"/>
  <c r="Y42" i="19"/>
  <c r="X42" i="19"/>
  <c r="W42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BY42" i="19" s="1"/>
  <c r="BY41" i="19"/>
  <c r="BY40" i="19"/>
  <c r="BY39" i="19"/>
  <c r="P38" i="19"/>
  <c r="O38" i="19"/>
  <c r="N38" i="19"/>
  <c r="M38" i="19"/>
  <c r="L38" i="19"/>
  <c r="K38" i="19"/>
  <c r="J38" i="19"/>
  <c r="I38" i="19"/>
  <c r="BY38" i="19" s="1"/>
  <c r="BX37" i="19"/>
  <c r="BW37" i="19"/>
  <c r="BV37" i="19"/>
  <c r="BU37" i="19"/>
  <c r="BT37" i="19"/>
  <c r="BS37" i="19"/>
  <c r="BR37" i="19"/>
  <c r="BQ37" i="19"/>
  <c r="BP37" i="19"/>
  <c r="BO37" i="19"/>
  <c r="BN37" i="19"/>
  <c r="BM37" i="19"/>
  <c r="BL37" i="19"/>
  <c r="BK37" i="19"/>
  <c r="BJ37" i="19"/>
  <c r="BI37" i="19"/>
  <c r="BH37" i="19"/>
  <c r="BG37" i="19"/>
  <c r="BF37" i="19"/>
  <c r="BE37" i="19"/>
  <c r="BD37" i="19"/>
  <c r="BC37" i="19"/>
  <c r="BB37" i="19"/>
  <c r="BA37" i="19"/>
  <c r="AZ37" i="19"/>
  <c r="AY37" i="19"/>
  <c r="AX37" i="19"/>
  <c r="AW37" i="19"/>
  <c r="AV37" i="19"/>
  <c r="AU37" i="19"/>
  <c r="AT37" i="19"/>
  <c r="AS37" i="19"/>
  <c r="AR37" i="19"/>
  <c r="AQ37" i="19"/>
  <c r="AP37" i="19"/>
  <c r="AO37" i="19"/>
  <c r="AN37" i="19"/>
  <c r="AM37" i="19"/>
  <c r="AL37" i="19"/>
  <c r="AK37" i="19"/>
  <c r="AJ37" i="19"/>
  <c r="AI37" i="19"/>
  <c r="AH37" i="19"/>
  <c r="AG37" i="19"/>
  <c r="AF37" i="19"/>
  <c r="AE37" i="19"/>
  <c r="AD37" i="19"/>
  <c r="AB37" i="19"/>
  <c r="AA37" i="19"/>
  <c r="Z37" i="19"/>
  <c r="Y37" i="19"/>
  <c r="X37" i="19"/>
  <c r="W37" i="19"/>
  <c r="V37" i="19"/>
  <c r="U37" i="19"/>
  <c r="J37" i="19"/>
  <c r="I37" i="19"/>
  <c r="H37" i="19"/>
  <c r="G37" i="19"/>
  <c r="F37" i="19"/>
  <c r="E37" i="19"/>
  <c r="BY36" i="19"/>
  <c r="BY35" i="19"/>
  <c r="BY34" i="19"/>
  <c r="BX34" i="19"/>
  <c r="BW34" i="19"/>
  <c r="BV34" i="19"/>
  <c r="BU34" i="19"/>
  <c r="BT34" i="19"/>
  <c r="BS34" i="19"/>
  <c r="BR34" i="19"/>
  <c r="BQ34" i="19"/>
  <c r="BP34" i="19"/>
  <c r="BO34" i="19"/>
  <c r="BN34" i="19"/>
  <c r="BM34" i="19"/>
  <c r="BL34" i="19"/>
  <c r="BK34" i="19"/>
  <c r="BJ34" i="19"/>
  <c r="BI34" i="19"/>
  <c r="BH34" i="19"/>
  <c r="BG34" i="19"/>
  <c r="BF34" i="19"/>
  <c r="BE34" i="19"/>
  <c r="BD34" i="19"/>
  <c r="BC34" i="19"/>
  <c r="BB34" i="19"/>
  <c r="BA34" i="19"/>
  <c r="AZ34" i="19"/>
  <c r="AY34" i="19"/>
  <c r="AX34" i="19"/>
  <c r="AW34" i="19"/>
  <c r="AV34" i="19"/>
  <c r="AU34" i="19"/>
  <c r="AT34" i="19"/>
  <c r="AS34" i="19"/>
  <c r="AR34" i="19"/>
  <c r="AQ34" i="19"/>
  <c r="AP34" i="19"/>
  <c r="AO34" i="19"/>
  <c r="AN34" i="19"/>
  <c r="AM34" i="19"/>
  <c r="AL34" i="19"/>
  <c r="AK34" i="19"/>
  <c r="AJ34" i="19"/>
  <c r="AI34" i="19"/>
  <c r="AH34" i="19"/>
  <c r="AG34" i="19"/>
  <c r="AF34" i="19"/>
  <c r="AE34" i="19"/>
  <c r="AD34" i="19"/>
  <c r="AC34" i="19"/>
  <c r="AB34" i="19"/>
  <c r="AA34" i="19"/>
  <c r="Z34" i="19"/>
  <c r="Y34" i="19"/>
  <c r="X34" i="19"/>
  <c r="W34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BY33" i="19"/>
  <c r="L32" i="19"/>
  <c r="I32" i="19"/>
  <c r="BY32" i="19" s="1"/>
  <c r="H31" i="19"/>
  <c r="BY31" i="19" s="1"/>
  <c r="BY30" i="19"/>
  <c r="BY29" i="19"/>
  <c r="BY28" i="19"/>
  <c r="P27" i="19"/>
  <c r="O27" i="19"/>
  <c r="N27" i="19"/>
  <c r="M27" i="19"/>
  <c r="L27" i="19"/>
  <c r="K27" i="19"/>
  <c r="BY27" i="19" s="1"/>
  <c r="BY26" i="19"/>
  <c r="BX26" i="19"/>
  <c r="BW26" i="19"/>
  <c r="BV26" i="19"/>
  <c r="BU26" i="19"/>
  <c r="BT26" i="19"/>
  <c r="BS26" i="19"/>
  <c r="BR26" i="19"/>
  <c r="BQ26" i="19"/>
  <c r="BP26" i="19"/>
  <c r="BO26" i="19"/>
  <c r="BN26" i="19"/>
  <c r="BM26" i="19"/>
  <c r="BL26" i="19"/>
  <c r="BK26" i="19"/>
  <c r="BJ26" i="19"/>
  <c r="BI26" i="19"/>
  <c r="BH26" i="19"/>
  <c r="BG26" i="19"/>
  <c r="BF26" i="19"/>
  <c r="BE26" i="19"/>
  <c r="BD26" i="19"/>
  <c r="BC26" i="19"/>
  <c r="BB26" i="19"/>
  <c r="BA26" i="19"/>
  <c r="AZ26" i="19"/>
  <c r="AY26" i="19"/>
  <c r="AX26" i="19"/>
  <c r="AW26" i="19"/>
  <c r="AV26" i="19"/>
  <c r="AU26" i="19"/>
  <c r="AT26" i="19"/>
  <c r="AS26" i="19"/>
  <c r="AR26" i="19"/>
  <c r="AQ26" i="19"/>
  <c r="AP26" i="19"/>
  <c r="AO26" i="19"/>
  <c r="AN26" i="19"/>
  <c r="AM26" i="19"/>
  <c r="AL26" i="19"/>
  <c r="AK26" i="19"/>
  <c r="AJ26" i="19"/>
  <c r="AI26" i="19"/>
  <c r="AH26" i="19"/>
  <c r="AG26" i="19"/>
  <c r="AF26" i="19"/>
  <c r="AE26" i="19"/>
  <c r="AD26" i="19"/>
  <c r="AC26" i="19"/>
  <c r="AB26" i="19"/>
  <c r="AA26" i="19"/>
  <c r="Z26" i="19"/>
  <c r="Y26" i="19"/>
  <c r="X26" i="19"/>
  <c r="W26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K25" i="19"/>
  <c r="BY25" i="19" s="1"/>
  <c r="K24" i="19"/>
  <c r="I24" i="19"/>
  <c r="BY24" i="19" s="1"/>
  <c r="BY23" i="19"/>
  <c r="BX23" i="19"/>
  <c r="BW23" i="19"/>
  <c r="BV23" i="19"/>
  <c r="BU23" i="19"/>
  <c r="BT23" i="19"/>
  <c r="BS23" i="19"/>
  <c r="BR23" i="19"/>
  <c r="BQ23" i="19"/>
  <c r="BP23" i="19"/>
  <c r="BO23" i="19"/>
  <c r="BN23" i="19"/>
  <c r="BM23" i="19"/>
  <c r="BL23" i="19"/>
  <c r="BK23" i="19"/>
  <c r="BJ23" i="19"/>
  <c r="BI23" i="19"/>
  <c r="BH23" i="19"/>
  <c r="BG23" i="19"/>
  <c r="BF23" i="19"/>
  <c r="BE23" i="19"/>
  <c r="BD23" i="19"/>
  <c r="BC23" i="19"/>
  <c r="BB23" i="19"/>
  <c r="BA23" i="19"/>
  <c r="AZ23" i="19"/>
  <c r="AY23" i="19"/>
  <c r="AX23" i="19"/>
  <c r="AW23" i="19"/>
  <c r="AV23" i="19"/>
  <c r="AU23" i="19"/>
  <c r="AT23" i="19"/>
  <c r="AS23" i="19"/>
  <c r="AR23" i="19"/>
  <c r="AQ23" i="19"/>
  <c r="AP23" i="19"/>
  <c r="AO23" i="19"/>
  <c r="AN23" i="19"/>
  <c r="AM23" i="19"/>
  <c r="AL23" i="19"/>
  <c r="AK23" i="19"/>
  <c r="AJ23" i="19"/>
  <c r="AI23" i="19"/>
  <c r="AH23" i="19"/>
  <c r="AG23" i="19"/>
  <c r="AF23" i="19"/>
  <c r="AE23" i="19"/>
  <c r="AD23" i="19"/>
  <c r="AC23" i="19"/>
  <c r="AB23" i="19"/>
  <c r="AA23" i="19"/>
  <c r="Z23" i="19"/>
  <c r="Y23" i="19"/>
  <c r="X23" i="19"/>
  <c r="W23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BY22" i="19"/>
  <c r="BY21" i="19"/>
  <c r="BY20" i="19"/>
  <c r="BY19" i="19"/>
  <c r="J18" i="19"/>
  <c r="H18" i="19"/>
  <c r="BY18" i="19" s="1"/>
  <c r="BY17" i="19"/>
  <c r="BX17" i="19"/>
  <c r="BX98" i="19" s="1"/>
  <c r="BW17" i="19"/>
  <c r="BW98" i="19" s="1"/>
  <c r="BV17" i="19"/>
  <c r="BV98" i="19" s="1"/>
  <c r="BU17" i="19"/>
  <c r="BU98" i="19" s="1"/>
  <c r="BT17" i="19"/>
  <c r="BT98" i="19" s="1"/>
  <c r="BS17" i="19"/>
  <c r="BS98" i="19" s="1"/>
  <c r="BR17" i="19"/>
  <c r="BR98" i="19" s="1"/>
  <c r="BQ17" i="19"/>
  <c r="BQ98" i="19" s="1"/>
  <c r="BP17" i="19"/>
  <c r="BP98" i="19" s="1"/>
  <c r="BO17" i="19"/>
  <c r="BO98" i="19" s="1"/>
  <c r="BN17" i="19"/>
  <c r="BN98" i="19" s="1"/>
  <c r="BM17" i="19"/>
  <c r="BM98" i="19" s="1"/>
  <c r="BL17" i="19"/>
  <c r="BL98" i="19" s="1"/>
  <c r="BK17" i="19"/>
  <c r="BK98" i="19" s="1"/>
  <c r="BJ17" i="19"/>
  <c r="BJ98" i="19" s="1"/>
  <c r="BI17" i="19"/>
  <c r="BI98" i="19" s="1"/>
  <c r="BH17" i="19"/>
  <c r="BH98" i="19" s="1"/>
  <c r="BG17" i="19"/>
  <c r="BG98" i="19" s="1"/>
  <c r="BF17" i="19"/>
  <c r="BF98" i="19" s="1"/>
  <c r="BE17" i="19"/>
  <c r="BE98" i="19" s="1"/>
  <c r="BD17" i="19"/>
  <c r="BD98" i="19" s="1"/>
  <c r="BC17" i="19"/>
  <c r="BC98" i="19" s="1"/>
  <c r="BB17" i="19"/>
  <c r="BB98" i="19" s="1"/>
  <c r="BA17" i="19"/>
  <c r="BA98" i="19" s="1"/>
  <c r="AZ17" i="19"/>
  <c r="AZ98" i="19" s="1"/>
  <c r="AY17" i="19"/>
  <c r="AY98" i="19" s="1"/>
  <c r="AX17" i="19"/>
  <c r="AX98" i="19" s="1"/>
  <c r="AW17" i="19"/>
  <c r="AW98" i="19" s="1"/>
  <c r="AV17" i="19"/>
  <c r="AV98" i="19" s="1"/>
  <c r="AU17" i="19"/>
  <c r="AU98" i="19" s="1"/>
  <c r="AT17" i="19"/>
  <c r="AT98" i="19" s="1"/>
  <c r="AS17" i="19"/>
  <c r="AS98" i="19" s="1"/>
  <c r="AR17" i="19"/>
  <c r="AR98" i="19" s="1"/>
  <c r="AQ17" i="19"/>
  <c r="AQ98" i="19" s="1"/>
  <c r="AP17" i="19"/>
  <c r="AP98" i="19" s="1"/>
  <c r="AO17" i="19"/>
  <c r="AO98" i="19" s="1"/>
  <c r="AN17" i="19"/>
  <c r="AN98" i="19" s="1"/>
  <c r="AM17" i="19"/>
  <c r="AM98" i="19" s="1"/>
  <c r="AL17" i="19"/>
  <c r="AL98" i="19" s="1"/>
  <c r="AK17" i="19"/>
  <c r="AK98" i="19" s="1"/>
  <c r="AJ17" i="19"/>
  <c r="AJ98" i="19" s="1"/>
  <c r="AI17" i="19"/>
  <c r="AI98" i="19" s="1"/>
  <c r="AH17" i="19"/>
  <c r="AH98" i="19" s="1"/>
  <c r="AG17" i="19"/>
  <c r="AG98" i="19" s="1"/>
  <c r="AF17" i="19"/>
  <c r="AF98" i="19" s="1"/>
  <c r="AE17" i="19"/>
  <c r="AE98" i="19" s="1"/>
  <c r="AD17" i="19"/>
  <c r="AD98" i="19" s="1"/>
  <c r="AC17" i="19"/>
  <c r="AB17" i="19"/>
  <c r="AA17" i="19"/>
  <c r="Z17" i="19"/>
  <c r="Y17" i="19"/>
  <c r="X17" i="19"/>
  <c r="W17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J98" i="19" s="1"/>
  <c r="I17" i="19"/>
  <c r="I98" i="19" s="1"/>
  <c r="H17" i="19"/>
  <c r="H98" i="19" s="1"/>
  <c r="G17" i="19"/>
  <c r="G98" i="19" s="1"/>
  <c r="F17" i="19"/>
  <c r="F98" i="19" s="1"/>
  <c r="E17" i="19"/>
  <c r="E98" i="19" s="1"/>
  <c r="BX16" i="19"/>
  <c r="BX99" i="19" s="1"/>
  <c r="BW16" i="19"/>
  <c r="BW99" i="19" s="1"/>
  <c r="BV16" i="19"/>
  <c r="BV99" i="19" s="1"/>
  <c r="BU16" i="19"/>
  <c r="BU99" i="19" s="1"/>
  <c r="BT16" i="19"/>
  <c r="BT99" i="19" s="1"/>
  <c r="BS16" i="19"/>
  <c r="BS99" i="19" s="1"/>
  <c r="BR16" i="19"/>
  <c r="BR99" i="19" s="1"/>
  <c r="BQ16" i="19"/>
  <c r="BQ99" i="19" s="1"/>
  <c r="BP16" i="19"/>
  <c r="BP99" i="19" s="1"/>
  <c r="BO16" i="19"/>
  <c r="BO99" i="19" s="1"/>
  <c r="BN16" i="19"/>
  <c r="BN99" i="19" s="1"/>
  <c r="BM16" i="19"/>
  <c r="BM99" i="19" s="1"/>
  <c r="BL16" i="19"/>
  <c r="BL99" i="19" s="1"/>
  <c r="BK16" i="19"/>
  <c r="BK99" i="19" s="1"/>
  <c r="BJ16" i="19"/>
  <c r="BJ99" i="19" s="1"/>
  <c r="BI16" i="19"/>
  <c r="BI99" i="19" s="1"/>
  <c r="BH16" i="19"/>
  <c r="BH99" i="19" s="1"/>
  <c r="BG16" i="19"/>
  <c r="BG99" i="19" s="1"/>
  <c r="BF16" i="19"/>
  <c r="BF99" i="19" s="1"/>
  <c r="BE16" i="19"/>
  <c r="BE99" i="19" s="1"/>
  <c r="BD16" i="19"/>
  <c r="BD99" i="19" s="1"/>
  <c r="BC16" i="19"/>
  <c r="BC99" i="19" s="1"/>
  <c r="BB16" i="19"/>
  <c r="BB99" i="19" s="1"/>
  <c r="BA16" i="19"/>
  <c r="BA99" i="19" s="1"/>
  <c r="AZ16" i="19"/>
  <c r="AZ99" i="19" s="1"/>
  <c r="AY16" i="19"/>
  <c r="AY99" i="19" s="1"/>
  <c r="AX16" i="19"/>
  <c r="AX99" i="19" s="1"/>
  <c r="AW16" i="19"/>
  <c r="AW99" i="19" s="1"/>
  <c r="AV16" i="19"/>
  <c r="AV99" i="19" s="1"/>
  <c r="AU16" i="19"/>
  <c r="AU99" i="19" s="1"/>
  <c r="AT16" i="19"/>
  <c r="AT99" i="19" s="1"/>
  <c r="AS16" i="19"/>
  <c r="AS99" i="19" s="1"/>
  <c r="AR16" i="19"/>
  <c r="AR99" i="19" s="1"/>
  <c r="AQ16" i="19"/>
  <c r="AQ99" i="19" s="1"/>
  <c r="AP16" i="19"/>
  <c r="AP99" i="19" s="1"/>
  <c r="AO16" i="19"/>
  <c r="AO99" i="19" s="1"/>
  <c r="AN16" i="19"/>
  <c r="AN99" i="19" s="1"/>
  <c r="AM16" i="19"/>
  <c r="AM99" i="19" s="1"/>
  <c r="AL16" i="19"/>
  <c r="AL99" i="19" s="1"/>
  <c r="AK16" i="19"/>
  <c r="AK99" i="19" s="1"/>
  <c r="AJ16" i="19"/>
  <c r="AJ99" i="19" s="1"/>
  <c r="AI16" i="19"/>
  <c r="AI99" i="19" s="1"/>
  <c r="AH16" i="19"/>
  <c r="AH99" i="19" s="1"/>
  <c r="AG16" i="19"/>
  <c r="AG99" i="19" s="1"/>
  <c r="AF16" i="19"/>
  <c r="AF99" i="19" s="1"/>
  <c r="AE16" i="19"/>
  <c r="AE99" i="19" s="1"/>
  <c r="AD16" i="19"/>
  <c r="AD99" i="19" s="1"/>
  <c r="I16" i="19"/>
  <c r="I99" i="19" s="1"/>
  <c r="G16" i="19"/>
  <c r="G99" i="19" s="1"/>
  <c r="F16" i="19"/>
  <c r="F99" i="19" s="1"/>
  <c r="E16" i="19"/>
  <c r="E99" i="19" s="1"/>
  <c r="E100" i="19" s="1"/>
  <c r="O15" i="19"/>
  <c r="CE14" i="19"/>
  <c r="CE15" i="19" s="1"/>
  <c r="L14" i="19"/>
  <c r="K14" i="19"/>
  <c r="O11" i="19"/>
  <c r="N11" i="19"/>
  <c r="M11" i="19"/>
  <c r="BY10" i="19"/>
  <c r="CB10" i="19" s="1"/>
  <c r="BY9" i="19"/>
  <c r="BY8" i="19"/>
  <c r="CB8" i="19" s="1"/>
  <c r="CF7" i="19"/>
  <c r="L7" i="19"/>
  <c r="J6" i="19"/>
  <c r="H5" i="19"/>
  <c r="R8" i="18" a="1"/>
  <c r="R8" i="18"/>
  <c r="S8" i="18" s="1"/>
  <c r="W200" i="17"/>
  <c r="V200" i="17"/>
  <c r="U200" i="17"/>
  <c r="T200" i="17"/>
  <c r="S200" i="17"/>
  <c r="D188" i="17"/>
  <c r="BX181" i="17"/>
  <c r="BW181" i="17"/>
  <c r="BV181" i="17"/>
  <c r="BU181" i="17"/>
  <c r="BT181" i="17"/>
  <c r="BS181" i="17"/>
  <c r="BR181" i="17"/>
  <c r="BQ181" i="17"/>
  <c r="BP181" i="17"/>
  <c r="BO181" i="17"/>
  <c r="BN181" i="17"/>
  <c r="BM181" i="17"/>
  <c r="BL181" i="17"/>
  <c r="BK181" i="17"/>
  <c r="BJ181" i="17"/>
  <c r="BI181" i="17"/>
  <c r="BH181" i="17"/>
  <c r="BG181" i="17"/>
  <c r="BF181" i="17"/>
  <c r="BE181" i="17"/>
  <c r="BD181" i="17"/>
  <c r="BC181" i="17"/>
  <c r="BB181" i="17"/>
  <c r="BA181" i="17"/>
  <c r="AZ181" i="17"/>
  <c r="AY181" i="17"/>
  <c r="AX181" i="17"/>
  <c r="AW181" i="17"/>
  <c r="AV181" i="17"/>
  <c r="AU181" i="17"/>
  <c r="AT181" i="17"/>
  <c r="AS181" i="17"/>
  <c r="AR181" i="17"/>
  <c r="AQ181" i="17"/>
  <c r="AP181" i="17"/>
  <c r="AO181" i="17"/>
  <c r="AN181" i="17"/>
  <c r="AM181" i="17"/>
  <c r="AL181" i="17"/>
  <c r="AK181" i="17"/>
  <c r="AJ181" i="17"/>
  <c r="AI181" i="17"/>
  <c r="AH181" i="17"/>
  <c r="AG181" i="17"/>
  <c r="AF181" i="17"/>
  <c r="AE181" i="17"/>
  <c r="AD181" i="17"/>
  <c r="AC181" i="17"/>
  <c r="AB181" i="17"/>
  <c r="AA181" i="17"/>
  <c r="Z181" i="17"/>
  <c r="Y181" i="17"/>
  <c r="X181" i="17"/>
  <c r="W181" i="17"/>
  <c r="V181" i="17"/>
  <c r="U181" i="17"/>
  <c r="T181" i="17"/>
  <c r="S181" i="17"/>
  <c r="S184" i="17" s="1"/>
  <c r="R181" i="17"/>
  <c r="R184" i="17" s="1"/>
  <c r="Q181" i="17"/>
  <c r="Q184" i="17" s="1"/>
  <c r="P181" i="17"/>
  <c r="P184" i="17" s="1"/>
  <c r="O181" i="17"/>
  <c r="O184" i="17" s="1"/>
  <c r="N181" i="17"/>
  <c r="N184" i="17" s="1"/>
  <c r="M181" i="17"/>
  <c r="M184" i="17" s="1"/>
  <c r="L181" i="17"/>
  <c r="L184" i="17" s="1"/>
  <c r="K181" i="17"/>
  <c r="K184" i="17" s="1"/>
  <c r="J181" i="17"/>
  <c r="J184" i="17" s="1"/>
  <c r="I181" i="17"/>
  <c r="I184" i="17" s="1"/>
  <c r="H181" i="17"/>
  <c r="G181" i="17"/>
  <c r="F181" i="17"/>
  <c r="E181" i="17"/>
  <c r="BX179" i="17"/>
  <c r="BW179" i="17"/>
  <c r="BW184" i="17" s="1"/>
  <c r="BV179" i="17"/>
  <c r="BV184" i="17" s="1"/>
  <c r="BU179" i="17"/>
  <c r="BU184" i="17" s="1"/>
  <c r="BT179" i="17"/>
  <c r="BT184" i="17" s="1"/>
  <c r="BS179" i="17"/>
  <c r="BS184" i="17" s="1"/>
  <c r="BR179" i="17"/>
  <c r="BR184" i="17" s="1"/>
  <c r="BQ179" i="17"/>
  <c r="BQ184" i="17" s="1"/>
  <c r="BP179" i="17"/>
  <c r="BP184" i="17" s="1"/>
  <c r="BO179" i="17"/>
  <c r="BO184" i="17" s="1"/>
  <c r="BN179" i="17"/>
  <c r="BN184" i="17" s="1"/>
  <c r="BM179" i="17"/>
  <c r="BM184" i="17" s="1"/>
  <c r="BL179" i="17"/>
  <c r="BL184" i="17" s="1"/>
  <c r="BK179" i="17"/>
  <c r="BK184" i="17" s="1"/>
  <c r="BJ179" i="17"/>
  <c r="BJ184" i="17" s="1"/>
  <c r="BI179" i="17"/>
  <c r="BI184" i="17" s="1"/>
  <c r="BH179" i="17"/>
  <c r="BH184" i="17" s="1"/>
  <c r="BG179" i="17"/>
  <c r="BG184" i="17" s="1"/>
  <c r="BF179" i="17"/>
  <c r="BF184" i="17" s="1"/>
  <c r="BE179" i="17"/>
  <c r="BE184" i="17" s="1"/>
  <c r="BD179" i="17"/>
  <c r="BD184" i="17" s="1"/>
  <c r="BC179" i="17"/>
  <c r="BC184" i="17" s="1"/>
  <c r="BB179" i="17"/>
  <c r="BB184" i="17" s="1"/>
  <c r="BA179" i="17"/>
  <c r="BA184" i="17" s="1"/>
  <c r="AZ179" i="17"/>
  <c r="AZ184" i="17" s="1"/>
  <c r="AY179" i="17"/>
  <c r="AY184" i="17" s="1"/>
  <c r="AX179" i="17"/>
  <c r="AX184" i="17" s="1"/>
  <c r="AW179" i="17"/>
  <c r="AW184" i="17" s="1"/>
  <c r="AV179" i="17"/>
  <c r="AV184" i="17" s="1"/>
  <c r="AU179" i="17"/>
  <c r="AU184" i="17" s="1"/>
  <c r="AT179" i="17"/>
  <c r="AT184" i="17" s="1"/>
  <c r="AS179" i="17"/>
  <c r="AS184" i="17" s="1"/>
  <c r="AR179" i="17"/>
  <c r="AR184" i="17" s="1"/>
  <c r="AQ179" i="17"/>
  <c r="AQ184" i="17" s="1"/>
  <c r="AP179" i="17"/>
  <c r="AP184" i="17" s="1"/>
  <c r="AO179" i="17"/>
  <c r="AO184" i="17" s="1"/>
  <c r="AN179" i="17"/>
  <c r="AN184" i="17" s="1"/>
  <c r="AM179" i="17"/>
  <c r="AM184" i="17" s="1"/>
  <c r="AL179" i="17"/>
  <c r="AL184" i="17" s="1"/>
  <c r="AK179" i="17"/>
  <c r="AK184" i="17" s="1"/>
  <c r="AJ179" i="17"/>
  <c r="AJ184" i="17" s="1"/>
  <c r="AI179" i="17"/>
  <c r="AI184" i="17" s="1"/>
  <c r="AH179" i="17"/>
  <c r="AH184" i="17" s="1"/>
  <c r="AG179" i="17"/>
  <c r="AG184" i="17" s="1"/>
  <c r="AF179" i="17"/>
  <c r="AF184" i="17" s="1"/>
  <c r="AE179" i="17"/>
  <c r="AE184" i="17" s="1"/>
  <c r="AD179" i="17"/>
  <c r="AD184" i="17" s="1"/>
  <c r="AC179" i="17"/>
  <c r="AC184" i="17" s="1"/>
  <c r="AB179" i="17"/>
  <c r="AB184" i="17" s="1"/>
  <c r="AA179" i="17"/>
  <c r="AA184" i="17" s="1"/>
  <c r="Z179" i="17"/>
  <c r="Z184" i="17" s="1"/>
  <c r="Y179" i="17"/>
  <c r="Y184" i="17" s="1"/>
  <c r="X179" i="17"/>
  <c r="X184" i="17" s="1"/>
  <c r="W179" i="17"/>
  <c r="W184" i="17" s="1"/>
  <c r="V179" i="17"/>
  <c r="V184" i="17" s="1"/>
  <c r="U179" i="17"/>
  <c r="U184" i="17" s="1"/>
  <c r="T179" i="17"/>
  <c r="H179" i="17"/>
  <c r="H184" i="17" s="1"/>
  <c r="G179" i="17"/>
  <c r="G184" i="17" s="1"/>
  <c r="F179" i="17"/>
  <c r="F184" i="17" s="1"/>
  <c r="E179" i="17"/>
  <c r="E184" i="17" s="1"/>
  <c r="D172" i="17"/>
  <c r="BX165" i="17"/>
  <c r="BW165" i="17"/>
  <c r="BV165" i="17"/>
  <c r="BU165" i="17"/>
  <c r="BT165" i="17"/>
  <c r="BS165" i="17"/>
  <c r="BR165" i="17"/>
  <c r="BQ165" i="17"/>
  <c r="BP165" i="17"/>
  <c r="BO165" i="17"/>
  <c r="BN165" i="17"/>
  <c r="BM165" i="17"/>
  <c r="BL165" i="17"/>
  <c r="BK165" i="17"/>
  <c r="BJ165" i="17"/>
  <c r="BI165" i="17"/>
  <c r="BH165" i="17"/>
  <c r="BG165" i="17"/>
  <c r="BF165" i="17"/>
  <c r="BE165" i="17"/>
  <c r="BD165" i="17"/>
  <c r="BC165" i="17"/>
  <c r="BB165" i="17"/>
  <c r="BA165" i="17"/>
  <c r="AZ165" i="17"/>
  <c r="AY165" i="17"/>
  <c r="AX165" i="17"/>
  <c r="AW165" i="17"/>
  <c r="AV165" i="17"/>
  <c r="AU165" i="17"/>
  <c r="AT165" i="17"/>
  <c r="AS165" i="17"/>
  <c r="AR165" i="17"/>
  <c r="AQ165" i="17"/>
  <c r="AP165" i="17"/>
  <c r="AO165" i="17"/>
  <c r="AN165" i="17"/>
  <c r="AM165" i="17"/>
  <c r="AL165" i="17"/>
  <c r="AK165" i="17"/>
  <c r="AJ165" i="17"/>
  <c r="AI165" i="17"/>
  <c r="AH165" i="17"/>
  <c r="AG165" i="17"/>
  <c r="AF165" i="17"/>
  <c r="AE165" i="17"/>
  <c r="AD165" i="17"/>
  <c r="AC165" i="17"/>
  <c r="AB165" i="17"/>
  <c r="AA165" i="17"/>
  <c r="Z165" i="17"/>
  <c r="Y165" i="17"/>
  <c r="X165" i="17"/>
  <c r="W165" i="17"/>
  <c r="V165" i="17"/>
  <c r="U165" i="17"/>
  <c r="T165" i="17"/>
  <c r="S165" i="17"/>
  <c r="R165" i="17"/>
  <c r="Q165" i="17"/>
  <c r="P165" i="17"/>
  <c r="O165" i="17"/>
  <c r="N165" i="17"/>
  <c r="M165" i="17"/>
  <c r="L165" i="17"/>
  <c r="K165" i="17"/>
  <c r="J165" i="17"/>
  <c r="I165" i="17"/>
  <c r="H165" i="17"/>
  <c r="G165" i="17"/>
  <c r="F165" i="17"/>
  <c r="E165" i="17"/>
  <c r="BX163" i="17"/>
  <c r="BW163" i="17"/>
  <c r="BW168" i="17" s="1"/>
  <c r="BV163" i="17"/>
  <c r="BV168" i="17" s="1"/>
  <c r="BU163" i="17"/>
  <c r="BU168" i="17" s="1"/>
  <c r="BT163" i="17"/>
  <c r="BT168" i="17" s="1"/>
  <c r="BS163" i="17"/>
  <c r="BS168" i="17" s="1"/>
  <c r="BR163" i="17"/>
  <c r="BR168" i="17" s="1"/>
  <c r="BQ163" i="17"/>
  <c r="BQ168" i="17" s="1"/>
  <c r="BP163" i="17"/>
  <c r="BP168" i="17" s="1"/>
  <c r="BO163" i="17"/>
  <c r="BO168" i="17" s="1"/>
  <c r="BN163" i="17"/>
  <c r="BN168" i="17" s="1"/>
  <c r="BM163" i="17"/>
  <c r="BM168" i="17" s="1"/>
  <c r="BL163" i="17"/>
  <c r="BL168" i="17" s="1"/>
  <c r="BK163" i="17"/>
  <c r="BK168" i="17" s="1"/>
  <c r="BJ163" i="17"/>
  <c r="BJ168" i="17" s="1"/>
  <c r="BI163" i="17"/>
  <c r="BI168" i="17" s="1"/>
  <c r="BH163" i="17"/>
  <c r="BH168" i="17" s="1"/>
  <c r="BG163" i="17"/>
  <c r="BG168" i="17" s="1"/>
  <c r="BF163" i="17"/>
  <c r="BF168" i="17" s="1"/>
  <c r="BE163" i="17"/>
  <c r="BE168" i="17" s="1"/>
  <c r="BD163" i="17"/>
  <c r="BD168" i="17" s="1"/>
  <c r="BC163" i="17"/>
  <c r="BC168" i="17" s="1"/>
  <c r="BB163" i="17"/>
  <c r="BB168" i="17" s="1"/>
  <c r="BA163" i="17"/>
  <c r="BA168" i="17" s="1"/>
  <c r="AZ163" i="17"/>
  <c r="AZ168" i="17" s="1"/>
  <c r="AY163" i="17"/>
  <c r="AY168" i="17" s="1"/>
  <c r="AX163" i="17"/>
  <c r="AX168" i="17" s="1"/>
  <c r="AW163" i="17"/>
  <c r="AW168" i="17" s="1"/>
  <c r="AV163" i="17"/>
  <c r="AV168" i="17" s="1"/>
  <c r="AU163" i="17"/>
  <c r="AU168" i="17" s="1"/>
  <c r="AT163" i="17"/>
  <c r="AT168" i="17" s="1"/>
  <c r="AS163" i="17"/>
  <c r="AS168" i="17" s="1"/>
  <c r="AR163" i="17"/>
  <c r="AR168" i="17" s="1"/>
  <c r="AQ163" i="17"/>
  <c r="AQ168" i="17" s="1"/>
  <c r="AP163" i="17"/>
  <c r="AP168" i="17" s="1"/>
  <c r="AO163" i="17"/>
  <c r="AO168" i="17" s="1"/>
  <c r="AN163" i="17"/>
  <c r="AN168" i="17" s="1"/>
  <c r="AM163" i="17"/>
  <c r="AM168" i="17" s="1"/>
  <c r="AL163" i="17"/>
  <c r="AL168" i="17" s="1"/>
  <c r="AK163" i="17"/>
  <c r="AK168" i="17" s="1"/>
  <c r="AJ163" i="17"/>
  <c r="AJ168" i="17" s="1"/>
  <c r="AI163" i="17"/>
  <c r="AI168" i="17" s="1"/>
  <c r="AH163" i="17"/>
  <c r="AH168" i="17" s="1"/>
  <c r="AG163" i="17"/>
  <c r="AG168" i="17" s="1"/>
  <c r="AF163" i="17"/>
  <c r="AF168" i="17" s="1"/>
  <c r="AE163" i="17"/>
  <c r="AE168" i="17" s="1"/>
  <c r="AD163" i="17"/>
  <c r="AD168" i="17" s="1"/>
  <c r="AC163" i="17"/>
  <c r="AC168" i="17" s="1"/>
  <c r="AB163" i="17"/>
  <c r="AB168" i="17" s="1"/>
  <c r="Z163" i="17"/>
  <c r="Z168" i="17" s="1"/>
  <c r="Y163" i="17"/>
  <c r="Y168" i="17" s="1"/>
  <c r="X163" i="17"/>
  <c r="X168" i="17" s="1"/>
  <c r="W163" i="17"/>
  <c r="W168" i="17" s="1"/>
  <c r="V163" i="17"/>
  <c r="V168" i="17" s="1"/>
  <c r="U163" i="17"/>
  <c r="U168" i="17" s="1"/>
  <c r="T163" i="17"/>
  <c r="S163" i="17"/>
  <c r="S168" i="17" s="1"/>
  <c r="R163" i="17"/>
  <c r="R168" i="17" s="1"/>
  <c r="Q163" i="17"/>
  <c r="Q168" i="17" s="1"/>
  <c r="P163" i="17"/>
  <c r="P168" i="17" s="1"/>
  <c r="O163" i="17"/>
  <c r="O168" i="17" s="1"/>
  <c r="N163" i="17"/>
  <c r="N168" i="17" s="1"/>
  <c r="M163" i="17"/>
  <c r="M168" i="17" s="1"/>
  <c r="L163" i="17"/>
  <c r="L168" i="17" s="1"/>
  <c r="K163" i="17"/>
  <c r="K168" i="17" s="1"/>
  <c r="J163" i="17"/>
  <c r="J168" i="17" s="1"/>
  <c r="I163" i="17"/>
  <c r="I168" i="17" s="1"/>
  <c r="H163" i="17"/>
  <c r="H168" i="17" s="1"/>
  <c r="G163" i="17"/>
  <c r="G168" i="17" s="1"/>
  <c r="F163" i="17"/>
  <c r="F168" i="17" s="1"/>
  <c r="E163" i="17"/>
  <c r="E168" i="17" s="1"/>
  <c r="D156" i="17"/>
  <c r="T150" i="17"/>
  <c r="BX149" i="17"/>
  <c r="BW149" i="17"/>
  <c r="BV149" i="17"/>
  <c r="BU149" i="17"/>
  <c r="BT149" i="17"/>
  <c r="BS149" i="17"/>
  <c r="BR149" i="17"/>
  <c r="BQ149" i="17"/>
  <c r="BP149" i="17"/>
  <c r="BO149" i="17"/>
  <c r="BN149" i="17"/>
  <c r="BM149" i="17"/>
  <c r="BL149" i="17"/>
  <c r="BK149" i="17"/>
  <c r="BJ149" i="17"/>
  <c r="BI149" i="17"/>
  <c r="BH149" i="17"/>
  <c r="BG149" i="17"/>
  <c r="BF149" i="17"/>
  <c r="BE149" i="17"/>
  <c r="BD149" i="17"/>
  <c r="BC149" i="17"/>
  <c r="BB149" i="17"/>
  <c r="BA149" i="17"/>
  <c r="AZ149" i="17"/>
  <c r="AY149" i="17"/>
  <c r="AX149" i="17"/>
  <c r="AW149" i="17"/>
  <c r="AV149" i="17"/>
  <c r="AU149" i="17"/>
  <c r="AT149" i="17"/>
  <c r="AS149" i="17"/>
  <c r="AR149" i="17"/>
  <c r="AQ149" i="17"/>
  <c r="AP149" i="17"/>
  <c r="AO149" i="17"/>
  <c r="AN149" i="17"/>
  <c r="AM149" i="17"/>
  <c r="AL149" i="17"/>
  <c r="AK149" i="17"/>
  <c r="AJ149" i="17"/>
  <c r="AI149" i="17"/>
  <c r="AH149" i="17"/>
  <c r="AG149" i="17"/>
  <c r="AF149" i="17"/>
  <c r="AE149" i="17"/>
  <c r="AD149" i="17"/>
  <c r="AC149" i="17"/>
  <c r="AB149" i="17"/>
  <c r="AA149" i="17"/>
  <c r="Z149" i="17"/>
  <c r="Y149" i="17"/>
  <c r="X149" i="17"/>
  <c r="W149" i="17"/>
  <c r="V149" i="17"/>
  <c r="U149" i="17"/>
  <c r="T149" i="17"/>
  <c r="S149" i="17"/>
  <c r="R149" i="17"/>
  <c r="Q149" i="17"/>
  <c r="P149" i="17"/>
  <c r="O149" i="17"/>
  <c r="N149" i="17"/>
  <c r="M149" i="17"/>
  <c r="L149" i="17"/>
  <c r="K149" i="17"/>
  <c r="K152" i="17" s="1"/>
  <c r="J149" i="17"/>
  <c r="I149" i="17"/>
  <c r="I152" i="17" s="1"/>
  <c r="H149" i="17"/>
  <c r="G149" i="17"/>
  <c r="F149" i="17"/>
  <c r="E149" i="17"/>
  <c r="BX147" i="17"/>
  <c r="BW147" i="17"/>
  <c r="BW152" i="17" s="1"/>
  <c r="BV147" i="17"/>
  <c r="BV152" i="17" s="1"/>
  <c r="BU147" i="17"/>
  <c r="BU152" i="17" s="1"/>
  <c r="BT147" i="17"/>
  <c r="BT152" i="17" s="1"/>
  <c r="BS147" i="17"/>
  <c r="BS152" i="17" s="1"/>
  <c r="BR147" i="17"/>
  <c r="BR152" i="17" s="1"/>
  <c r="BQ147" i="17"/>
  <c r="BQ152" i="17" s="1"/>
  <c r="BP147" i="17"/>
  <c r="BP152" i="17" s="1"/>
  <c r="BO147" i="17"/>
  <c r="BO152" i="17" s="1"/>
  <c r="BN147" i="17"/>
  <c r="BN152" i="17" s="1"/>
  <c r="BM147" i="17"/>
  <c r="BM152" i="17" s="1"/>
  <c r="BL147" i="17"/>
  <c r="BL152" i="17" s="1"/>
  <c r="BK147" i="17"/>
  <c r="BK152" i="17" s="1"/>
  <c r="BJ147" i="17"/>
  <c r="BJ152" i="17" s="1"/>
  <c r="BI147" i="17"/>
  <c r="BI152" i="17" s="1"/>
  <c r="BH147" i="17"/>
  <c r="BH152" i="17" s="1"/>
  <c r="BG147" i="17"/>
  <c r="BG152" i="17" s="1"/>
  <c r="BF147" i="17"/>
  <c r="BF152" i="17" s="1"/>
  <c r="BE147" i="17"/>
  <c r="BE152" i="17" s="1"/>
  <c r="BD147" i="17"/>
  <c r="BD152" i="17" s="1"/>
  <c r="BC147" i="17"/>
  <c r="BC152" i="17" s="1"/>
  <c r="BB147" i="17"/>
  <c r="BB152" i="17" s="1"/>
  <c r="BA147" i="17"/>
  <c r="BA152" i="17" s="1"/>
  <c r="AZ147" i="17"/>
  <c r="AZ152" i="17" s="1"/>
  <c r="AY147" i="17"/>
  <c r="AY152" i="17" s="1"/>
  <c r="AX147" i="17"/>
  <c r="AX152" i="17" s="1"/>
  <c r="AW147" i="17"/>
  <c r="AW152" i="17" s="1"/>
  <c r="AV147" i="17"/>
  <c r="AV152" i="17" s="1"/>
  <c r="AU147" i="17"/>
  <c r="AU152" i="17" s="1"/>
  <c r="AT147" i="17"/>
  <c r="AT152" i="17" s="1"/>
  <c r="AS147" i="17"/>
  <c r="AS152" i="17" s="1"/>
  <c r="AR147" i="17"/>
  <c r="AR152" i="17" s="1"/>
  <c r="AQ147" i="17"/>
  <c r="AQ152" i="17" s="1"/>
  <c r="AP147" i="17"/>
  <c r="AP152" i="17" s="1"/>
  <c r="AO147" i="17"/>
  <c r="AO152" i="17" s="1"/>
  <c r="AN147" i="17"/>
  <c r="AN152" i="17" s="1"/>
  <c r="AM147" i="17"/>
  <c r="AM152" i="17" s="1"/>
  <c r="AL147" i="17"/>
  <c r="AL152" i="17" s="1"/>
  <c r="AK147" i="17"/>
  <c r="AK152" i="17" s="1"/>
  <c r="AJ147" i="17"/>
  <c r="AJ152" i="17" s="1"/>
  <c r="AI147" i="17"/>
  <c r="AI152" i="17" s="1"/>
  <c r="AH147" i="17"/>
  <c r="AH152" i="17" s="1"/>
  <c r="AG147" i="17"/>
  <c r="AG152" i="17" s="1"/>
  <c r="AF147" i="17"/>
  <c r="AF152" i="17" s="1"/>
  <c r="AE147" i="17"/>
  <c r="AE152" i="17" s="1"/>
  <c r="AD147" i="17"/>
  <c r="AD152" i="17" s="1"/>
  <c r="AC147" i="17"/>
  <c r="AC152" i="17" s="1"/>
  <c r="AB147" i="17"/>
  <c r="AB152" i="17" s="1"/>
  <c r="AA147" i="17"/>
  <c r="AA152" i="17" s="1"/>
  <c r="Z147" i="17"/>
  <c r="Z152" i="17" s="1"/>
  <c r="Y147" i="17"/>
  <c r="Y152" i="17" s="1"/>
  <c r="X147" i="17"/>
  <c r="X152" i="17" s="1"/>
  <c r="W147" i="17"/>
  <c r="W152" i="17" s="1"/>
  <c r="V147" i="17"/>
  <c r="V152" i="17" s="1"/>
  <c r="U147" i="17"/>
  <c r="U152" i="17" s="1"/>
  <c r="S147" i="17"/>
  <c r="S152" i="17" s="1"/>
  <c r="O147" i="17"/>
  <c r="O152" i="17" s="1"/>
  <c r="N147" i="17"/>
  <c r="N152" i="17" s="1"/>
  <c r="M147" i="17"/>
  <c r="M152" i="17" s="1"/>
  <c r="J147" i="17"/>
  <c r="J152" i="17" s="1"/>
  <c r="H147" i="17"/>
  <c r="G147" i="17"/>
  <c r="G152" i="17" s="1"/>
  <c r="F147" i="17"/>
  <c r="F152" i="17" s="1"/>
  <c r="E147" i="17"/>
  <c r="E152" i="17" s="1"/>
  <c r="E153" i="17" s="1"/>
  <c r="F153" i="17" s="1"/>
  <c r="G153" i="17" s="1"/>
  <c r="D140" i="17"/>
  <c r="BX133" i="17"/>
  <c r="BW133" i="17"/>
  <c r="BV133" i="17"/>
  <c r="BU133" i="17"/>
  <c r="BT133" i="17"/>
  <c r="BS133" i="17"/>
  <c r="BR133" i="17"/>
  <c r="BQ133" i="17"/>
  <c r="BP133" i="17"/>
  <c r="BO133" i="17"/>
  <c r="BN133" i="17"/>
  <c r="BM133" i="17"/>
  <c r="BL133" i="17"/>
  <c r="BK133" i="17"/>
  <c r="BJ133" i="17"/>
  <c r="BI133" i="17"/>
  <c r="BH133" i="17"/>
  <c r="BG133" i="17"/>
  <c r="BF133" i="17"/>
  <c r="BE133" i="17"/>
  <c r="BD133" i="17"/>
  <c r="BC133" i="17"/>
  <c r="BB133" i="17"/>
  <c r="BA133" i="17"/>
  <c r="AZ133" i="17"/>
  <c r="AY133" i="17"/>
  <c r="AX133" i="17"/>
  <c r="AW133" i="17"/>
  <c r="AV133" i="17"/>
  <c r="AU133" i="17"/>
  <c r="AT133" i="17"/>
  <c r="AS133" i="17"/>
  <c r="AR133" i="17"/>
  <c r="AQ133" i="17"/>
  <c r="AP133" i="17"/>
  <c r="AO133" i="17"/>
  <c r="AN133" i="17"/>
  <c r="AM133" i="17"/>
  <c r="AL133" i="17"/>
  <c r="AK133" i="17"/>
  <c r="AJ133" i="17"/>
  <c r="AI133" i="17"/>
  <c r="AH133" i="17"/>
  <c r="AG133" i="17"/>
  <c r="AF133" i="17"/>
  <c r="AE133" i="17"/>
  <c r="AD133" i="17"/>
  <c r="AC133" i="17"/>
  <c r="AB133" i="17"/>
  <c r="AA133" i="17"/>
  <c r="Z133" i="17"/>
  <c r="Y133" i="17"/>
  <c r="X133" i="17"/>
  <c r="W133" i="17"/>
  <c r="V133" i="17"/>
  <c r="U133" i="17"/>
  <c r="T133" i="17"/>
  <c r="S133" i="17"/>
  <c r="R133" i="17"/>
  <c r="Q133" i="17"/>
  <c r="P133" i="17"/>
  <c r="O133" i="17"/>
  <c r="N133" i="17"/>
  <c r="M133" i="17"/>
  <c r="L133" i="17"/>
  <c r="K133" i="17"/>
  <c r="J133" i="17"/>
  <c r="I133" i="17"/>
  <c r="H133" i="17"/>
  <c r="G133" i="17"/>
  <c r="F133" i="17"/>
  <c r="E133" i="17"/>
  <c r="BX131" i="17"/>
  <c r="BW131" i="17"/>
  <c r="BW136" i="17" s="1"/>
  <c r="BV131" i="17"/>
  <c r="BV136" i="17" s="1"/>
  <c r="BU131" i="17"/>
  <c r="BU136" i="17" s="1"/>
  <c r="BT131" i="17"/>
  <c r="BT136" i="17" s="1"/>
  <c r="BS131" i="17"/>
  <c r="BS136" i="17" s="1"/>
  <c r="BR131" i="17"/>
  <c r="BR136" i="17" s="1"/>
  <c r="BQ131" i="17"/>
  <c r="BQ136" i="17" s="1"/>
  <c r="BP131" i="17"/>
  <c r="BP136" i="17" s="1"/>
  <c r="BO131" i="17"/>
  <c r="BO136" i="17" s="1"/>
  <c r="BN131" i="17"/>
  <c r="BN136" i="17" s="1"/>
  <c r="BM131" i="17"/>
  <c r="BM136" i="17" s="1"/>
  <c r="BL131" i="17"/>
  <c r="BL136" i="17" s="1"/>
  <c r="BK131" i="17"/>
  <c r="BK136" i="17" s="1"/>
  <c r="BJ131" i="17"/>
  <c r="BJ136" i="17" s="1"/>
  <c r="BI131" i="17"/>
  <c r="BI136" i="17" s="1"/>
  <c r="BH131" i="17"/>
  <c r="BH136" i="17" s="1"/>
  <c r="BG131" i="17"/>
  <c r="BG136" i="17" s="1"/>
  <c r="BF131" i="17"/>
  <c r="BF136" i="17" s="1"/>
  <c r="BE131" i="17"/>
  <c r="BE136" i="17" s="1"/>
  <c r="BD131" i="17"/>
  <c r="BD136" i="17" s="1"/>
  <c r="BC131" i="17"/>
  <c r="BC136" i="17" s="1"/>
  <c r="BB131" i="17"/>
  <c r="BB136" i="17" s="1"/>
  <c r="BA131" i="17"/>
  <c r="BA136" i="17" s="1"/>
  <c r="AZ131" i="17"/>
  <c r="AZ136" i="17" s="1"/>
  <c r="AY131" i="17"/>
  <c r="AY136" i="17" s="1"/>
  <c r="AX131" i="17"/>
  <c r="AX136" i="17" s="1"/>
  <c r="AW131" i="17"/>
  <c r="AW136" i="17" s="1"/>
  <c r="AV131" i="17"/>
  <c r="AV136" i="17" s="1"/>
  <c r="AU131" i="17"/>
  <c r="AU136" i="17" s="1"/>
  <c r="AT131" i="17"/>
  <c r="AT136" i="17" s="1"/>
  <c r="AS131" i="17"/>
  <c r="AS136" i="17" s="1"/>
  <c r="AR131" i="17"/>
  <c r="AR136" i="17" s="1"/>
  <c r="AQ131" i="17"/>
  <c r="AQ136" i="17" s="1"/>
  <c r="AP131" i="17"/>
  <c r="AP136" i="17" s="1"/>
  <c r="AO131" i="17"/>
  <c r="AO136" i="17" s="1"/>
  <c r="AN131" i="17"/>
  <c r="AN136" i="17" s="1"/>
  <c r="AM131" i="17"/>
  <c r="AM136" i="17" s="1"/>
  <c r="AL131" i="17"/>
  <c r="AL136" i="17" s="1"/>
  <c r="AK131" i="17"/>
  <c r="AK136" i="17" s="1"/>
  <c r="AJ131" i="17"/>
  <c r="AJ136" i="17" s="1"/>
  <c r="AI131" i="17"/>
  <c r="AI136" i="17" s="1"/>
  <c r="AH131" i="17"/>
  <c r="AH136" i="17" s="1"/>
  <c r="AG131" i="17"/>
  <c r="AG136" i="17" s="1"/>
  <c r="AF131" i="17"/>
  <c r="AF136" i="17" s="1"/>
  <c r="AE131" i="17"/>
  <c r="AE136" i="17" s="1"/>
  <c r="AD131" i="17"/>
  <c r="AD136" i="17" s="1"/>
  <c r="AC131" i="17"/>
  <c r="AC136" i="17" s="1"/>
  <c r="AB131" i="17"/>
  <c r="AB136" i="17" s="1"/>
  <c r="Z131" i="17"/>
  <c r="Z136" i="17" s="1"/>
  <c r="Y131" i="17"/>
  <c r="Y136" i="17" s="1"/>
  <c r="X131" i="17"/>
  <c r="X136" i="17" s="1"/>
  <c r="W131" i="17"/>
  <c r="W136" i="17" s="1"/>
  <c r="V131" i="17"/>
  <c r="V136" i="17" s="1"/>
  <c r="U131" i="17"/>
  <c r="U136" i="17" s="1"/>
  <c r="T131" i="17"/>
  <c r="S131" i="17"/>
  <c r="S136" i="17" s="1"/>
  <c r="R131" i="17"/>
  <c r="R136" i="17" s="1"/>
  <c r="Q131" i="17"/>
  <c r="Q136" i="17" s="1"/>
  <c r="P131" i="17"/>
  <c r="P136" i="17" s="1"/>
  <c r="N131" i="17"/>
  <c r="N136" i="17" s="1"/>
  <c r="K131" i="17"/>
  <c r="K136" i="17" s="1"/>
  <c r="J131" i="17"/>
  <c r="J136" i="17" s="1"/>
  <c r="I131" i="17"/>
  <c r="I136" i="17" s="1"/>
  <c r="H131" i="17"/>
  <c r="H136" i="17" s="1"/>
  <c r="G131" i="17"/>
  <c r="G136" i="17" s="1"/>
  <c r="F131" i="17"/>
  <c r="F136" i="17" s="1"/>
  <c r="E131" i="17"/>
  <c r="BX115" i="17"/>
  <c r="BW115" i="17"/>
  <c r="BV115" i="17"/>
  <c r="BU115" i="17"/>
  <c r="BT115" i="17"/>
  <c r="BS115" i="17"/>
  <c r="BR115" i="17"/>
  <c r="BQ115" i="17"/>
  <c r="BP115" i="17"/>
  <c r="BO115" i="17"/>
  <c r="BN115" i="17"/>
  <c r="BM115" i="17"/>
  <c r="BL115" i="17"/>
  <c r="BK115" i="17"/>
  <c r="BJ115" i="17"/>
  <c r="BI115" i="17"/>
  <c r="BH115" i="17"/>
  <c r="BG115" i="17"/>
  <c r="BF115" i="17"/>
  <c r="BE115" i="17"/>
  <c r="BD115" i="17"/>
  <c r="BC115" i="17"/>
  <c r="BB115" i="17"/>
  <c r="BA115" i="17"/>
  <c r="AZ115" i="17"/>
  <c r="AY115" i="17"/>
  <c r="AX115" i="17"/>
  <c r="AW115" i="17"/>
  <c r="AV115" i="17"/>
  <c r="AU115" i="17"/>
  <c r="AT115" i="17"/>
  <c r="AS115" i="17"/>
  <c r="AR115" i="17"/>
  <c r="AQ115" i="17"/>
  <c r="AP115" i="17"/>
  <c r="AO115" i="17"/>
  <c r="AN115" i="17"/>
  <c r="AM115" i="17"/>
  <c r="AL115" i="17"/>
  <c r="AK115" i="17"/>
  <c r="AJ115" i="17"/>
  <c r="AI115" i="17"/>
  <c r="AH115" i="17"/>
  <c r="AG115" i="17"/>
  <c r="AF115" i="17"/>
  <c r="AE115" i="17"/>
  <c r="AD115" i="17"/>
  <c r="AC115" i="17"/>
  <c r="AB115" i="17"/>
  <c r="Z115" i="17"/>
  <c r="Y115" i="17"/>
  <c r="X115" i="17"/>
  <c r="W115" i="17"/>
  <c r="V115" i="17"/>
  <c r="U115" i="17"/>
  <c r="T115" i="17"/>
  <c r="S115" i="17"/>
  <c r="R115" i="17"/>
  <c r="Q115" i="17"/>
  <c r="P115" i="17"/>
  <c r="O115" i="17"/>
  <c r="N115" i="17"/>
  <c r="M115" i="17"/>
  <c r="L115" i="17"/>
  <c r="K115" i="17"/>
  <c r="J115" i="17"/>
  <c r="I115" i="17"/>
  <c r="H115" i="17"/>
  <c r="G115" i="17"/>
  <c r="F115" i="17"/>
  <c r="E115" i="17"/>
  <c r="H114" i="17"/>
  <c r="D122" i="17" s="1"/>
  <c r="BX113" i="17"/>
  <c r="BW113" i="17"/>
  <c r="BW119" i="17" s="1"/>
  <c r="BV113" i="17"/>
  <c r="BV119" i="17" s="1"/>
  <c r="BU113" i="17"/>
  <c r="BU119" i="17" s="1"/>
  <c r="BT113" i="17"/>
  <c r="BT119" i="17" s="1"/>
  <c r="BS113" i="17"/>
  <c r="BS119" i="17" s="1"/>
  <c r="BR113" i="17"/>
  <c r="BR119" i="17" s="1"/>
  <c r="BQ113" i="17"/>
  <c r="BQ119" i="17" s="1"/>
  <c r="BP113" i="17"/>
  <c r="BP119" i="17" s="1"/>
  <c r="BO113" i="17"/>
  <c r="BO119" i="17" s="1"/>
  <c r="BN113" i="17"/>
  <c r="BN119" i="17" s="1"/>
  <c r="BM113" i="17"/>
  <c r="BM119" i="17" s="1"/>
  <c r="BL113" i="17"/>
  <c r="BL119" i="17" s="1"/>
  <c r="BK113" i="17"/>
  <c r="BK119" i="17" s="1"/>
  <c r="BJ113" i="17"/>
  <c r="BJ119" i="17" s="1"/>
  <c r="BI113" i="17"/>
  <c r="BI119" i="17" s="1"/>
  <c r="BH113" i="17"/>
  <c r="BH119" i="17" s="1"/>
  <c r="BG113" i="17"/>
  <c r="BG119" i="17" s="1"/>
  <c r="BF113" i="17"/>
  <c r="BF119" i="17" s="1"/>
  <c r="BE113" i="17"/>
  <c r="BE119" i="17" s="1"/>
  <c r="BD113" i="17"/>
  <c r="BD119" i="17" s="1"/>
  <c r="BC113" i="17"/>
  <c r="BC119" i="17" s="1"/>
  <c r="BB113" i="17"/>
  <c r="BB119" i="17" s="1"/>
  <c r="BA113" i="17"/>
  <c r="BA119" i="17" s="1"/>
  <c r="AZ113" i="17"/>
  <c r="AZ119" i="17" s="1"/>
  <c r="AY113" i="17"/>
  <c r="AY119" i="17" s="1"/>
  <c r="AX113" i="17"/>
  <c r="AX119" i="17" s="1"/>
  <c r="AW113" i="17"/>
  <c r="AW119" i="17" s="1"/>
  <c r="AV113" i="17"/>
  <c r="AV119" i="17" s="1"/>
  <c r="AU113" i="17"/>
  <c r="AU119" i="17" s="1"/>
  <c r="AT113" i="17"/>
  <c r="AT119" i="17" s="1"/>
  <c r="AS113" i="17"/>
  <c r="AS119" i="17" s="1"/>
  <c r="AR113" i="17"/>
  <c r="AR119" i="17" s="1"/>
  <c r="AQ113" i="17"/>
  <c r="AQ119" i="17" s="1"/>
  <c r="AP113" i="17"/>
  <c r="AP119" i="17" s="1"/>
  <c r="AO113" i="17"/>
  <c r="AO119" i="17" s="1"/>
  <c r="AN113" i="17"/>
  <c r="AN119" i="17" s="1"/>
  <c r="AM113" i="17"/>
  <c r="AM119" i="17" s="1"/>
  <c r="AL113" i="17"/>
  <c r="AL119" i="17" s="1"/>
  <c r="AK113" i="17"/>
  <c r="AK119" i="17" s="1"/>
  <c r="AJ113" i="17"/>
  <c r="AJ119" i="17" s="1"/>
  <c r="AI113" i="17"/>
  <c r="AI119" i="17" s="1"/>
  <c r="AH113" i="17"/>
  <c r="AH119" i="17" s="1"/>
  <c r="AG113" i="17"/>
  <c r="AG119" i="17" s="1"/>
  <c r="AF113" i="17"/>
  <c r="AF119" i="17" s="1"/>
  <c r="AE113" i="17"/>
  <c r="AE119" i="17" s="1"/>
  <c r="AD113" i="17"/>
  <c r="AD119" i="17" s="1"/>
  <c r="AC113" i="17"/>
  <c r="AC119" i="17" s="1"/>
  <c r="AB113" i="17"/>
  <c r="AB119" i="17" s="1"/>
  <c r="Z113" i="17"/>
  <c r="Z119" i="17" s="1"/>
  <c r="Y113" i="17"/>
  <c r="Y119" i="17" s="1"/>
  <c r="X113" i="17"/>
  <c r="X119" i="17" s="1"/>
  <c r="W113" i="17"/>
  <c r="W119" i="17" s="1"/>
  <c r="V113" i="17"/>
  <c r="V119" i="17" s="1"/>
  <c r="U113" i="17"/>
  <c r="U119" i="17" s="1"/>
  <c r="T113" i="17"/>
  <c r="S113" i="17"/>
  <c r="S119" i="17" s="1"/>
  <c r="R113" i="17"/>
  <c r="R119" i="17" s="1"/>
  <c r="Q113" i="17"/>
  <c r="Q119" i="17" s="1"/>
  <c r="P113" i="17"/>
  <c r="P119" i="17" s="1"/>
  <c r="N113" i="17"/>
  <c r="N119" i="17" s="1"/>
  <c r="K113" i="17"/>
  <c r="K119" i="17" s="1"/>
  <c r="J113" i="17"/>
  <c r="J119" i="17" s="1"/>
  <c r="I113" i="17"/>
  <c r="I119" i="17" s="1"/>
  <c r="G113" i="17"/>
  <c r="G119" i="17" s="1"/>
  <c r="F113" i="17"/>
  <c r="F119" i="17" s="1"/>
  <c r="E113" i="17"/>
  <c r="E119" i="17" s="1"/>
  <c r="BW105" i="17"/>
  <c r="BV105" i="17"/>
  <c r="BU105" i="17"/>
  <c r="BT105" i="17"/>
  <c r="BS105" i="17"/>
  <c r="BR105" i="17"/>
  <c r="BQ105" i="17"/>
  <c r="BP105" i="17"/>
  <c r="BO105" i="17"/>
  <c r="BN105" i="17"/>
  <c r="BM105" i="17"/>
  <c r="BL105" i="17"/>
  <c r="BK105" i="17"/>
  <c r="BJ105" i="17"/>
  <c r="BI105" i="17"/>
  <c r="BH105" i="17"/>
  <c r="BG105" i="17"/>
  <c r="BF105" i="17"/>
  <c r="BE105" i="17"/>
  <c r="BD105" i="17"/>
  <c r="BC105" i="17"/>
  <c r="BB105" i="17"/>
  <c r="BA105" i="17"/>
  <c r="AZ105" i="17"/>
  <c r="AY105" i="17"/>
  <c r="AX105" i="17"/>
  <c r="AW105" i="17"/>
  <c r="AV105" i="17"/>
  <c r="AU105" i="17"/>
  <c r="AT105" i="17"/>
  <c r="AS105" i="17"/>
  <c r="AR105" i="17"/>
  <c r="AQ105" i="17"/>
  <c r="AP105" i="17"/>
  <c r="AO105" i="17"/>
  <c r="AN105" i="17"/>
  <c r="AM105" i="17"/>
  <c r="AL105" i="17"/>
  <c r="AK105" i="17"/>
  <c r="AJ105" i="17"/>
  <c r="AI105" i="17"/>
  <c r="AH105" i="17"/>
  <c r="AG105" i="17"/>
  <c r="AF105" i="17"/>
  <c r="AE105" i="17"/>
  <c r="AD105" i="17"/>
  <c r="AC105" i="17"/>
  <c r="AB105" i="17"/>
  <c r="Z105" i="17"/>
  <c r="Y105" i="17"/>
  <c r="X105" i="17"/>
  <c r="W105" i="17"/>
  <c r="V105" i="17"/>
  <c r="U105" i="17"/>
  <c r="T105" i="17"/>
  <c r="S105" i="17"/>
  <c r="R105" i="17"/>
  <c r="Q105" i="17"/>
  <c r="P105" i="17"/>
  <c r="N105" i="17"/>
  <c r="K105" i="17"/>
  <c r="J105" i="17"/>
  <c r="I105" i="17"/>
  <c r="G105" i="17"/>
  <c r="F105" i="17"/>
  <c r="E105" i="17"/>
  <c r="G101" i="17"/>
  <c r="BY95" i="17"/>
  <c r="BY94" i="17"/>
  <c r="AA93" i="17"/>
  <c r="BX90" i="17"/>
  <c r="BW90" i="17"/>
  <c r="BV90" i="17"/>
  <c r="BU90" i="17"/>
  <c r="BT90" i="17"/>
  <c r="BS90" i="17"/>
  <c r="BR90" i="17"/>
  <c r="BQ90" i="17"/>
  <c r="BP90" i="17"/>
  <c r="BO90" i="17"/>
  <c r="BN90" i="17"/>
  <c r="BM90" i="17"/>
  <c r="BL90" i="17"/>
  <c r="BK90" i="17"/>
  <c r="BJ90" i="17"/>
  <c r="BI90" i="17"/>
  <c r="BH90" i="17"/>
  <c r="BG90" i="17"/>
  <c r="BF90" i="17"/>
  <c r="BE90" i="17"/>
  <c r="BD90" i="17"/>
  <c r="BC90" i="17"/>
  <c r="BB90" i="17"/>
  <c r="BA90" i="17"/>
  <c r="AZ90" i="17"/>
  <c r="AY90" i="17"/>
  <c r="AX90" i="17"/>
  <c r="AW90" i="17"/>
  <c r="AV90" i="17"/>
  <c r="AU90" i="17"/>
  <c r="AT90" i="17"/>
  <c r="AS90" i="17"/>
  <c r="AR90" i="17"/>
  <c r="AQ90" i="17"/>
  <c r="AP90" i="17"/>
  <c r="AO90" i="17"/>
  <c r="AN90" i="17"/>
  <c r="AM90" i="17"/>
  <c r="AL90" i="17"/>
  <c r="AK90" i="17"/>
  <c r="AJ90" i="17"/>
  <c r="AI90" i="17"/>
  <c r="AH90" i="17"/>
  <c r="AG90" i="17"/>
  <c r="AF90" i="17"/>
  <c r="AE90" i="17"/>
  <c r="AD90" i="17"/>
  <c r="AC90" i="17"/>
  <c r="AB90" i="17"/>
  <c r="Q90" i="17"/>
  <c r="P90" i="17"/>
  <c r="O90" i="17"/>
  <c r="N90" i="17"/>
  <c r="M90" i="17"/>
  <c r="L90" i="17"/>
  <c r="K90" i="17"/>
  <c r="J90" i="17"/>
  <c r="I90" i="17"/>
  <c r="H90" i="17"/>
  <c r="G90" i="17"/>
  <c r="F90" i="17"/>
  <c r="E90" i="17"/>
  <c r="BY89" i="17"/>
  <c r="BY88" i="17"/>
  <c r="BY87" i="17"/>
  <c r="BX87" i="17"/>
  <c r="BW87" i="17"/>
  <c r="BV87" i="17"/>
  <c r="BU87" i="17"/>
  <c r="BT87" i="17"/>
  <c r="BS87" i="17"/>
  <c r="BR87" i="17"/>
  <c r="BQ87" i="17"/>
  <c r="BP87" i="17"/>
  <c r="BO87" i="17"/>
  <c r="BN87" i="17"/>
  <c r="BM87" i="17"/>
  <c r="BL87" i="17"/>
  <c r="BK87" i="17"/>
  <c r="BJ87" i="17"/>
  <c r="BI87" i="17"/>
  <c r="BH87" i="17"/>
  <c r="BG87" i="17"/>
  <c r="BF87" i="17"/>
  <c r="BE87" i="17"/>
  <c r="BD87" i="17"/>
  <c r="BC87" i="17"/>
  <c r="BB87" i="17"/>
  <c r="BA87" i="17"/>
  <c r="AZ87" i="17"/>
  <c r="AY87" i="17"/>
  <c r="AX87" i="17"/>
  <c r="AW87" i="17"/>
  <c r="AV87" i="17"/>
  <c r="AU87" i="17"/>
  <c r="AT87" i="17"/>
  <c r="AS87" i="17"/>
  <c r="AR87" i="17"/>
  <c r="AQ87" i="17"/>
  <c r="AP87" i="17"/>
  <c r="AO87" i="17"/>
  <c r="AN87" i="17"/>
  <c r="AM87" i="17"/>
  <c r="AL87" i="17"/>
  <c r="AK87" i="17"/>
  <c r="AJ87" i="17"/>
  <c r="AI87" i="17"/>
  <c r="AH87" i="17"/>
  <c r="AG87" i="17"/>
  <c r="AF87" i="17"/>
  <c r="AE87" i="17"/>
  <c r="AD87" i="17"/>
  <c r="AC87" i="17"/>
  <c r="AB87" i="17"/>
  <c r="AA87" i="17"/>
  <c r="Z87" i="17"/>
  <c r="Y87" i="17"/>
  <c r="X87" i="17"/>
  <c r="W87" i="17"/>
  <c r="V87" i="17"/>
  <c r="U87" i="17"/>
  <c r="T87" i="17"/>
  <c r="S87" i="17"/>
  <c r="R87" i="17"/>
  <c r="Q87" i="17"/>
  <c r="P87" i="17"/>
  <c r="O87" i="17"/>
  <c r="N87" i="17"/>
  <c r="M87" i="17"/>
  <c r="L87" i="17"/>
  <c r="K87" i="17"/>
  <c r="J87" i="17"/>
  <c r="I87" i="17"/>
  <c r="H87" i="17"/>
  <c r="G87" i="17"/>
  <c r="F87" i="17"/>
  <c r="E87" i="17"/>
  <c r="BY85" i="17"/>
  <c r="BY84" i="17"/>
  <c r="BY83" i="17"/>
  <c r="BY81" i="17"/>
  <c r="BY80" i="17"/>
  <c r="BY79" i="17"/>
  <c r="BY78" i="17"/>
  <c r="BY77" i="17"/>
  <c r="BY76" i="17"/>
  <c r="BY75" i="17"/>
  <c r="BY74" i="17"/>
  <c r="BY73" i="17"/>
  <c r="BY72" i="17"/>
  <c r="BY71" i="17"/>
  <c r="BY70" i="17"/>
  <c r="BY69" i="17"/>
  <c r="BY68" i="17"/>
  <c r="BY67" i="17"/>
  <c r="BY66" i="17"/>
  <c r="BY65" i="17"/>
  <c r="BY64" i="17"/>
  <c r="BX63" i="17"/>
  <c r="BW63" i="17"/>
  <c r="BV63" i="17"/>
  <c r="BU63" i="17"/>
  <c r="BT63" i="17"/>
  <c r="BS63" i="17"/>
  <c r="BR63" i="17"/>
  <c r="BQ63" i="17"/>
  <c r="BP63" i="17"/>
  <c r="BO63" i="17"/>
  <c r="BN63" i="17"/>
  <c r="BM63" i="17"/>
  <c r="BL63" i="17"/>
  <c r="BK63" i="17"/>
  <c r="BJ63" i="17"/>
  <c r="BI63" i="17"/>
  <c r="BH63" i="17"/>
  <c r="BG63" i="17"/>
  <c r="BF63" i="17"/>
  <c r="BE63" i="17"/>
  <c r="BD63" i="17"/>
  <c r="BC63" i="17"/>
  <c r="BB63" i="17"/>
  <c r="BA63" i="17"/>
  <c r="AZ63" i="17"/>
  <c r="AY63" i="17"/>
  <c r="AX63" i="17"/>
  <c r="AW63" i="17"/>
  <c r="AV63" i="17"/>
  <c r="AU63" i="17"/>
  <c r="AT63" i="17"/>
  <c r="AS63" i="17"/>
  <c r="AR63" i="17"/>
  <c r="AQ63" i="17"/>
  <c r="AP63" i="17"/>
  <c r="AO63" i="17"/>
  <c r="AN63" i="17"/>
  <c r="AM63" i="17"/>
  <c r="AL63" i="17"/>
  <c r="AK63" i="17"/>
  <c r="AJ63" i="17"/>
  <c r="AI63" i="17"/>
  <c r="AH63" i="17"/>
  <c r="AG63" i="17"/>
  <c r="AF63" i="17"/>
  <c r="AE63" i="17"/>
  <c r="AD63" i="17"/>
  <c r="AC63" i="17"/>
  <c r="AB63" i="17"/>
  <c r="P63" i="17"/>
  <c r="O63" i="17"/>
  <c r="N63" i="17"/>
  <c r="M63" i="17"/>
  <c r="L63" i="17"/>
  <c r="K63" i="17"/>
  <c r="J63" i="17"/>
  <c r="I63" i="17"/>
  <c r="H63" i="17"/>
  <c r="G63" i="17"/>
  <c r="F63" i="17"/>
  <c r="E63" i="17"/>
  <c r="O62" i="17"/>
  <c r="N62" i="17"/>
  <c r="M62" i="17"/>
  <c r="U61" i="17"/>
  <c r="BY60" i="17"/>
  <c r="BY59" i="17"/>
  <c r="BY58" i="17"/>
  <c r="BY57" i="17"/>
  <c r="BX55" i="17"/>
  <c r="BW55" i="17"/>
  <c r="BV55" i="17"/>
  <c r="BU55" i="17"/>
  <c r="BT55" i="17"/>
  <c r="BS55" i="17"/>
  <c r="BR55" i="17"/>
  <c r="BQ55" i="17"/>
  <c r="BP55" i="17"/>
  <c r="BO55" i="17"/>
  <c r="BN55" i="17"/>
  <c r="BM55" i="17"/>
  <c r="BL55" i="17"/>
  <c r="BK55" i="17"/>
  <c r="BJ55" i="17"/>
  <c r="BI55" i="17"/>
  <c r="BH55" i="17"/>
  <c r="BG55" i="17"/>
  <c r="BF55" i="17"/>
  <c r="BE55" i="17"/>
  <c r="BD55" i="17"/>
  <c r="BC55" i="17"/>
  <c r="BB55" i="17"/>
  <c r="BA55" i="17"/>
  <c r="AZ55" i="17"/>
  <c r="AY55" i="17"/>
  <c r="AX55" i="17"/>
  <c r="AW55" i="17"/>
  <c r="AV55" i="17"/>
  <c r="AU55" i="17"/>
  <c r="AT55" i="17"/>
  <c r="AS55" i="17"/>
  <c r="AR55" i="17"/>
  <c r="AQ55" i="17"/>
  <c r="AP55" i="17"/>
  <c r="AO55" i="17"/>
  <c r="AN55" i="17"/>
  <c r="AM55" i="17"/>
  <c r="AL55" i="17"/>
  <c r="AK55" i="17"/>
  <c r="AJ55" i="17"/>
  <c r="AI55" i="17"/>
  <c r="AH55" i="17"/>
  <c r="AG55" i="17"/>
  <c r="AF55" i="17"/>
  <c r="AE55" i="17"/>
  <c r="AD55" i="17"/>
  <c r="AC55" i="17"/>
  <c r="AB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O54" i="17"/>
  <c r="I54" i="17"/>
  <c r="BY54" i="17" s="1"/>
  <c r="AA53" i="17"/>
  <c r="Z53" i="17"/>
  <c r="Y53" i="17"/>
  <c r="X53" i="17"/>
  <c r="W53" i="17"/>
  <c r="V53" i="17"/>
  <c r="U53" i="17"/>
  <c r="T53" i="17"/>
  <c r="S53" i="17"/>
  <c r="R53" i="17"/>
  <c r="Q53" i="17"/>
  <c r="P53" i="17"/>
  <c r="N53" i="17"/>
  <c r="M53" i="17"/>
  <c r="L53" i="17"/>
  <c r="K53" i="17"/>
  <c r="J53" i="17"/>
  <c r="I53" i="17"/>
  <c r="H53" i="17"/>
  <c r="BY53" i="17" s="1"/>
  <c r="BY52" i="17"/>
  <c r="BY51" i="17"/>
  <c r="BY50" i="17"/>
  <c r="BY49" i="17"/>
  <c r="BX49" i="17"/>
  <c r="BW49" i="17"/>
  <c r="BV49" i="17"/>
  <c r="BU49" i="17"/>
  <c r="BT49" i="17"/>
  <c r="BS49" i="17"/>
  <c r="BR49" i="17"/>
  <c r="BQ49" i="17"/>
  <c r="BP49" i="17"/>
  <c r="BO49" i="17"/>
  <c r="BN49" i="17"/>
  <c r="BM49" i="17"/>
  <c r="BL49" i="17"/>
  <c r="BK49" i="17"/>
  <c r="BJ49" i="17"/>
  <c r="BI49" i="17"/>
  <c r="BH49" i="17"/>
  <c r="BG49" i="17"/>
  <c r="BF49" i="17"/>
  <c r="BE49" i="17"/>
  <c r="BD49" i="17"/>
  <c r="BC49" i="17"/>
  <c r="BB49" i="17"/>
  <c r="BA49" i="17"/>
  <c r="AZ49" i="17"/>
  <c r="AY49" i="17"/>
  <c r="AX49" i="17"/>
  <c r="AW49" i="17"/>
  <c r="AV49" i="17"/>
  <c r="AU49" i="17"/>
  <c r="AT49" i="17"/>
  <c r="AS49" i="17"/>
  <c r="AR49" i="17"/>
  <c r="AQ49" i="17"/>
  <c r="AP49" i="17"/>
  <c r="AO49" i="17"/>
  <c r="AN49" i="17"/>
  <c r="AM49" i="17"/>
  <c r="AL49" i="17"/>
  <c r="AK49" i="17"/>
  <c r="AJ49" i="17"/>
  <c r="AI49" i="17"/>
  <c r="AH49" i="17"/>
  <c r="AG49" i="17"/>
  <c r="AF49" i="17"/>
  <c r="AE49" i="17"/>
  <c r="AD49" i="17"/>
  <c r="AC49" i="17"/>
  <c r="AB49" i="17"/>
  <c r="AA49" i="17"/>
  <c r="Z49" i="17"/>
  <c r="Y49" i="17"/>
  <c r="X49" i="17"/>
  <c r="W49" i="17"/>
  <c r="V49" i="17"/>
  <c r="U49" i="17"/>
  <c r="T49" i="17"/>
  <c r="S49" i="17"/>
  <c r="R49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R48" i="17"/>
  <c r="K48" i="17"/>
  <c r="Y47" i="17"/>
  <c r="W47" i="17"/>
  <c r="S47" i="17"/>
  <c r="BY47" i="17" s="1"/>
  <c r="K46" i="17"/>
  <c r="I46" i="17"/>
  <c r="H46" i="17"/>
  <c r="AA45" i="17"/>
  <c r="Z45" i="17"/>
  <c r="Y45" i="17"/>
  <c r="X45" i="17"/>
  <c r="W45" i="17"/>
  <c r="V45" i="17"/>
  <c r="U45" i="17"/>
  <c r="T45" i="17"/>
  <c r="S45" i="17"/>
  <c r="R45" i="17"/>
  <c r="Q45" i="17"/>
  <c r="O45" i="17"/>
  <c r="N45" i="17"/>
  <c r="M45" i="17"/>
  <c r="L45" i="17"/>
  <c r="K45" i="17"/>
  <c r="J45" i="17"/>
  <c r="H45" i="17"/>
  <c r="Z44" i="17"/>
  <c r="R44" i="17"/>
  <c r="Q44" i="17"/>
  <c r="J44" i="17"/>
  <c r="H44" i="17"/>
  <c r="BY44" i="17" s="1"/>
  <c r="P43" i="17"/>
  <c r="O43" i="17"/>
  <c r="N43" i="17"/>
  <c r="M43" i="17"/>
  <c r="L43" i="17"/>
  <c r="K43" i="17"/>
  <c r="I43" i="17"/>
  <c r="H43" i="17"/>
  <c r="P42" i="17"/>
  <c r="O42" i="17"/>
  <c r="N42" i="17"/>
  <c r="M42" i="17"/>
  <c r="L42" i="17"/>
  <c r="K42" i="17"/>
  <c r="J42" i="17"/>
  <c r="I42" i="17"/>
  <c r="H42" i="17"/>
  <c r="Z41" i="17"/>
  <c r="Y41" i="17"/>
  <c r="X41" i="17"/>
  <c r="W41" i="17"/>
  <c r="V41" i="17"/>
  <c r="U41" i="17"/>
  <c r="T41" i="17"/>
  <c r="S41" i="17"/>
  <c r="R41" i="17"/>
  <c r="BY41" i="17" s="1"/>
  <c r="BY40" i="17"/>
  <c r="Z39" i="17"/>
  <c r="Y39" i="17"/>
  <c r="X39" i="17"/>
  <c r="W39" i="17"/>
  <c r="V39" i="17"/>
  <c r="U39" i="17"/>
  <c r="T39" i="17"/>
  <c r="S39" i="17"/>
  <c r="R39" i="17"/>
  <c r="BY39" i="17" s="1"/>
  <c r="P38" i="17"/>
  <c r="O38" i="17"/>
  <c r="M38" i="17"/>
  <c r="L38" i="17"/>
  <c r="J38" i="17"/>
  <c r="I38" i="17"/>
  <c r="BX37" i="17"/>
  <c r="BW37" i="17"/>
  <c r="BV37" i="17"/>
  <c r="BU37" i="17"/>
  <c r="BT37" i="17"/>
  <c r="BS37" i="17"/>
  <c r="BR37" i="17"/>
  <c r="BQ37" i="17"/>
  <c r="BP37" i="17"/>
  <c r="BO37" i="17"/>
  <c r="BN37" i="17"/>
  <c r="BM37" i="17"/>
  <c r="BL37" i="17"/>
  <c r="BK37" i="17"/>
  <c r="BJ37" i="17"/>
  <c r="BI37" i="17"/>
  <c r="BH37" i="17"/>
  <c r="BG37" i="17"/>
  <c r="BF37" i="17"/>
  <c r="BE37" i="17"/>
  <c r="BD37" i="17"/>
  <c r="BC37" i="17"/>
  <c r="BB37" i="17"/>
  <c r="BA37" i="17"/>
  <c r="AZ37" i="17"/>
  <c r="AY37" i="17"/>
  <c r="AX37" i="17"/>
  <c r="AW37" i="17"/>
  <c r="AV37" i="17"/>
  <c r="AU37" i="17"/>
  <c r="AT37" i="17"/>
  <c r="AS37" i="17"/>
  <c r="AR37" i="17"/>
  <c r="AQ37" i="17"/>
  <c r="AP37" i="17"/>
  <c r="AO37" i="17"/>
  <c r="AN37" i="17"/>
  <c r="AM37" i="17"/>
  <c r="AL37" i="17"/>
  <c r="AK37" i="17"/>
  <c r="AJ37" i="17"/>
  <c r="AI37" i="17"/>
  <c r="AH37" i="17"/>
  <c r="AG37" i="17"/>
  <c r="AF37" i="17"/>
  <c r="AE37" i="17"/>
  <c r="AD37" i="17"/>
  <c r="AC37" i="17"/>
  <c r="AB37" i="17"/>
  <c r="O37" i="17"/>
  <c r="N37" i="17"/>
  <c r="M37" i="17"/>
  <c r="L37" i="17"/>
  <c r="K37" i="17"/>
  <c r="J37" i="17"/>
  <c r="I37" i="17"/>
  <c r="H37" i="17"/>
  <c r="G37" i="17"/>
  <c r="F37" i="17"/>
  <c r="E37" i="17"/>
  <c r="BY36" i="17"/>
  <c r="BX34" i="17"/>
  <c r="BW34" i="17"/>
  <c r="BV34" i="17"/>
  <c r="BU34" i="17"/>
  <c r="BT34" i="17"/>
  <c r="BS34" i="17"/>
  <c r="BR34" i="17"/>
  <c r="BQ34" i="17"/>
  <c r="BP34" i="17"/>
  <c r="BO34" i="17"/>
  <c r="BN34" i="17"/>
  <c r="BM34" i="17"/>
  <c r="BL34" i="17"/>
  <c r="BK34" i="17"/>
  <c r="BJ34" i="17"/>
  <c r="BI34" i="17"/>
  <c r="BH34" i="17"/>
  <c r="BG34" i="17"/>
  <c r="BF34" i="17"/>
  <c r="BE34" i="17"/>
  <c r="BD34" i="17"/>
  <c r="BC34" i="17"/>
  <c r="BB34" i="17"/>
  <c r="BA34" i="17"/>
  <c r="AZ34" i="17"/>
  <c r="AY34" i="17"/>
  <c r="AX34" i="17"/>
  <c r="AW34" i="17"/>
  <c r="AV34" i="17"/>
  <c r="AU34" i="17"/>
  <c r="AT34" i="17"/>
  <c r="AS34" i="17"/>
  <c r="AR34" i="17"/>
  <c r="AQ34" i="17"/>
  <c r="AP34" i="17"/>
  <c r="AO34" i="17"/>
  <c r="AN34" i="17"/>
  <c r="AM34" i="17"/>
  <c r="AL34" i="17"/>
  <c r="AK34" i="17"/>
  <c r="AJ34" i="17"/>
  <c r="AI34" i="17"/>
  <c r="AH34" i="17"/>
  <c r="AG34" i="17"/>
  <c r="AF34" i="17"/>
  <c r="AE34" i="17"/>
  <c r="AD34" i="17"/>
  <c r="AC34" i="17"/>
  <c r="AB34" i="17"/>
  <c r="AA34" i="17"/>
  <c r="R34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Q32" i="17"/>
  <c r="I32" i="17"/>
  <c r="BY32" i="17" s="1"/>
  <c r="Z31" i="17"/>
  <c r="Y31" i="17"/>
  <c r="X31" i="17"/>
  <c r="W31" i="17"/>
  <c r="V31" i="17"/>
  <c r="U31" i="17"/>
  <c r="T31" i="17"/>
  <c r="S31" i="17"/>
  <c r="O31" i="17"/>
  <c r="N31" i="17"/>
  <c r="H31" i="17"/>
  <c r="BY31" i="17" s="1"/>
  <c r="T30" i="17"/>
  <c r="S30" i="17"/>
  <c r="R30" i="17"/>
  <c r="BY30" i="17" s="1"/>
  <c r="BY29" i="17"/>
  <c r="BY28" i="17"/>
  <c r="R27" i="17"/>
  <c r="P27" i="17"/>
  <c r="O27" i="17"/>
  <c r="N27" i="17"/>
  <c r="M27" i="17"/>
  <c r="L27" i="17"/>
  <c r="BX26" i="17"/>
  <c r="BW26" i="17"/>
  <c r="BV26" i="17"/>
  <c r="BU26" i="17"/>
  <c r="BT26" i="17"/>
  <c r="BS26" i="17"/>
  <c r="BR26" i="17"/>
  <c r="BQ26" i="17"/>
  <c r="BP26" i="17"/>
  <c r="BO26" i="17"/>
  <c r="BN26" i="17"/>
  <c r="BM26" i="17"/>
  <c r="BL26" i="17"/>
  <c r="BK26" i="17"/>
  <c r="BJ26" i="17"/>
  <c r="BI26" i="17"/>
  <c r="BH26" i="17"/>
  <c r="BG26" i="17"/>
  <c r="BF26" i="17"/>
  <c r="BE26" i="17"/>
  <c r="BD26" i="17"/>
  <c r="BC26" i="17"/>
  <c r="BB26" i="17"/>
  <c r="BA26" i="17"/>
  <c r="AZ26" i="17"/>
  <c r="AY26" i="17"/>
  <c r="AX26" i="17"/>
  <c r="AW26" i="17"/>
  <c r="AV26" i="17"/>
  <c r="AU26" i="17"/>
  <c r="AT26" i="17"/>
  <c r="AS26" i="17"/>
  <c r="AR26" i="17"/>
  <c r="AQ26" i="17"/>
  <c r="AP26" i="17"/>
  <c r="AO26" i="17"/>
  <c r="AN26" i="17"/>
  <c r="AM26" i="17"/>
  <c r="AL26" i="17"/>
  <c r="AK26" i="17"/>
  <c r="AJ26" i="17"/>
  <c r="AI26" i="17"/>
  <c r="AH26" i="17"/>
  <c r="AG26" i="17"/>
  <c r="AF26" i="17"/>
  <c r="AE26" i="17"/>
  <c r="AD26" i="17"/>
  <c r="AC26" i="17"/>
  <c r="AB26" i="17"/>
  <c r="AA26" i="17"/>
  <c r="R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P25" i="17"/>
  <c r="BY25" i="17" s="1"/>
  <c r="R24" i="17"/>
  <c r="R147" i="17" s="1"/>
  <c r="R152" i="17" s="1"/>
  <c r="Q24" i="17"/>
  <c r="Q147" i="17" s="1"/>
  <c r="Q152" i="17" s="1"/>
  <c r="L24" i="17"/>
  <c r="L147" i="17" s="1"/>
  <c r="L152" i="17" s="1"/>
  <c r="I24" i="17"/>
  <c r="CE23" i="17"/>
  <c r="BX23" i="17"/>
  <c r="BW23" i="17"/>
  <c r="BV23" i="17"/>
  <c r="BU23" i="17"/>
  <c r="BT23" i="17"/>
  <c r="BS23" i="17"/>
  <c r="BR23" i="17"/>
  <c r="BQ23" i="17"/>
  <c r="BP23" i="17"/>
  <c r="BO23" i="17"/>
  <c r="BN23" i="17"/>
  <c r="BM23" i="17"/>
  <c r="BL23" i="17"/>
  <c r="BK23" i="17"/>
  <c r="BJ23" i="17"/>
  <c r="BI23" i="17"/>
  <c r="BH23" i="17"/>
  <c r="BG23" i="17"/>
  <c r="BF23" i="17"/>
  <c r="BE23" i="17"/>
  <c r="BD23" i="17"/>
  <c r="BC23" i="17"/>
  <c r="BB23" i="17"/>
  <c r="BA23" i="17"/>
  <c r="AZ23" i="17"/>
  <c r="AY23" i="17"/>
  <c r="AX23" i="17"/>
  <c r="AW23" i="17"/>
  <c r="AV23" i="17"/>
  <c r="AU23" i="17"/>
  <c r="AT23" i="17"/>
  <c r="AS23" i="17"/>
  <c r="AR23" i="17"/>
  <c r="AQ23" i="17"/>
  <c r="AP23" i="17"/>
  <c r="AO23" i="17"/>
  <c r="AN23" i="17"/>
  <c r="AM23" i="17"/>
  <c r="AL23" i="17"/>
  <c r="AK23" i="17"/>
  <c r="AJ23" i="17"/>
  <c r="AI23" i="17"/>
  <c r="AH23" i="17"/>
  <c r="AG23" i="17"/>
  <c r="AF23" i="17"/>
  <c r="AE23" i="17"/>
  <c r="AD23" i="17"/>
  <c r="AC23" i="17"/>
  <c r="AB23" i="17"/>
  <c r="AA23" i="17"/>
  <c r="Z23" i="17"/>
  <c r="Y23" i="17"/>
  <c r="X23" i="17"/>
  <c r="W23" i="17"/>
  <c r="V23" i="17"/>
  <c r="U23" i="17"/>
  <c r="T23" i="17"/>
  <c r="S23" i="17"/>
  <c r="R23" i="17"/>
  <c r="Q23" i="17"/>
  <c r="O23" i="17"/>
  <c r="N23" i="17"/>
  <c r="M23" i="17"/>
  <c r="L23" i="17"/>
  <c r="K23" i="17"/>
  <c r="J23" i="17"/>
  <c r="I23" i="17"/>
  <c r="H23" i="17"/>
  <c r="G23" i="17"/>
  <c r="F23" i="17"/>
  <c r="E23" i="17"/>
  <c r="BY22" i="17"/>
  <c r="BY21" i="17"/>
  <c r="BY20" i="17"/>
  <c r="BY19" i="17"/>
  <c r="J18" i="17"/>
  <c r="H18" i="17"/>
  <c r="BY18" i="17" s="1"/>
  <c r="BY17" i="17"/>
  <c r="BX17" i="17"/>
  <c r="BX98" i="17" s="1"/>
  <c r="BW17" i="17"/>
  <c r="BW98" i="17" s="1"/>
  <c r="BV17" i="17"/>
  <c r="BV98" i="17" s="1"/>
  <c r="BU17" i="17"/>
  <c r="BU98" i="17" s="1"/>
  <c r="BT17" i="17"/>
  <c r="BT98" i="17" s="1"/>
  <c r="BS17" i="17"/>
  <c r="BS98" i="17" s="1"/>
  <c r="BR17" i="17"/>
  <c r="BR98" i="17" s="1"/>
  <c r="BQ17" i="17"/>
  <c r="BQ98" i="17" s="1"/>
  <c r="BP17" i="17"/>
  <c r="BP98" i="17" s="1"/>
  <c r="BO17" i="17"/>
  <c r="BO98" i="17" s="1"/>
  <c r="BN17" i="17"/>
  <c r="BN98" i="17" s="1"/>
  <c r="BM17" i="17"/>
  <c r="BM98" i="17" s="1"/>
  <c r="BL17" i="17"/>
  <c r="BL98" i="17" s="1"/>
  <c r="BK17" i="17"/>
  <c r="BK98" i="17" s="1"/>
  <c r="BJ17" i="17"/>
  <c r="BJ98" i="17" s="1"/>
  <c r="BI17" i="17"/>
  <c r="BI98" i="17" s="1"/>
  <c r="BH17" i="17"/>
  <c r="BH98" i="17" s="1"/>
  <c r="BG17" i="17"/>
  <c r="BG98" i="17" s="1"/>
  <c r="BF17" i="17"/>
  <c r="BF98" i="17" s="1"/>
  <c r="BE17" i="17"/>
  <c r="BE98" i="17" s="1"/>
  <c r="BD17" i="17"/>
  <c r="BD98" i="17" s="1"/>
  <c r="BC17" i="17"/>
  <c r="BC98" i="17" s="1"/>
  <c r="BB17" i="17"/>
  <c r="BB98" i="17" s="1"/>
  <c r="BA17" i="17"/>
  <c r="BA98" i="17" s="1"/>
  <c r="AZ17" i="17"/>
  <c r="AZ98" i="17" s="1"/>
  <c r="AY17" i="17"/>
  <c r="AY98" i="17" s="1"/>
  <c r="AX17" i="17"/>
  <c r="AX98" i="17" s="1"/>
  <c r="AW17" i="17"/>
  <c r="AW98" i="17" s="1"/>
  <c r="AV17" i="17"/>
  <c r="AV98" i="17" s="1"/>
  <c r="AU17" i="17"/>
  <c r="AU98" i="17" s="1"/>
  <c r="AT17" i="17"/>
  <c r="AT98" i="17" s="1"/>
  <c r="AS17" i="17"/>
  <c r="AS98" i="17" s="1"/>
  <c r="AR17" i="17"/>
  <c r="AR98" i="17" s="1"/>
  <c r="AQ17" i="17"/>
  <c r="AQ98" i="17" s="1"/>
  <c r="AP17" i="17"/>
  <c r="AP98" i="17" s="1"/>
  <c r="AO17" i="17"/>
  <c r="AO98" i="17" s="1"/>
  <c r="AN17" i="17"/>
  <c r="AN98" i="17" s="1"/>
  <c r="AM17" i="17"/>
  <c r="AM98" i="17" s="1"/>
  <c r="AL17" i="17"/>
  <c r="AL98" i="17" s="1"/>
  <c r="AK17" i="17"/>
  <c r="AK98" i="17" s="1"/>
  <c r="AJ17" i="17"/>
  <c r="AJ98" i="17" s="1"/>
  <c r="AI17" i="17"/>
  <c r="AI98" i="17" s="1"/>
  <c r="AH17" i="17"/>
  <c r="AH98" i="17" s="1"/>
  <c r="AG17" i="17"/>
  <c r="AG98" i="17" s="1"/>
  <c r="AF17" i="17"/>
  <c r="AF98" i="17" s="1"/>
  <c r="AE17" i="17"/>
  <c r="AE98" i="17" s="1"/>
  <c r="AD17" i="17"/>
  <c r="AD98" i="17" s="1"/>
  <c r="AC17" i="17"/>
  <c r="AC98" i="17" s="1"/>
  <c r="AB17" i="17"/>
  <c r="AB98" i="17" s="1"/>
  <c r="AA17" i="17"/>
  <c r="Z17" i="17"/>
  <c r="Y17" i="17"/>
  <c r="X17" i="17"/>
  <c r="W17" i="17"/>
  <c r="V17" i="17"/>
  <c r="U17" i="17"/>
  <c r="T17" i="17"/>
  <c r="S17" i="17"/>
  <c r="R17" i="17"/>
  <c r="Q17" i="17"/>
  <c r="P17" i="17"/>
  <c r="O17" i="17"/>
  <c r="O98" i="17" s="1"/>
  <c r="N17" i="17"/>
  <c r="N98" i="17" s="1"/>
  <c r="M17" i="17"/>
  <c r="M98" i="17" s="1"/>
  <c r="L17" i="17"/>
  <c r="L98" i="17" s="1"/>
  <c r="K17" i="17"/>
  <c r="K98" i="17" s="1"/>
  <c r="J17" i="17"/>
  <c r="J98" i="17" s="1"/>
  <c r="I17" i="17"/>
  <c r="I98" i="17" s="1"/>
  <c r="H17" i="17"/>
  <c r="H98" i="17" s="1"/>
  <c r="H99" i="17" s="1"/>
  <c r="I99" i="17" s="1"/>
  <c r="J99" i="17" s="1"/>
  <c r="K99" i="17" s="1"/>
  <c r="L99" i="17" s="1"/>
  <c r="M99" i="17" s="1"/>
  <c r="N99" i="17" s="1"/>
  <c r="G17" i="17"/>
  <c r="G98" i="17" s="1"/>
  <c r="F17" i="17"/>
  <c r="F98" i="17" s="1"/>
  <c r="E17" i="17"/>
  <c r="E98" i="17" s="1"/>
  <c r="BX16" i="17"/>
  <c r="BX100" i="17" s="1"/>
  <c r="BW16" i="17"/>
  <c r="BW100" i="17" s="1"/>
  <c r="BV16" i="17"/>
  <c r="BV100" i="17" s="1"/>
  <c r="BU16" i="17"/>
  <c r="BU100" i="17" s="1"/>
  <c r="BT16" i="17"/>
  <c r="BT100" i="17" s="1"/>
  <c r="BS16" i="17"/>
  <c r="BS100" i="17" s="1"/>
  <c r="BR16" i="17"/>
  <c r="BR100" i="17" s="1"/>
  <c r="BQ16" i="17"/>
  <c r="BQ100" i="17" s="1"/>
  <c r="BP16" i="17"/>
  <c r="BP100" i="17" s="1"/>
  <c r="BO16" i="17"/>
  <c r="BO100" i="17" s="1"/>
  <c r="BN16" i="17"/>
  <c r="BN100" i="17" s="1"/>
  <c r="BM16" i="17"/>
  <c r="BM100" i="17" s="1"/>
  <c r="BL16" i="17"/>
  <c r="BL100" i="17" s="1"/>
  <c r="BK16" i="17"/>
  <c r="BK100" i="17" s="1"/>
  <c r="BJ16" i="17"/>
  <c r="BJ100" i="17" s="1"/>
  <c r="BI16" i="17"/>
  <c r="BI100" i="17" s="1"/>
  <c r="BH16" i="17"/>
  <c r="BH100" i="17" s="1"/>
  <c r="BG16" i="17"/>
  <c r="BG100" i="17" s="1"/>
  <c r="BF16" i="17"/>
  <c r="BF100" i="17" s="1"/>
  <c r="BE16" i="17"/>
  <c r="BE100" i="17" s="1"/>
  <c r="BD16" i="17"/>
  <c r="BD100" i="17" s="1"/>
  <c r="BC16" i="17"/>
  <c r="BC100" i="17" s="1"/>
  <c r="BB16" i="17"/>
  <c r="BB100" i="17" s="1"/>
  <c r="BA16" i="17"/>
  <c r="BA100" i="17" s="1"/>
  <c r="AZ16" i="17"/>
  <c r="AZ100" i="17" s="1"/>
  <c r="AY16" i="17"/>
  <c r="AY100" i="17" s="1"/>
  <c r="AX16" i="17"/>
  <c r="AX100" i="17" s="1"/>
  <c r="AW16" i="17"/>
  <c r="AW100" i="17" s="1"/>
  <c r="AV16" i="17"/>
  <c r="AV100" i="17" s="1"/>
  <c r="AU16" i="17"/>
  <c r="AU100" i="17" s="1"/>
  <c r="AT16" i="17"/>
  <c r="AT100" i="17" s="1"/>
  <c r="AS16" i="17"/>
  <c r="AS100" i="17" s="1"/>
  <c r="AR16" i="17"/>
  <c r="AR100" i="17" s="1"/>
  <c r="AQ16" i="17"/>
  <c r="AQ100" i="17" s="1"/>
  <c r="AP16" i="17"/>
  <c r="AP100" i="17" s="1"/>
  <c r="AO16" i="17"/>
  <c r="AO100" i="17" s="1"/>
  <c r="AN16" i="17"/>
  <c r="AN100" i="17" s="1"/>
  <c r="AM16" i="17"/>
  <c r="AM100" i="17" s="1"/>
  <c r="AL16" i="17"/>
  <c r="AL100" i="17" s="1"/>
  <c r="AK16" i="17"/>
  <c r="AK100" i="17" s="1"/>
  <c r="AJ16" i="17"/>
  <c r="AJ100" i="17" s="1"/>
  <c r="AI16" i="17"/>
  <c r="AI100" i="17" s="1"/>
  <c r="AH16" i="17"/>
  <c r="AH100" i="17" s="1"/>
  <c r="AG16" i="17"/>
  <c r="AG100" i="17" s="1"/>
  <c r="AF16" i="17"/>
  <c r="AF100" i="17" s="1"/>
  <c r="AE16" i="17"/>
  <c r="AE100" i="17" s="1"/>
  <c r="AD16" i="17"/>
  <c r="AD100" i="17" s="1"/>
  <c r="AC16" i="17"/>
  <c r="AC100" i="17" s="1"/>
  <c r="AB16" i="17"/>
  <c r="AB100" i="17" s="1"/>
  <c r="J16" i="17"/>
  <c r="J100" i="17" s="1"/>
  <c r="I16" i="17"/>
  <c r="I100" i="17" s="1"/>
  <c r="G16" i="17"/>
  <c r="G100" i="17" s="1"/>
  <c r="F16" i="17"/>
  <c r="F100" i="17" s="1"/>
  <c r="E16" i="17"/>
  <c r="E100" i="17" s="1"/>
  <c r="E101" i="17" s="1"/>
  <c r="P15" i="17"/>
  <c r="CE14" i="17"/>
  <c r="CE15" i="17" s="1"/>
  <c r="Q14" i="17"/>
  <c r="P14" i="17"/>
  <c r="O14" i="17"/>
  <c r="M14" i="17"/>
  <c r="K14" i="17"/>
  <c r="CH11" i="17"/>
  <c r="P11" i="17"/>
  <c r="P16" i="17" s="1"/>
  <c r="O11" i="17"/>
  <c r="N11" i="17"/>
  <c r="N16" i="17" s="1"/>
  <c r="N100" i="17" s="1"/>
  <c r="M11" i="17"/>
  <c r="Z10" i="17"/>
  <c r="Y10" i="17"/>
  <c r="X10" i="17"/>
  <c r="W10" i="17"/>
  <c r="V10" i="17"/>
  <c r="U9" i="17"/>
  <c r="BY8" i="17"/>
  <c r="CB8" i="17" s="1"/>
  <c r="CA7" i="17"/>
  <c r="BY7" i="17"/>
  <c r="CB7" i="17" s="1"/>
  <c r="CA6" i="17"/>
  <c r="O6" i="17"/>
  <c r="M6" i="17"/>
  <c r="L6" i="17"/>
  <c r="H5" i="17"/>
  <c r="W200" i="16"/>
  <c r="V200" i="16"/>
  <c r="U200" i="16"/>
  <c r="T200" i="16"/>
  <c r="S200" i="16"/>
  <c r="D188" i="16"/>
  <c r="BX181" i="16"/>
  <c r="BW181" i="16"/>
  <c r="BV181" i="16"/>
  <c r="BU181" i="16"/>
  <c r="BT181" i="16"/>
  <c r="BS181" i="16"/>
  <c r="BR181" i="16"/>
  <c r="BQ181" i="16"/>
  <c r="BP181" i="16"/>
  <c r="BO181" i="16"/>
  <c r="BN181" i="16"/>
  <c r="BM181" i="16"/>
  <c r="BL181" i="16"/>
  <c r="BK181" i="16"/>
  <c r="BJ181" i="16"/>
  <c r="BI181" i="16"/>
  <c r="BH181" i="16"/>
  <c r="BG181" i="16"/>
  <c r="BF181" i="16"/>
  <c r="BE181" i="16"/>
  <c r="BD181" i="16"/>
  <c r="BC181" i="16"/>
  <c r="BB181" i="16"/>
  <c r="BA181" i="16"/>
  <c r="AZ181" i="16"/>
  <c r="AY181" i="16"/>
  <c r="AX181" i="16"/>
  <c r="AW181" i="16"/>
  <c r="AV181" i="16"/>
  <c r="AU181" i="16"/>
  <c r="AT181" i="16"/>
  <c r="AS181" i="16"/>
  <c r="AR181" i="16"/>
  <c r="AQ181" i="16"/>
  <c r="AP181" i="16"/>
  <c r="AO181" i="16"/>
  <c r="AN181" i="16"/>
  <c r="AM181" i="16"/>
  <c r="AL181" i="16"/>
  <c r="AK181" i="16"/>
  <c r="AJ181" i="16"/>
  <c r="AI181" i="16"/>
  <c r="AH181" i="16"/>
  <c r="AG181" i="16"/>
  <c r="AF181" i="16"/>
  <c r="AE181" i="16"/>
  <c r="AD181" i="16"/>
  <c r="AC181" i="16"/>
  <c r="AB181" i="16"/>
  <c r="AA181" i="16"/>
  <c r="Z181" i="16"/>
  <c r="Y181" i="16"/>
  <c r="X181" i="16"/>
  <c r="W181" i="16"/>
  <c r="V181" i="16"/>
  <c r="U181" i="16"/>
  <c r="T181" i="16"/>
  <c r="S181" i="16"/>
  <c r="S184" i="16" s="1"/>
  <c r="R181" i="16"/>
  <c r="R184" i="16" s="1"/>
  <c r="Q181" i="16"/>
  <c r="Q184" i="16" s="1"/>
  <c r="P181" i="16"/>
  <c r="P184" i="16" s="1"/>
  <c r="O181" i="16"/>
  <c r="O184" i="16" s="1"/>
  <c r="N181" i="16"/>
  <c r="N184" i="16" s="1"/>
  <c r="M181" i="16"/>
  <c r="M184" i="16" s="1"/>
  <c r="L181" i="16"/>
  <c r="L184" i="16" s="1"/>
  <c r="K181" i="16"/>
  <c r="K184" i="16" s="1"/>
  <c r="J181" i="16"/>
  <c r="J184" i="16" s="1"/>
  <c r="I181" i="16"/>
  <c r="I184" i="16" s="1"/>
  <c r="H181" i="16"/>
  <c r="G181" i="16"/>
  <c r="F181" i="16"/>
  <c r="E181" i="16"/>
  <c r="BX179" i="16"/>
  <c r="BW179" i="16"/>
  <c r="BW184" i="16" s="1"/>
  <c r="BV179" i="16"/>
  <c r="BV184" i="16" s="1"/>
  <c r="BU179" i="16"/>
  <c r="BU184" i="16" s="1"/>
  <c r="BT179" i="16"/>
  <c r="BT184" i="16" s="1"/>
  <c r="BS179" i="16"/>
  <c r="BS184" i="16" s="1"/>
  <c r="BR179" i="16"/>
  <c r="BR184" i="16" s="1"/>
  <c r="BQ179" i="16"/>
  <c r="BQ184" i="16" s="1"/>
  <c r="BP179" i="16"/>
  <c r="BP184" i="16" s="1"/>
  <c r="BO179" i="16"/>
  <c r="BO184" i="16" s="1"/>
  <c r="BN179" i="16"/>
  <c r="BN184" i="16" s="1"/>
  <c r="BM179" i="16"/>
  <c r="BM184" i="16" s="1"/>
  <c r="BL179" i="16"/>
  <c r="BL184" i="16" s="1"/>
  <c r="BK179" i="16"/>
  <c r="BK184" i="16" s="1"/>
  <c r="BJ179" i="16"/>
  <c r="BJ184" i="16" s="1"/>
  <c r="BI179" i="16"/>
  <c r="BI184" i="16" s="1"/>
  <c r="BH179" i="16"/>
  <c r="BH184" i="16" s="1"/>
  <c r="BG179" i="16"/>
  <c r="BG184" i="16" s="1"/>
  <c r="BF179" i="16"/>
  <c r="BF184" i="16" s="1"/>
  <c r="BE179" i="16"/>
  <c r="BE184" i="16" s="1"/>
  <c r="BD179" i="16"/>
  <c r="BD184" i="16" s="1"/>
  <c r="BC179" i="16"/>
  <c r="BC184" i="16" s="1"/>
  <c r="BB179" i="16"/>
  <c r="BB184" i="16" s="1"/>
  <c r="BA179" i="16"/>
  <c r="BA184" i="16" s="1"/>
  <c r="AZ179" i="16"/>
  <c r="AZ184" i="16" s="1"/>
  <c r="AY179" i="16"/>
  <c r="AY184" i="16" s="1"/>
  <c r="AX179" i="16"/>
  <c r="AX184" i="16" s="1"/>
  <c r="AW179" i="16"/>
  <c r="AW184" i="16" s="1"/>
  <c r="AV179" i="16"/>
  <c r="AV184" i="16" s="1"/>
  <c r="AU179" i="16"/>
  <c r="AU184" i="16" s="1"/>
  <c r="AT179" i="16"/>
  <c r="AT184" i="16" s="1"/>
  <c r="AS179" i="16"/>
  <c r="AS184" i="16" s="1"/>
  <c r="AR179" i="16"/>
  <c r="AR184" i="16" s="1"/>
  <c r="AQ179" i="16"/>
  <c r="AQ184" i="16" s="1"/>
  <c r="AP179" i="16"/>
  <c r="AP184" i="16" s="1"/>
  <c r="AO179" i="16"/>
  <c r="AO184" i="16" s="1"/>
  <c r="AN179" i="16"/>
  <c r="AN184" i="16" s="1"/>
  <c r="AM179" i="16"/>
  <c r="AM184" i="16" s="1"/>
  <c r="AL179" i="16"/>
  <c r="AL184" i="16" s="1"/>
  <c r="AK179" i="16"/>
  <c r="AK184" i="16" s="1"/>
  <c r="AJ179" i="16"/>
  <c r="AJ184" i="16" s="1"/>
  <c r="AI179" i="16"/>
  <c r="AI184" i="16" s="1"/>
  <c r="AH179" i="16"/>
  <c r="AH184" i="16" s="1"/>
  <c r="AG179" i="16"/>
  <c r="AG184" i="16" s="1"/>
  <c r="AF179" i="16"/>
  <c r="AF184" i="16" s="1"/>
  <c r="AE179" i="16"/>
  <c r="AE184" i="16" s="1"/>
  <c r="AD179" i="16"/>
  <c r="AD184" i="16" s="1"/>
  <c r="AC179" i="16"/>
  <c r="AC184" i="16" s="1"/>
  <c r="AB179" i="16"/>
  <c r="AB184" i="16" s="1"/>
  <c r="AA179" i="16"/>
  <c r="AA184" i="16" s="1"/>
  <c r="Z179" i="16"/>
  <c r="Z184" i="16" s="1"/>
  <c r="Y179" i="16"/>
  <c r="Y184" i="16" s="1"/>
  <c r="X179" i="16"/>
  <c r="X184" i="16" s="1"/>
  <c r="W179" i="16"/>
  <c r="W184" i="16" s="1"/>
  <c r="V179" i="16"/>
  <c r="V184" i="16" s="1"/>
  <c r="U179" i="16"/>
  <c r="U184" i="16" s="1"/>
  <c r="T179" i="16"/>
  <c r="H179" i="16"/>
  <c r="H184" i="16" s="1"/>
  <c r="G179" i="16"/>
  <c r="G184" i="16" s="1"/>
  <c r="F179" i="16"/>
  <c r="F184" i="16" s="1"/>
  <c r="E179" i="16"/>
  <c r="E184" i="16" s="1"/>
  <c r="D172" i="16"/>
  <c r="BX165" i="16"/>
  <c r="BW165" i="16"/>
  <c r="BV165" i="16"/>
  <c r="BU165" i="16"/>
  <c r="BT165" i="16"/>
  <c r="BS165" i="16"/>
  <c r="BR165" i="16"/>
  <c r="BQ165" i="16"/>
  <c r="BP165" i="16"/>
  <c r="BO165" i="16"/>
  <c r="BN165" i="16"/>
  <c r="BM165" i="16"/>
  <c r="BL165" i="16"/>
  <c r="BK165" i="16"/>
  <c r="BJ165" i="16"/>
  <c r="BI165" i="16"/>
  <c r="BH165" i="16"/>
  <c r="BG165" i="16"/>
  <c r="BF165" i="16"/>
  <c r="BE165" i="16"/>
  <c r="BD165" i="16"/>
  <c r="BC165" i="16"/>
  <c r="BB165" i="16"/>
  <c r="BA165" i="16"/>
  <c r="AZ165" i="16"/>
  <c r="AY165" i="16"/>
  <c r="AX165" i="16"/>
  <c r="AW165" i="16"/>
  <c r="AV165" i="16"/>
  <c r="AU165" i="16"/>
  <c r="AT165" i="16"/>
  <c r="AS165" i="16"/>
  <c r="AR165" i="16"/>
  <c r="AQ165" i="16"/>
  <c r="AP165" i="16"/>
  <c r="AO165" i="16"/>
  <c r="AN165" i="16"/>
  <c r="AM165" i="16"/>
  <c r="AL165" i="16"/>
  <c r="AK165" i="16"/>
  <c r="AJ165" i="16"/>
  <c r="AI165" i="16"/>
  <c r="AH165" i="16"/>
  <c r="AG165" i="16"/>
  <c r="AF165" i="16"/>
  <c r="AE165" i="16"/>
  <c r="AD165" i="16"/>
  <c r="AC165" i="16"/>
  <c r="AB165" i="16"/>
  <c r="AA165" i="16"/>
  <c r="Z165" i="16"/>
  <c r="Y165" i="16"/>
  <c r="X165" i="16"/>
  <c r="W165" i="16"/>
  <c r="V165" i="16"/>
  <c r="U165" i="16"/>
  <c r="T165" i="16"/>
  <c r="S165" i="16"/>
  <c r="R165" i="16"/>
  <c r="Q165" i="16"/>
  <c r="P165" i="16"/>
  <c r="O165" i="16"/>
  <c r="N165" i="16"/>
  <c r="M165" i="16"/>
  <c r="L165" i="16"/>
  <c r="K165" i="16"/>
  <c r="J165" i="16"/>
  <c r="I165" i="16"/>
  <c r="H165" i="16"/>
  <c r="G165" i="16"/>
  <c r="F165" i="16"/>
  <c r="E165" i="16"/>
  <c r="BX163" i="16"/>
  <c r="BW163" i="16"/>
  <c r="BW168" i="16" s="1"/>
  <c r="BV163" i="16"/>
  <c r="BV168" i="16" s="1"/>
  <c r="BU163" i="16"/>
  <c r="BU168" i="16" s="1"/>
  <c r="BT163" i="16"/>
  <c r="BT168" i="16" s="1"/>
  <c r="BS163" i="16"/>
  <c r="BS168" i="16" s="1"/>
  <c r="BR163" i="16"/>
  <c r="BR168" i="16" s="1"/>
  <c r="BQ163" i="16"/>
  <c r="BQ168" i="16" s="1"/>
  <c r="BP163" i="16"/>
  <c r="BP168" i="16" s="1"/>
  <c r="BO163" i="16"/>
  <c r="BO168" i="16" s="1"/>
  <c r="BN163" i="16"/>
  <c r="BN168" i="16" s="1"/>
  <c r="BM163" i="16"/>
  <c r="BM168" i="16" s="1"/>
  <c r="BL163" i="16"/>
  <c r="BL168" i="16" s="1"/>
  <c r="BK163" i="16"/>
  <c r="BK168" i="16" s="1"/>
  <c r="BJ163" i="16"/>
  <c r="BJ168" i="16" s="1"/>
  <c r="BI163" i="16"/>
  <c r="BI168" i="16" s="1"/>
  <c r="BH163" i="16"/>
  <c r="BH168" i="16" s="1"/>
  <c r="BG163" i="16"/>
  <c r="BG168" i="16" s="1"/>
  <c r="BF163" i="16"/>
  <c r="BF168" i="16" s="1"/>
  <c r="BE163" i="16"/>
  <c r="BE168" i="16" s="1"/>
  <c r="BD163" i="16"/>
  <c r="BD168" i="16" s="1"/>
  <c r="BC163" i="16"/>
  <c r="BC168" i="16" s="1"/>
  <c r="BB163" i="16"/>
  <c r="BB168" i="16" s="1"/>
  <c r="BA163" i="16"/>
  <c r="BA168" i="16" s="1"/>
  <c r="AZ163" i="16"/>
  <c r="AZ168" i="16" s="1"/>
  <c r="AY163" i="16"/>
  <c r="AY168" i="16" s="1"/>
  <c r="AX163" i="16"/>
  <c r="AX168" i="16" s="1"/>
  <c r="AW163" i="16"/>
  <c r="AW168" i="16" s="1"/>
  <c r="AV163" i="16"/>
  <c r="AV168" i="16" s="1"/>
  <c r="AU163" i="16"/>
  <c r="AU168" i="16" s="1"/>
  <c r="AT163" i="16"/>
  <c r="AT168" i="16" s="1"/>
  <c r="AS163" i="16"/>
  <c r="AS168" i="16" s="1"/>
  <c r="AR163" i="16"/>
  <c r="AR168" i="16" s="1"/>
  <c r="AQ163" i="16"/>
  <c r="AQ168" i="16" s="1"/>
  <c r="AP163" i="16"/>
  <c r="AP168" i="16" s="1"/>
  <c r="AO163" i="16"/>
  <c r="AO168" i="16" s="1"/>
  <c r="AN163" i="16"/>
  <c r="AN168" i="16" s="1"/>
  <c r="AM163" i="16"/>
  <c r="AM168" i="16" s="1"/>
  <c r="AL163" i="16"/>
  <c r="AL168" i="16" s="1"/>
  <c r="AK163" i="16"/>
  <c r="AK168" i="16" s="1"/>
  <c r="AJ163" i="16"/>
  <c r="AJ168" i="16" s="1"/>
  <c r="AI163" i="16"/>
  <c r="AI168" i="16" s="1"/>
  <c r="AH163" i="16"/>
  <c r="AH168" i="16" s="1"/>
  <c r="AG163" i="16"/>
  <c r="AG168" i="16" s="1"/>
  <c r="AF163" i="16"/>
  <c r="AF168" i="16" s="1"/>
  <c r="AE163" i="16"/>
  <c r="AE168" i="16" s="1"/>
  <c r="AD163" i="16"/>
  <c r="AD168" i="16" s="1"/>
  <c r="AC163" i="16"/>
  <c r="AC168" i="16" s="1"/>
  <c r="AB163" i="16"/>
  <c r="AB168" i="16" s="1"/>
  <c r="Z163" i="16"/>
  <c r="Z168" i="16" s="1"/>
  <c r="Y163" i="16"/>
  <c r="Y168" i="16" s="1"/>
  <c r="X163" i="16"/>
  <c r="X168" i="16" s="1"/>
  <c r="W163" i="16"/>
  <c r="W168" i="16" s="1"/>
  <c r="V163" i="16"/>
  <c r="V168" i="16" s="1"/>
  <c r="U163" i="16"/>
  <c r="U168" i="16" s="1"/>
  <c r="T163" i="16"/>
  <c r="S163" i="16"/>
  <c r="S168" i="16" s="1"/>
  <c r="R163" i="16"/>
  <c r="R168" i="16" s="1"/>
  <c r="Q163" i="16"/>
  <c r="Q168" i="16" s="1"/>
  <c r="P163" i="16"/>
  <c r="P168" i="16" s="1"/>
  <c r="O163" i="16"/>
  <c r="O168" i="16" s="1"/>
  <c r="N163" i="16"/>
  <c r="N168" i="16" s="1"/>
  <c r="M163" i="16"/>
  <c r="M168" i="16" s="1"/>
  <c r="L163" i="16"/>
  <c r="L168" i="16" s="1"/>
  <c r="K163" i="16"/>
  <c r="K168" i="16" s="1"/>
  <c r="J163" i="16"/>
  <c r="J168" i="16" s="1"/>
  <c r="I163" i="16"/>
  <c r="I168" i="16" s="1"/>
  <c r="H163" i="16"/>
  <c r="H168" i="16" s="1"/>
  <c r="G163" i="16"/>
  <c r="G168" i="16" s="1"/>
  <c r="F163" i="16"/>
  <c r="F168" i="16" s="1"/>
  <c r="E163" i="16"/>
  <c r="E168" i="16" s="1"/>
  <c r="D156" i="16"/>
  <c r="T150" i="16"/>
  <c r="BX149" i="16"/>
  <c r="BW149" i="16"/>
  <c r="BV149" i="16"/>
  <c r="BU149" i="16"/>
  <c r="BT149" i="16"/>
  <c r="BS149" i="16"/>
  <c r="BR149" i="16"/>
  <c r="BQ149" i="16"/>
  <c r="BP149" i="16"/>
  <c r="BO149" i="16"/>
  <c r="BN149" i="16"/>
  <c r="BM149" i="16"/>
  <c r="BL149" i="16"/>
  <c r="BK149" i="16"/>
  <c r="BJ149" i="16"/>
  <c r="BI149" i="16"/>
  <c r="BH149" i="16"/>
  <c r="BG149" i="16"/>
  <c r="BF149" i="16"/>
  <c r="BE149" i="16"/>
  <c r="BD149" i="16"/>
  <c r="BC149" i="16"/>
  <c r="BB149" i="16"/>
  <c r="BA149" i="16"/>
  <c r="AZ149" i="16"/>
  <c r="AY149" i="16"/>
  <c r="AX149" i="16"/>
  <c r="AW149" i="16"/>
  <c r="AV149" i="16"/>
  <c r="AU149" i="16"/>
  <c r="AT149" i="16"/>
  <c r="AS149" i="16"/>
  <c r="AR149" i="16"/>
  <c r="AQ149" i="16"/>
  <c r="AP149" i="16"/>
  <c r="AO149" i="16"/>
  <c r="AN149" i="16"/>
  <c r="AM149" i="16"/>
  <c r="AL149" i="16"/>
  <c r="AK149" i="16"/>
  <c r="AJ149" i="16"/>
  <c r="AI149" i="16"/>
  <c r="AH149" i="16"/>
  <c r="AG149" i="16"/>
  <c r="AF149" i="16"/>
  <c r="AE149" i="16"/>
  <c r="AD149" i="16"/>
  <c r="AC149" i="16"/>
  <c r="AB149" i="16"/>
  <c r="AA149" i="16"/>
  <c r="Z149" i="16"/>
  <c r="Y149" i="16"/>
  <c r="X149" i="16"/>
  <c r="W149" i="16"/>
  <c r="V149" i="16"/>
  <c r="U149" i="16"/>
  <c r="T149" i="16"/>
  <c r="S149" i="16"/>
  <c r="R149" i="16"/>
  <c r="Q149" i="16"/>
  <c r="P149" i="16"/>
  <c r="O149" i="16"/>
  <c r="N149" i="16"/>
  <c r="M149" i="16"/>
  <c r="L149" i="16"/>
  <c r="K149" i="16"/>
  <c r="K152" i="16" s="1"/>
  <c r="J149" i="16"/>
  <c r="I149" i="16"/>
  <c r="I152" i="16" s="1"/>
  <c r="H149" i="16"/>
  <c r="G149" i="16"/>
  <c r="F149" i="16"/>
  <c r="E149" i="16"/>
  <c r="BX147" i="16"/>
  <c r="BW147" i="16"/>
  <c r="BW152" i="16" s="1"/>
  <c r="BV147" i="16"/>
  <c r="BV152" i="16" s="1"/>
  <c r="BU147" i="16"/>
  <c r="BU152" i="16" s="1"/>
  <c r="BT147" i="16"/>
  <c r="BT152" i="16" s="1"/>
  <c r="BS147" i="16"/>
  <c r="BS152" i="16" s="1"/>
  <c r="BR147" i="16"/>
  <c r="BR152" i="16" s="1"/>
  <c r="BQ147" i="16"/>
  <c r="BQ152" i="16" s="1"/>
  <c r="BP147" i="16"/>
  <c r="BP152" i="16" s="1"/>
  <c r="BO147" i="16"/>
  <c r="BO152" i="16" s="1"/>
  <c r="BN147" i="16"/>
  <c r="BN152" i="16" s="1"/>
  <c r="BM147" i="16"/>
  <c r="BM152" i="16" s="1"/>
  <c r="BL147" i="16"/>
  <c r="BL152" i="16" s="1"/>
  <c r="BK147" i="16"/>
  <c r="BK152" i="16" s="1"/>
  <c r="BJ147" i="16"/>
  <c r="BJ152" i="16" s="1"/>
  <c r="BI147" i="16"/>
  <c r="BI152" i="16" s="1"/>
  <c r="BH147" i="16"/>
  <c r="BH152" i="16" s="1"/>
  <c r="BG147" i="16"/>
  <c r="BG152" i="16" s="1"/>
  <c r="BF147" i="16"/>
  <c r="BF152" i="16" s="1"/>
  <c r="BE147" i="16"/>
  <c r="BE152" i="16" s="1"/>
  <c r="BD147" i="16"/>
  <c r="BD152" i="16" s="1"/>
  <c r="BC147" i="16"/>
  <c r="BC152" i="16" s="1"/>
  <c r="BB147" i="16"/>
  <c r="BB152" i="16" s="1"/>
  <c r="BA147" i="16"/>
  <c r="BA152" i="16" s="1"/>
  <c r="AZ147" i="16"/>
  <c r="AZ152" i="16" s="1"/>
  <c r="AY147" i="16"/>
  <c r="AY152" i="16" s="1"/>
  <c r="AX147" i="16"/>
  <c r="AX152" i="16" s="1"/>
  <c r="AW147" i="16"/>
  <c r="AW152" i="16" s="1"/>
  <c r="AV147" i="16"/>
  <c r="AV152" i="16" s="1"/>
  <c r="AU147" i="16"/>
  <c r="AU152" i="16" s="1"/>
  <c r="AT147" i="16"/>
  <c r="AT152" i="16" s="1"/>
  <c r="AS147" i="16"/>
  <c r="AS152" i="16" s="1"/>
  <c r="AR147" i="16"/>
  <c r="AR152" i="16" s="1"/>
  <c r="AQ147" i="16"/>
  <c r="AQ152" i="16" s="1"/>
  <c r="AP147" i="16"/>
  <c r="AP152" i="16" s="1"/>
  <c r="AO147" i="16"/>
  <c r="AO152" i="16" s="1"/>
  <c r="AN147" i="16"/>
  <c r="AN152" i="16" s="1"/>
  <c r="AM147" i="16"/>
  <c r="AM152" i="16" s="1"/>
  <c r="AL147" i="16"/>
  <c r="AL152" i="16" s="1"/>
  <c r="AK147" i="16"/>
  <c r="AK152" i="16" s="1"/>
  <c r="AJ147" i="16"/>
  <c r="AJ152" i="16" s="1"/>
  <c r="AI147" i="16"/>
  <c r="AI152" i="16" s="1"/>
  <c r="AH147" i="16"/>
  <c r="AH152" i="16" s="1"/>
  <c r="AG147" i="16"/>
  <c r="AG152" i="16" s="1"/>
  <c r="AF147" i="16"/>
  <c r="AF152" i="16" s="1"/>
  <c r="AE147" i="16"/>
  <c r="AE152" i="16" s="1"/>
  <c r="AD147" i="16"/>
  <c r="AD152" i="16" s="1"/>
  <c r="AC147" i="16"/>
  <c r="AC152" i="16" s="1"/>
  <c r="AB147" i="16"/>
  <c r="AB152" i="16" s="1"/>
  <c r="AA147" i="16"/>
  <c r="AA152" i="16" s="1"/>
  <c r="Z147" i="16"/>
  <c r="Z152" i="16" s="1"/>
  <c r="Y147" i="16"/>
  <c r="Y152" i="16" s="1"/>
  <c r="X147" i="16"/>
  <c r="X152" i="16" s="1"/>
  <c r="W147" i="16"/>
  <c r="W152" i="16" s="1"/>
  <c r="V147" i="16"/>
  <c r="V152" i="16" s="1"/>
  <c r="U147" i="16"/>
  <c r="U152" i="16" s="1"/>
  <c r="S147" i="16"/>
  <c r="S152" i="16" s="1"/>
  <c r="O147" i="16"/>
  <c r="O152" i="16" s="1"/>
  <c r="N147" i="16"/>
  <c r="N152" i="16" s="1"/>
  <c r="M147" i="16"/>
  <c r="M152" i="16" s="1"/>
  <c r="J147" i="16"/>
  <c r="J152" i="16" s="1"/>
  <c r="H147" i="16"/>
  <c r="G147" i="16"/>
  <c r="G152" i="16" s="1"/>
  <c r="F147" i="16"/>
  <c r="F152" i="16" s="1"/>
  <c r="E147" i="16"/>
  <c r="E152" i="16" s="1"/>
  <c r="E153" i="16" s="1"/>
  <c r="F153" i="16" s="1"/>
  <c r="G153" i="16" s="1"/>
  <c r="D140" i="16"/>
  <c r="BX133" i="16"/>
  <c r="BW133" i="16"/>
  <c r="BV133" i="16"/>
  <c r="BU133" i="16"/>
  <c r="BT133" i="16"/>
  <c r="BS133" i="16"/>
  <c r="BR133" i="16"/>
  <c r="BQ133" i="16"/>
  <c r="BP133" i="16"/>
  <c r="BO133" i="16"/>
  <c r="BN133" i="16"/>
  <c r="BM133" i="16"/>
  <c r="BL133" i="16"/>
  <c r="BK133" i="16"/>
  <c r="BJ133" i="16"/>
  <c r="BI133" i="16"/>
  <c r="BH133" i="16"/>
  <c r="BG133" i="16"/>
  <c r="BF133" i="16"/>
  <c r="BE133" i="16"/>
  <c r="BD133" i="16"/>
  <c r="BC133" i="16"/>
  <c r="BB133" i="16"/>
  <c r="BA133" i="16"/>
  <c r="AZ133" i="16"/>
  <c r="AY133" i="16"/>
  <c r="AX133" i="16"/>
  <c r="AW133" i="16"/>
  <c r="AV133" i="16"/>
  <c r="AU133" i="16"/>
  <c r="AT133" i="16"/>
  <c r="AS133" i="16"/>
  <c r="AR133" i="16"/>
  <c r="AQ133" i="16"/>
  <c r="AP133" i="16"/>
  <c r="AO133" i="16"/>
  <c r="AN133" i="16"/>
  <c r="AM133" i="16"/>
  <c r="AL133" i="16"/>
  <c r="AK133" i="16"/>
  <c r="AJ133" i="16"/>
  <c r="AI133" i="16"/>
  <c r="AH133" i="16"/>
  <c r="AG133" i="16"/>
  <c r="AF133" i="16"/>
  <c r="AE133" i="16"/>
  <c r="AD133" i="16"/>
  <c r="AC133" i="16"/>
  <c r="AB133" i="16"/>
  <c r="Z133" i="16"/>
  <c r="Y133" i="16"/>
  <c r="X133" i="16"/>
  <c r="W133" i="16"/>
  <c r="V133" i="16"/>
  <c r="U133" i="16"/>
  <c r="T133" i="16"/>
  <c r="S133" i="16"/>
  <c r="R133" i="16"/>
  <c r="Q133" i="16"/>
  <c r="P133" i="16"/>
  <c r="O133" i="16"/>
  <c r="N133" i="16"/>
  <c r="M133" i="16"/>
  <c r="L133" i="16"/>
  <c r="K133" i="16"/>
  <c r="J133" i="16"/>
  <c r="I133" i="16"/>
  <c r="H133" i="16"/>
  <c r="G133" i="16"/>
  <c r="F133" i="16"/>
  <c r="E133" i="16"/>
  <c r="BX131" i="16"/>
  <c r="BW131" i="16"/>
  <c r="BW136" i="16" s="1"/>
  <c r="BV131" i="16"/>
  <c r="BV136" i="16" s="1"/>
  <c r="BU131" i="16"/>
  <c r="BU136" i="16" s="1"/>
  <c r="BT131" i="16"/>
  <c r="BT136" i="16" s="1"/>
  <c r="BS131" i="16"/>
  <c r="BS136" i="16" s="1"/>
  <c r="BR131" i="16"/>
  <c r="BR136" i="16" s="1"/>
  <c r="BQ131" i="16"/>
  <c r="BQ136" i="16" s="1"/>
  <c r="BP131" i="16"/>
  <c r="BP136" i="16" s="1"/>
  <c r="BO131" i="16"/>
  <c r="BO136" i="16" s="1"/>
  <c r="BN131" i="16"/>
  <c r="BN136" i="16" s="1"/>
  <c r="BM131" i="16"/>
  <c r="BM136" i="16" s="1"/>
  <c r="BL131" i="16"/>
  <c r="BL136" i="16" s="1"/>
  <c r="BK131" i="16"/>
  <c r="BK136" i="16" s="1"/>
  <c r="BJ131" i="16"/>
  <c r="BJ136" i="16" s="1"/>
  <c r="BI131" i="16"/>
  <c r="BI136" i="16" s="1"/>
  <c r="BH131" i="16"/>
  <c r="BH136" i="16" s="1"/>
  <c r="BG131" i="16"/>
  <c r="BG136" i="16" s="1"/>
  <c r="BF131" i="16"/>
  <c r="BF136" i="16" s="1"/>
  <c r="BE131" i="16"/>
  <c r="BE136" i="16" s="1"/>
  <c r="BD131" i="16"/>
  <c r="BD136" i="16" s="1"/>
  <c r="BC131" i="16"/>
  <c r="BC136" i="16" s="1"/>
  <c r="BB131" i="16"/>
  <c r="BB136" i="16" s="1"/>
  <c r="BA131" i="16"/>
  <c r="BA136" i="16" s="1"/>
  <c r="AZ131" i="16"/>
  <c r="AZ136" i="16" s="1"/>
  <c r="AY131" i="16"/>
  <c r="AY136" i="16" s="1"/>
  <c r="AX131" i="16"/>
  <c r="AX136" i="16" s="1"/>
  <c r="AW131" i="16"/>
  <c r="AW136" i="16" s="1"/>
  <c r="AV131" i="16"/>
  <c r="AV136" i="16" s="1"/>
  <c r="AU131" i="16"/>
  <c r="AU136" i="16" s="1"/>
  <c r="AT131" i="16"/>
  <c r="AT136" i="16" s="1"/>
  <c r="AS131" i="16"/>
  <c r="AS136" i="16" s="1"/>
  <c r="AR131" i="16"/>
  <c r="AR136" i="16" s="1"/>
  <c r="AQ131" i="16"/>
  <c r="AQ136" i="16" s="1"/>
  <c r="AP131" i="16"/>
  <c r="AP136" i="16" s="1"/>
  <c r="AO131" i="16"/>
  <c r="AO136" i="16" s="1"/>
  <c r="AN131" i="16"/>
  <c r="AN136" i="16" s="1"/>
  <c r="AM131" i="16"/>
  <c r="AM136" i="16" s="1"/>
  <c r="AL131" i="16"/>
  <c r="AL136" i="16" s="1"/>
  <c r="AK131" i="16"/>
  <c r="AK136" i="16" s="1"/>
  <c r="AJ131" i="16"/>
  <c r="AJ136" i="16" s="1"/>
  <c r="AI131" i="16"/>
  <c r="AI136" i="16" s="1"/>
  <c r="AH131" i="16"/>
  <c r="AH136" i="16" s="1"/>
  <c r="AG131" i="16"/>
  <c r="AG136" i="16" s="1"/>
  <c r="AF131" i="16"/>
  <c r="AF136" i="16" s="1"/>
  <c r="AE131" i="16"/>
  <c r="AE136" i="16" s="1"/>
  <c r="AD131" i="16"/>
  <c r="AD136" i="16" s="1"/>
  <c r="AC131" i="16"/>
  <c r="AC136" i="16" s="1"/>
  <c r="AB131" i="16"/>
  <c r="AB136" i="16" s="1"/>
  <c r="Z131" i="16"/>
  <c r="Z136" i="16" s="1"/>
  <c r="Y131" i="16"/>
  <c r="Y136" i="16" s="1"/>
  <c r="X131" i="16"/>
  <c r="X136" i="16" s="1"/>
  <c r="W131" i="16"/>
  <c r="W136" i="16" s="1"/>
  <c r="V131" i="16"/>
  <c r="V136" i="16" s="1"/>
  <c r="U131" i="16"/>
  <c r="U136" i="16" s="1"/>
  <c r="T131" i="16"/>
  <c r="S131" i="16"/>
  <c r="S136" i="16" s="1"/>
  <c r="R131" i="16"/>
  <c r="R136" i="16" s="1"/>
  <c r="Q131" i="16"/>
  <c r="Q136" i="16" s="1"/>
  <c r="N131" i="16"/>
  <c r="N136" i="16" s="1"/>
  <c r="K131" i="16"/>
  <c r="K136" i="16" s="1"/>
  <c r="J131" i="16"/>
  <c r="J136" i="16" s="1"/>
  <c r="I131" i="16"/>
  <c r="I136" i="16" s="1"/>
  <c r="H131" i="16"/>
  <c r="H136" i="16" s="1"/>
  <c r="G131" i="16"/>
  <c r="G136" i="16" s="1"/>
  <c r="F131" i="16"/>
  <c r="F136" i="16" s="1"/>
  <c r="E131" i="16"/>
  <c r="BX115" i="16"/>
  <c r="BW115" i="16"/>
  <c r="BV115" i="16"/>
  <c r="BU115" i="16"/>
  <c r="BT115" i="16"/>
  <c r="BS115" i="16"/>
  <c r="BR115" i="16"/>
  <c r="BQ115" i="16"/>
  <c r="BP115" i="16"/>
  <c r="BO115" i="16"/>
  <c r="BN115" i="16"/>
  <c r="BM115" i="16"/>
  <c r="BL115" i="16"/>
  <c r="BK115" i="16"/>
  <c r="BJ115" i="16"/>
  <c r="BI115" i="16"/>
  <c r="BH115" i="16"/>
  <c r="BG115" i="16"/>
  <c r="BF115" i="16"/>
  <c r="BE115" i="16"/>
  <c r="BD115" i="16"/>
  <c r="BC115" i="16"/>
  <c r="BB115" i="16"/>
  <c r="BA115" i="16"/>
  <c r="AZ115" i="16"/>
  <c r="AY115" i="16"/>
  <c r="AX115" i="16"/>
  <c r="AW115" i="16"/>
  <c r="AV115" i="16"/>
  <c r="AU115" i="16"/>
  <c r="AT115" i="16"/>
  <c r="AS115" i="16"/>
  <c r="AR115" i="16"/>
  <c r="AQ115" i="16"/>
  <c r="AP115" i="16"/>
  <c r="AO115" i="16"/>
  <c r="AN115" i="16"/>
  <c r="AM115" i="16"/>
  <c r="AL115" i="16"/>
  <c r="AK115" i="16"/>
  <c r="AJ115" i="16"/>
  <c r="AI115" i="16"/>
  <c r="AH115" i="16"/>
  <c r="AG115" i="16"/>
  <c r="AF115" i="16"/>
  <c r="AE115" i="16"/>
  <c r="AD115" i="16"/>
  <c r="AC115" i="16"/>
  <c r="AB115" i="16"/>
  <c r="Z115" i="16"/>
  <c r="Y115" i="16"/>
  <c r="X115" i="16"/>
  <c r="W115" i="16"/>
  <c r="V115" i="16"/>
  <c r="U115" i="16"/>
  <c r="T115" i="16"/>
  <c r="S115" i="16"/>
  <c r="R115" i="16"/>
  <c r="Q115" i="16"/>
  <c r="P115" i="16"/>
  <c r="O115" i="16"/>
  <c r="N115" i="16"/>
  <c r="M115" i="16"/>
  <c r="L115" i="16"/>
  <c r="K115" i="16"/>
  <c r="J115" i="16"/>
  <c r="I115" i="16"/>
  <c r="H115" i="16"/>
  <c r="G115" i="16"/>
  <c r="F115" i="16"/>
  <c r="E115" i="16"/>
  <c r="H114" i="16"/>
  <c r="D122" i="16" s="1"/>
  <c r="BX113" i="16"/>
  <c r="BW113" i="16"/>
  <c r="BW119" i="16" s="1"/>
  <c r="BV113" i="16"/>
  <c r="BV119" i="16" s="1"/>
  <c r="BU113" i="16"/>
  <c r="BU119" i="16" s="1"/>
  <c r="BT113" i="16"/>
  <c r="BT119" i="16" s="1"/>
  <c r="BS113" i="16"/>
  <c r="BS119" i="16" s="1"/>
  <c r="BR113" i="16"/>
  <c r="BR119" i="16" s="1"/>
  <c r="BQ113" i="16"/>
  <c r="BQ119" i="16" s="1"/>
  <c r="BP113" i="16"/>
  <c r="BP119" i="16" s="1"/>
  <c r="BO113" i="16"/>
  <c r="BO119" i="16" s="1"/>
  <c r="BN113" i="16"/>
  <c r="BN119" i="16" s="1"/>
  <c r="BM113" i="16"/>
  <c r="BM119" i="16" s="1"/>
  <c r="BL113" i="16"/>
  <c r="BL119" i="16" s="1"/>
  <c r="BK113" i="16"/>
  <c r="BK119" i="16" s="1"/>
  <c r="BJ113" i="16"/>
  <c r="BJ119" i="16" s="1"/>
  <c r="BI113" i="16"/>
  <c r="BI119" i="16" s="1"/>
  <c r="BH113" i="16"/>
  <c r="BH119" i="16" s="1"/>
  <c r="BG113" i="16"/>
  <c r="BG119" i="16" s="1"/>
  <c r="BF113" i="16"/>
  <c r="BF119" i="16" s="1"/>
  <c r="BE113" i="16"/>
  <c r="BE119" i="16" s="1"/>
  <c r="BD113" i="16"/>
  <c r="BD119" i="16" s="1"/>
  <c r="BC113" i="16"/>
  <c r="BC119" i="16" s="1"/>
  <c r="BB113" i="16"/>
  <c r="BB119" i="16" s="1"/>
  <c r="BA113" i="16"/>
  <c r="BA119" i="16" s="1"/>
  <c r="AZ113" i="16"/>
  <c r="AZ119" i="16" s="1"/>
  <c r="AY113" i="16"/>
  <c r="AY119" i="16" s="1"/>
  <c r="AX113" i="16"/>
  <c r="AX119" i="16" s="1"/>
  <c r="AW113" i="16"/>
  <c r="AW119" i="16" s="1"/>
  <c r="AV113" i="16"/>
  <c r="AV119" i="16" s="1"/>
  <c r="AU113" i="16"/>
  <c r="AU119" i="16" s="1"/>
  <c r="AT113" i="16"/>
  <c r="AT119" i="16" s="1"/>
  <c r="AS113" i="16"/>
  <c r="AS119" i="16" s="1"/>
  <c r="AR113" i="16"/>
  <c r="AR119" i="16" s="1"/>
  <c r="AQ113" i="16"/>
  <c r="AQ119" i="16" s="1"/>
  <c r="AP113" i="16"/>
  <c r="AP119" i="16" s="1"/>
  <c r="AO113" i="16"/>
  <c r="AO119" i="16" s="1"/>
  <c r="AN113" i="16"/>
  <c r="AN119" i="16" s="1"/>
  <c r="AM113" i="16"/>
  <c r="AM119" i="16" s="1"/>
  <c r="AL113" i="16"/>
  <c r="AL119" i="16" s="1"/>
  <c r="AK113" i="16"/>
  <c r="AK119" i="16" s="1"/>
  <c r="AJ113" i="16"/>
  <c r="AJ119" i="16" s="1"/>
  <c r="AI113" i="16"/>
  <c r="AI119" i="16" s="1"/>
  <c r="AH113" i="16"/>
  <c r="AH119" i="16" s="1"/>
  <c r="AG113" i="16"/>
  <c r="AG119" i="16" s="1"/>
  <c r="AF113" i="16"/>
  <c r="AF119" i="16" s="1"/>
  <c r="AE113" i="16"/>
  <c r="AE119" i="16" s="1"/>
  <c r="AD113" i="16"/>
  <c r="AD119" i="16" s="1"/>
  <c r="AC113" i="16"/>
  <c r="AC119" i="16" s="1"/>
  <c r="AB113" i="16"/>
  <c r="AB119" i="16" s="1"/>
  <c r="Z113" i="16"/>
  <c r="Z119" i="16" s="1"/>
  <c r="Y113" i="16"/>
  <c r="Y119" i="16" s="1"/>
  <c r="X113" i="16"/>
  <c r="X119" i="16" s="1"/>
  <c r="W113" i="16"/>
  <c r="W119" i="16" s="1"/>
  <c r="V113" i="16"/>
  <c r="V119" i="16" s="1"/>
  <c r="U113" i="16"/>
  <c r="U119" i="16" s="1"/>
  <c r="T113" i="16"/>
  <c r="S113" i="16"/>
  <c r="S119" i="16" s="1"/>
  <c r="R113" i="16"/>
  <c r="R119" i="16" s="1"/>
  <c r="Q113" i="16"/>
  <c r="Q119" i="16" s="1"/>
  <c r="N113" i="16"/>
  <c r="N119" i="16" s="1"/>
  <c r="K113" i="16"/>
  <c r="K119" i="16" s="1"/>
  <c r="J113" i="16"/>
  <c r="J119" i="16" s="1"/>
  <c r="I113" i="16"/>
  <c r="I119" i="16" s="1"/>
  <c r="H113" i="16"/>
  <c r="G113" i="16"/>
  <c r="G119" i="16" s="1"/>
  <c r="F113" i="16"/>
  <c r="F119" i="16" s="1"/>
  <c r="E113" i="16"/>
  <c r="E119" i="16" s="1"/>
  <c r="BW105" i="16"/>
  <c r="BV105" i="16"/>
  <c r="BU105" i="16"/>
  <c r="BT105" i="16"/>
  <c r="BS105" i="16"/>
  <c r="BR105" i="16"/>
  <c r="BQ105" i="16"/>
  <c r="BP105" i="16"/>
  <c r="BO105" i="16"/>
  <c r="BN105" i="16"/>
  <c r="BM105" i="16"/>
  <c r="BL105" i="16"/>
  <c r="BK105" i="16"/>
  <c r="BJ105" i="16"/>
  <c r="BI105" i="16"/>
  <c r="BH105" i="16"/>
  <c r="BG105" i="16"/>
  <c r="BF105" i="16"/>
  <c r="BE105" i="16"/>
  <c r="BD105" i="16"/>
  <c r="BC105" i="16"/>
  <c r="BB105" i="16"/>
  <c r="BA105" i="16"/>
  <c r="AZ105" i="16"/>
  <c r="AY105" i="16"/>
  <c r="AX105" i="16"/>
  <c r="AW105" i="16"/>
  <c r="AV105" i="16"/>
  <c r="AU105" i="16"/>
  <c r="AT105" i="16"/>
  <c r="AS105" i="16"/>
  <c r="AR105" i="16"/>
  <c r="AQ105" i="16"/>
  <c r="AP105" i="16"/>
  <c r="AO105" i="16"/>
  <c r="AN105" i="16"/>
  <c r="AM105" i="16"/>
  <c r="AL105" i="16"/>
  <c r="AK105" i="16"/>
  <c r="AJ105" i="16"/>
  <c r="AI105" i="16"/>
  <c r="AH105" i="16"/>
  <c r="AG105" i="16"/>
  <c r="AF105" i="16"/>
  <c r="AE105" i="16"/>
  <c r="AD105" i="16"/>
  <c r="AC105" i="16"/>
  <c r="AB105" i="16"/>
  <c r="Z105" i="16"/>
  <c r="Y105" i="16"/>
  <c r="X105" i="16"/>
  <c r="W105" i="16"/>
  <c r="V105" i="16"/>
  <c r="U105" i="16"/>
  <c r="T105" i="16"/>
  <c r="S105" i="16"/>
  <c r="R105" i="16"/>
  <c r="Q105" i="16"/>
  <c r="N105" i="16"/>
  <c r="K105" i="16"/>
  <c r="J105" i="16"/>
  <c r="I105" i="16"/>
  <c r="H105" i="16"/>
  <c r="G105" i="16"/>
  <c r="F105" i="16"/>
  <c r="E105" i="16"/>
  <c r="G101" i="16"/>
  <c r="BY95" i="16"/>
  <c r="BY94" i="16"/>
  <c r="AA93" i="16"/>
  <c r="BX90" i="16"/>
  <c r="BW90" i="16"/>
  <c r="BV90" i="16"/>
  <c r="BU90" i="16"/>
  <c r="BT90" i="16"/>
  <c r="BS90" i="16"/>
  <c r="BR90" i="16"/>
  <c r="BQ90" i="16"/>
  <c r="BP90" i="16"/>
  <c r="BO90" i="16"/>
  <c r="BN90" i="16"/>
  <c r="BM90" i="16"/>
  <c r="BL90" i="16"/>
  <c r="BK90" i="16"/>
  <c r="BJ90" i="16"/>
  <c r="BI90" i="16"/>
  <c r="BH90" i="16"/>
  <c r="BG90" i="16"/>
  <c r="BF90" i="16"/>
  <c r="BE90" i="16"/>
  <c r="BD90" i="16"/>
  <c r="BC90" i="16"/>
  <c r="BB90" i="16"/>
  <c r="BA90" i="16"/>
  <c r="AZ90" i="16"/>
  <c r="AY90" i="16"/>
  <c r="AX90" i="16"/>
  <c r="AW90" i="16"/>
  <c r="AV90" i="16"/>
  <c r="AU90" i="16"/>
  <c r="AT90" i="16"/>
  <c r="AS90" i="16"/>
  <c r="AR90" i="16"/>
  <c r="AQ90" i="16"/>
  <c r="AP90" i="16"/>
  <c r="AO90" i="16"/>
  <c r="AN90" i="16"/>
  <c r="AM90" i="16"/>
  <c r="AL90" i="16"/>
  <c r="AK90" i="16"/>
  <c r="AJ90" i="16"/>
  <c r="AI90" i="16"/>
  <c r="AH90" i="16"/>
  <c r="AG90" i="16"/>
  <c r="AF90" i="16"/>
  <c r="AE90" i="16"/>
  <c r="AD90" i="16"/>
  <c r="AC90" i="16"/>
  <c r="AB90" i="16"/>
  <c r="Q90" i="16"/>
  <c r="P90" i="16"/>
  <c r="O90" i="16"/>
  <c r="N90" i="16"/>
  <c r="M90" i="16"/>
  <c r="L90" i="16"/>
  <c r="K90" i="16"/>
  <c r="J90" i="16"/>
  <c r="I90" i="16"/>
  <c r="H90" i="16"/>
  <c r="G90" i="16"/>
  <c r="F90" i="16"/>
  <c r="E90" i="16"/>
  <c r="BY89" i="16"/>
  <c r="BY88" i="16"/>
  <c r="BY87" i="16"/>
  <c r="BX87" i="16"/>
  <c r="BW87" i="16"/>
  <c r="BV87" i="16"/>
  <c r="BU87" i="16"/>
  <c r="BT87" i="16"/>
  <c r="BS87" i="16"/>
  <c r="BR87" i="16"/>
  <c r="BQ87" i="16"/>
  <c r="BP87" i="16"/>
  <c r="BO87" i="16"/>
  <c r="BN87" i="16"/>
  <c r="BM87" i="16"/>
  <c r="BL87" i="16"/>
  <c r="BK87" i="16"/>
  <c r="BJ87" i="16"/>
  <c r="BI87" i="16"/>
  <c r="BH87" i="16"/>
  <c r="BG87" i="16"/>
  <c r="BF87" i="16"/>
  <c r="BE87" i="16"/>
  <c r="BD87" i="16"/>
  <c r="BC87" i="16"/>
  <c r="BB87" i="16"/>
  <c r="BA87" i="16"/>
  <c r="AZ87" i="16"/>
  <c r="AY87" i="16"/>
  <c r="AX87" i="16"/>
  <c r="AW87" i="16"/>
  <c r="AV87" i="16"/>
  <c r="AU87" i="16"/>
  <c r="AT87" i="16"/>
  <c r="AS87" i="16"/>
  <c r="AR87" i="16"/>
  <c r="AQ87" i="16"/>
  <c r="AP87" i="16"/>
  <c r="AO87" i="16"/>
  <c r="AN87" i="16"/>
  <c r="AM87" i="16"/>
  <c r="AL87" i="16"/>
  <c r="AK87" i="16"/>
  <c r="AJ87" i="16"/>
  <c r="AI87" i="16"/>
  <c r="AH87" i="16"/>
  <c r="AG87" i="16"/>
  <c r="AF87" i="16"/>
  <c r="AE87" i="16"/>
  <c r="AD87" i="16"/>
  <c r="AC87" i="16"/>
  <c r="AB87" i="16"/>
  <c r="AA87" i="16"/>
  <c r="Z87" i="16"/>
  <c r="Y87" i="16"/>
  <c r="X87" i="16"/>
  <c r="W87" i="16"/>
  <c r="V87" i="16"/>
  <c r="U87" i="16"/>
  <c r="T87" i="16"/>
  <c r="S87" i="16"/>
  <c r="R87" i="16"/>
  <c r="Q87" i="16"/>
  <c r="P87" i="16"/>
  <c r="O87" i="16"/>
  <c r="N87" i="16"/>
  <c r="M87" i="16"/>
  <c r="L87" i="16"/>
  <c r="K87" i="16"/>
  <c r="J87" i="16"/>
  <c r="I87" i="16"/>
  <c r="H87" i="16"/>
  <c r="G87" i="16"/>
  <c r="F87" i="16"/>
  <c r="E87" i="16"/>
  <c r="BY85" i="16"/>
  <c r="BY84" i="16"/>
  <c r="BY83" i="16"/>
  <c r="BY81" i="16"/>
  <c r="BY80" i="16"/>
  <c r="BY79" i="16"/>
  <c r="BY78" i="16"/>
  <c r="BY77" i="16"/>
  <c r="BY76" i="16"/>
  <c r="BY75" i="16"/>
  <c r="BY74" i="16"/>
  <c r="BY73" i="16"/>
  <c r="BY72" i="16"/>
  <c r="BY71" i="16"/>
  <c r="BY70" i="16"/>
  <c r="BY69" i="16"/>
  <c r="BY68" i="16"/>
  <c r="BY67" i="16"/>
  <c r="BY66" i="16"/>
  <c r="BY65" i="16"/>
  <c r="BY64" i="16"/>
  <c r="BX63" i="16"/>
  <c r="BW63" i="16"/>
  <c r="BV63" i="16"/>
  <c r="BU63" i="16"/>
  <c r="BT63" i="16"/>
  <c r="BS63" i="16"/>
  <c r="BR63" i="16"/>
  <c r="BQ63" i="16"/>
  <c r="BP63" i="16"/>
  <c r="BO63" i="16"/>
  <c r="BN63" i="16"/>
  <c r="BM63" i="16"/>
  <c r="BL63" i="16"/>
  <c r="BK63" i="16"/>
  <c r="BJ63" i="16"/>
  <c r="BI63" i="16"/>
  <c r="BH63" i="16"/>
  <c r="BG63" i="16"/>
  <c r="BF63" i="16"/>
  <c r="BE63" i="16"/>
  <c r="BD63" i="16"/>
  <c r="BC63" i="16"/>
  <c r="BB63" i="16"/>
  <c r="BA63" i="16"/>
  <c r="AZ63" i="16"/>
  <c r="AY63" i="16"/>
  <c r="AX63" i="16"/>
  <c r="AW63" i="16"/>
  <c r="AV63" i="16"/>
  <c r="AU63" i="16"/>
  <c r="AT63" i="16"/>
  <c r="AS63" i="16"/>
  <c r="AR63" i="16"/>
  <c r="AQ63" i="16"/>
  <c r="AP63" i="16"/>
  <c r="AO63" i="16"/>
  <c r="AN63" i="16"/>
  <c r="AM63" i="16"/>
  <c r="AL63" i="16"/>
  <c r="AK63" i="16"/>
  <c r="AJ63" i="16"/>
  <c r="AI63" i="16"/>
  <c r="AH63" i="16"/>
  <c r="AG63" i="16"/>
  <c r="AF63" i="16"/>
  <c r="AE63" i="16"/>
  <c r="AD63" i="16"/>
  <c r="AC63" i="16"/>
  <c r="AB63" i="16"/>
  <c r="P63" i="16"/>
  <c r="O63" i="16"/>
  <c r="N63" i="16"/>
  <c r="M63" i="16"/>
  <c r="L63" i="16"/>
  <c r="K63" i="16"/>
  <c r="J63" i="16"/>
  <c r="I63" i="16"/>
  <c r="H63" i="16"/>
  <c r="G63" i="16"/>
  <c r="F63" i="16"/>
  <c r="E63" i="16"/>
  <c r="O62" i="16"/>
  <c r="N62" i="16"/>
  <c r="M62" i="16"/>
  <c r="U61" i="16"/>
  <c r="BY60" i="16"/>
  <c r="BY59" i="16"/>
  <c r="BY58" i="16"/>
  <c r="BX55" i="16"/>
  <c r="BW55" i="16"/>
  <c r="BV55" i="16"/>
  <c r="BU55" i="16"/>
  <c r="BT55" i="16"/>
  <c r="BS55" i="16"/>
  <c r="BR55" i="16"/>
  <c r="BQ55" i="16"/>
  <c r="BP55" i="16"/>
  <c r="BO55" i="16"/>
  <c r="BN55" i="16"/>
  <c r="BM55" i="16"/>
  <c r="BL55" i="16"/>
  <c r="BK55" i="16"/>
  <c r="BJ55" i="16"/>
  <c r="BI55" i="16"/>
  <c r="BH55" i="16"/>
  <c r="BG55" i="16"/>
  <c r="BF55" i="16"/>
  <c r="BE55" i="16"/>
  <c r="BD55" i="16"/>
  <c r="BC55" i="16"/>
  <c r="BB55" i="16"/>
  <c r="BA55" i="16"/>
  <c r="AZ55" i="16"/>
  <c r="AY55" i="16"/>
  <c r="AX55" i="16"/>
  <c r="AW55" i="16"/>
  <c r="AV55" i="16"/>
  <c r="AU55" i="16"/>
  <c r="AT55" i="16"/>
  <c r="AS55" i="16"/>
  <c r="AR55" i="16"/>
  <c r="AQ55" i="16"/>
  <c r="AP55" i="16"/>
  <c r="AO55" i="16"/>
  <c r="AN55" i="16"/>
  <c r="AM55" i="16"/>
  <c r="AL55" i="16"/>
  <c r="AK55" i="16"/>
  <c r="AJ55" i="16"/>
  <c r="AI55" i="16"/>
  <c r="AH55" i="16"/>
  <c r="AG55" i="16"/>
  <c r="AF55" i="16"/>
  <c r="AE55" i="16"/>
  <c r="AD55" i="16"/>
  <c r="AC55" i="16"/>
  <c r="AB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O54" i="16"/>
  <c r="I54" i="16"/>
  <c r="BY54" i="16" s="1"/>
  <c r="AA53" i="16"/>
  <c r="Z53" i="16"/>
  <c r="Y53" i="16"/>
  <c r="X53" i="16"/>
  <c r="W53" i="16"/>
  <c r="V53" i="16"/>
  <c r="U53" i="16"/>
  <c r="T53" i="16"/>
  <c r="S53" i="16"/>
  <c r="R53" i="16"/>
  <c r="Q53" i="16"/>
  <c r="P53" i="16"/>
  <c r="N53" i="16"/>
  <c r="M53" i="16"/>
  <c r="L53" i="16"/>
  <c r="K53" i="16"/>
  <c r="J53" i="16"/>
  <c r="I53" i="16"/>
  <c r="H53" i="16"/>
  <c r="BY53" i="16" s="1"/>
  <c r="BY52" i="16"/>
  <c r="BY51" i="16"/>
  <c r="BY50" i="16"/>
  <c r="BY49" i="16"/>
  <c r="BX49" i="16"/>
  <c r="BW49" i="16"/>
  <c r="BV49" i="16"/>
  <c r="BU49" i="16"/>
  <c r="BT49" i="16"/>
  <c r="BS49" i="16"/>
  <c r="BR49" i="16"/>
  <c r="BQ49" i="16"/>
  <c r="BP49" i="16"/>
  <c r="BO49" i="16"/>
  <c r="BN49" i="16"/>
  <c r="BM49" i="16"/>
  <c r="BL49" i="16"/>
  <c r="BK49" i="16"/>
  <c r="BJ49" i="16"/>
  <c r="BI49" i="16"/>
  <c r="BH49" i="16"/>
  <c r="BG49" i="16"/>
  <c r="BF49" i="16"/>
  <c r="BE49" i="16"/>
  <c r="BD49" i="16"/>
  <c r="BC49" i="16"/>
  <c r="BB49" i="16"/>
  <c r="BA49" i="16"/>
  <c r="AZ49" i="16"/>
  <c r="AY49" i="16"/>
  <c r="AX49" i="16"/>
  <c r="AW49" i="16"/>
  <c r="AV49" i="16"/>
  <c r="AU49" i="16"/>
  <c r="AT49" i="16"/>
  <c r="AS49" i="16"/>
  <c r="AR49" i="16"/>
  <c r="AQ49" i="16"/>
  <c r="AP49" i="16"/>
  <c r="AO49" i="16"/>
  <c r="AN49" i="16"/>
  <c r="AM49" i="16"/>
  <c r="AL49" i="16"/>
  <c r="AK49" i="16"/>
  <c r="AJ49" i="16"/>
  <c r="AI49" i="16"/>
  <c r="AH49" i="16"/>
  <c r="AG49" i="16"/>
  <c r="AF49" i="16"/>
  <c r="AE49" i="16"/>
  <c r="AD49" i="16"/>
  <c r="AC49" i="16"/>
  <c r="AB49" i="16"/>
  <c r="AA49" i="16"/>
  <c r="Z49" i="16"/>
  <c r="Y49" i="16"/>
  <c r="X49" i="16"/>
  <c r="W49" i="16"/>
  <c r="V49" i="16"/>
  <c r="U49" i="16"/>
  <c r="T49" i="16"/>
  <c r="S49" i="16"/>
  <c r="R49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R48" i="16"/>
  <c r="K48" i="16"/>
  <c r="Y47" i="16"/>
  <c r="W47" i="16"/>
  <c r="S47" i="16"/>
  <c r="BY47" i="16" s="1"/>
  <c r="K46" i="16"/>
  <c r="I46" i="16"/>
  <c r="H46" i="16"/>
  <c r="AA45" i="16"/>
  <c r="Z45" i="16"/>
  <c r="Y45" i="16"/>
  <c r="X45" i="16"/>
  <c r="W45" i="16"/>
  <c r="V45" i="16"/>
  <c r="U45" i="16"/>
  <c r="T45" i="16"/>
  <c r="S45" i="16"/>
  <c r="R45" i="16"/>
  <c r="Q45" i="16"/>
  <c r="O45" i="16"/>
  <c r="N45" i="16"/>
  <c r="M45" i="16"/>
  <c r="L45" i="16"/>
  <c r="K45" i="16"/>
  <c r="J45" i="16"/>
  <c r="H45" i="16"/>
  <c r="Z44" i="16"/>
  <c r="R44" i="16"/>
  <c r="Q44" i="16"/>
  <c r="J44" i="16"/>
  <c r="H44" i="16"/>
  <c r="BY44" i="16" s="1"/>
  <c r="P43" i="16"/>
  <c r="O43" i="16"/>
  <c r="N43" i="16"/>
  <c r="M43" i="16"/>
  <c r="L43" i="16"/>
  <c r="K43" i="16"/>
  <c r="I43" i="16"/>
  <c r="H43" i="16"/>
  <c r="P42" i="16"/>
  <c r="O42" i="16"/>
  <c r="N42" i="16"/>
  <c r="M42" i="16"/>
  <c r="L42" i="16"/>
  <c r="K42" i="16"/>
  <c r="J42" i="16"/>
  <c r="I42" i="16"/>
  <c r="H42" i="16"/>
  <c r="Z41" i="16"/>
  <c r="Y41" i="16"/>
  <c r="X41" i="16"/>
  <c r="W41" i="16"/>
  <c r="V41" i="16"/>
  <c r="U41" i="16"/>
  <c r="T41" i="16"/>
  <c r="S41" i="16"/>
  <c r="R41" i="16"/>
  <c r="BY41" i="16" s="1"/>
  <c r="BY40" i="16"/>
  <c r="Z39" i="16"/>
  <c r="Y39" i="16"/>
  <c r="X39" i="16"/>
  <c r="W39" i="16"/>
  <c r="V39" i="16"/>
  <c r="U39" i="16"/>
  <c r="T39" i="16"/>
  <c r="S39" i="16"/>
  <c r="R39" i="16"/>
  <c r="BY39" i="16" s="1"/>
  <c r="P38" i="16"/>
  <c r="O38" i="16"/>
  <c r="M38" i="16"/>
  <c r="L38" i="16"/>
  <c r="J38" i="16"/>
  <c r="I38" i="16"/>
  <c r="BX37" i="16"/>
  <c r="BW37" i="16"/>
  <c r="BV37" i="16"/>
  <c r="BU37" i="16"/>
  <c r="BT37" i="16"/>
  <c r="BS37" i="16"/>
  <c r="BR37" i="16"/>
  <c r="BQ37" i="16"/>
  <c r="BP37" i="16"/>
  <c r="BO37" i="16"/>
  <c r="BN37" i="16"/>
  <c r="BM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Z37" i="16"/>
  <c r="AY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O37" i="16"/>
  <c r="N37" i="16"/>
  <c r="M37" i="16"/>
  <c r="L37" i="16"/>
  <c r="K37" i="16"/>
  <c r="J37" i="16"/>
  <c r="I37" i="16"/>
  <c r="H37" i="16"/>
  <c r="G37" i="16"/>
  <c r="F37" i="16"/>
  <c r="E37" i="16"/>
  <c r="BY36" i="16"/>
  <c r="BX34" i="16"/>
  <c r="BW34" i="16"/>
  <c r="BV34" i="16"/>
  <c r="BU34" i="16"/>
  <c r="BT34" i="16"/>
  <c r="BS34" i="16"/>
  <c r="BR34" i="16"/>
  <c r="BQ34" i="16"/>
  <c r="BP34" i="16"/>
  <c r="BO34" i="16"/>
  <c r="BN34" i="16"/>
  <c r="BM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Z34" i="16"/>
  <c r="AY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L34" i="16"/>
  <c r="AK34" i="16"/>
  <c r="AJ34" i="16"/>
  <c r="AI34" i="16"/>
  <c r="AH34" i="16"/>
  <c r="AG34" i="16"/>
  <c r="AF34" i="16"/>
  <c r="AE34" i="16"/>
  <c r="AD34" i="16"/>
  <c r="AC34" i="16"/>
  <c r="AB34" i="16"/>
  <c r="AA34" i="16"/>
  <c r="R34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Q32" i="16"/>
  <c r="I32" i="16"/>
  <c r="BY32" i="16" s="1"/>
  <c r="Z31" i="16"/>
  <c r="Y31" i="16"/>
  <c r="X31" i="16"/>
  <c r="W31" i="16"/>
  <c r="V31" i="16"/>
  <c r="U31" i="16"/>
  <c r="T31" i="16"/>
  <c r="S31" i="16"/>
  <c r="O31" i="16"/>
  <c r="N31" i="16"/>
  <c r="H31" i="16"/>
  <c r="BY31" i="16" s="1"/>
  <c r="U30" i="16"/>
  <c r="T30" i="16"/>
  <c r="S30" i="16"/>
  <c r="BY30" i="16" s="1"/>
  <c r="BY29" i="16"/>
  <c r="BY28" i="16"/>
  <c r="CG27" i="16"/>
  <c r="R27" i="16"/>
  <c r="P27" i="16"/>
  <c r="O27" i="16"/>
  <c r="N27" i="16"/>
  <c r="M27" i="16"/>
  <c r="L27" i="16"/>
  <c r="BX26" i="16"/>
  <c r="BW26" i="16"/>
  <c r="BV26" i="16"/>
  <c r="BU26" i="16"/>
  <c r="BT26" i="16"/>
  <c r="BS26" i="16"/>
  <c r="BR26" i="16"/>
  <c r="BQ26" i="16"/>
  <c r="BP26" i="16"/>
  <c r="BO26" i="16"/>
  <c r="BN26" i="16"/>
  <c r="BM26" i="16"/>
  <c r="BL26" i="16"/>
  <c r="BK26" i="16"/>
  <c r="BJ26" i="16"/>
  <c r="BI26" i="16"/>
  <c r="BH26" i="16"/>
  <c r="BG26" i="16"/>
  <c r="BF26" i="16"/>
  <c r="BE26" i="16"/>
  <c r="BD26" i="16"/>
  <c r="BC26" i="16"/>
  <c r="BB26" i="16"/>
  <c r="BA26" i="16"/>
  <c r="AZ26" i="16"/>
  <c r="AY26" i="16"/>
  <c r="AX26" i="16"/>
  <c r="AW26" i="16"/>
  <c r="AV26" i="16"/>
  <c r="AU26" i="16"/>
  <c r="AT26" i="16"/>
  <c r="AS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R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P25" i="16"/>
  <c r="BY25" i="16" s="1"/>
  <c r="CG24" i="16"/>
  <c r="R24" i="16"/>
  <c r="R147" i="16" s="1"/>
  <c r="R152" i="16" s="1"/>
  <c r="Q24" i="16"/>
  <c r="Q147" i="16" s="1"/>
  <c r="Q152" i="16" s="1"/>
  <c r="L24" i="16"/>
  <c r="L147" i="16" s="1"/>
  <c r="L152" i="16" s="1"/>
  <c r="I24" i="16"/>
  <c r="CE23" i="16"/>
  <c r="BX23" i="16"/>
  <c r="BW23" i="16"/>
  <c r="BV23" i="16"/>
  <c r="BU23" i="16"/>
  <c r="BT23" i="16"/>
  <c r="BS23" i="16"/>
  <c r="BR23" i="16"/>
  <c r="BQ23" i="16"/>
  <c r="BP23" i="16"/>
  <c r="BO23" i="16"/>
  <c r="BN23" i="16"/>
  <c r="BM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Z23" i="16"/>
  <c r="AY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X23" i="16"/>
  <c r="W23" i="16"/>
  <c r="V23" i="16"/>
  <c r="U23" i="16"/>
  <c r="T23" i="16"/>
  <c r="S23" i="16"/>
  <c r="R23" i="16"/>
  <c r="Q23" i="16"/>
  <c r="O23" i="16"/>
  <c r="N23" i="16"/>
  <c r="M23" i="16"/>
  <c r="L23" i="16"/>
  <c r="K23" i="16"/>
  <c r="J23" i="16"/>
  <c r="I23" i="16"/>
  <c r="H23" i="16"/>
  <c r="G23" i="16"/>
  <c r="F23" i="16"/>
  <c r="E23" i="16"/>
  <c r="BY22" i="16"/>
  <c r="BY21" i="16"/>
  <c r="BY20" i="16"/>
  <c r="BY19" i="16"/>
  <c r="J18" i="16"/>
  <c r="H18" i="16"/>
  <c r="BY18" i="16" s="1"/>
  <c r="BY17" i="16"/>
  <c r="BX17" i="16"/>
  <c r="BX98" i="16" s="1"/>
  <c r="BW17" i="16"/>
  <c r="BW98" i="16" s="1"/>
  <c r="BV17" i="16"/>
  <c r="BV98" i="16" s="1"/>
  <c r="BU17" i="16"/>
  <c r="BU98" i="16" s="1"/>
  <c r="BT17" i="16"/>
  <c r="BT98" i="16" s="1"/>
  <c r="BS17" i="16"/>
  <c r="BS98" i="16" s="1"/>
  <c r="BR17" i="16"/>
  <c r="BR98" i="16" s="1"/>
  <c r="BQ17" i="16"/>
  <c r="BQ98" i="16" s="1"/>
  <c r="BP17" i="16"/>
  <c r="BP98" i="16" s="1"/>
  <c r="BO17" i="16"/>
  <c r="BO98" i="16" s="1"/>
  <c r="BN17" i="16"/>
  <c r="BN98" i="16" s="1"/>
  <c r="BM17" i="16"/>
  <c r="BM98" i="16" s="1"/>
  <c r="BL17" i="16"/>
  <c r="BL98" i="16" s="1"/>
  <c r="BK17" i="16"/>
  <c r="BK98" i="16" s="1"/>
  <c r="BJ17" i="16"/>
  <c r="BJ98" i="16" s="1"/>
  <c r="BI17" i="16"/>
  <c r="BI98" i="16" s="1"/>
  <c r="BH17" i="16"/>
  <c r="BH98" i="16" s="1"/>
  <c r="BG17" i="16"/>
  <c r="BG98" i="16" s="1"/>
  <c r="BF17" i="16"/>
  <c r="BF98" i="16" s="1"/>
  <c r="BE17" i="16"/>
  <c r="BE98" i="16" s="1"/>
  <c r="BD17" i="16"/>
  <c r="BD98" i="16" s="1"/>
  <c r="BC17" i="16"/>
  <c r="BC98" i="16" s="1"/>
  <c r="BB17" i="16"/>
  <c r="BB98" i="16" s="1"/>
  <c r="BA17" i="16"/>
  <c r="BA98" i="16" s="1"/>
  <c r="AZ17" i="16"/>
  <c r="AZ98" i="16" s="1"/>
  <c r="AY17" i="16"/>
  <c r="AY98" i="16" s="1"/>
  <c r="AX17" i="16"/>
  <c r="AX98" i="16" s="1"/>
  <c r="AW17" i="16"/>
  <c r="AW98" i="16" s="1"/>
  <c r="AV17" i="16"/>
  <c r="AV98" i="16" s="1"/>
  <c r="AU17" i="16"/>
  <c r="AU98" i="16" s="1"/>
  <c r="AT17" i="16"/>
  <c r="AT98" i="16" s="1"/>
  <c r="AS17" i="16"/>
  <c r="AS98" i="16" s="1"/>
  <c r="AR17" i="16"/>
  <c r="AR98" i="16" s="1"/>
  <c r="AQ17" i="16"/>
  <c r="AQ98" i="16" s="1"/>
  <c r="AP17" i="16"/>
  <c r="AP98" i="16" s="1"/>
  <c r="AO17" i="16"/>
  <c r="AO98" i="16" s="1"/>
  <c r="AN17" i="16"/>
  <c r="AN98" i="16" s="1"/>
  <c r="AM17" i="16"/>
  <c r="AM98" i="16" s="1"/>
  <c r="AL17" i="16"/>
  <c r="AL98" i="16" s="1"/>
  <c r="AK17" i="16"/>
  <c r="AK98" i="16" s="1"/>
  <c r="AJ17" i="16"/>
  <c r="AJ98" i="16" s="1"/>
  <c r="AI17" i="16"/>
  <c r="AI98" i="16" s="1"/>
  <c r="AH17" i="16"/>
  <c r="AH98" i="16" s="1"/>
  <c r="AG17" i="16"/>
  <c r="AG98" i="16" s="1"/>
  <c r="AF17" i="16"/>
  <c r="AF98" i="16" s="1"/>
  <c r="AE17" i="16"/>
  <c r="AE98" i="16" s="1"/>
  <c r="AD17" i="16"/>
  <c r="AD98" i="16" s="1"/>
  <c r="AC17" i="16"/>
  <c r="AC98" i="16" s="1"/>
  <c r="AB17" i="16"/>
  <c r="AB98" i="16" s="1"/>
  <c r="AA17" i="16"/>
  <c r="Z17" i="16"/>
  <c r="Y17" i="16"/>
  <c r="X17" i="16"/>
  <c r="W17" i="16"/>
  <c r="V17" i="16"/>
  <c r="U17" i="16"/>
  <c r="T17" i="16"/>
  <c r="S17" i="16"/>
  <c r="R17" i="16"/>
  <c r="Q17" i="16"/>
  <c r="P17" i="16"/>
  <c r="O17" i="16"/>
  <c r="O98" i="16" s="1"/>
  <c r="N17" i="16"/>
  <c r="N98" i="16" s="1"/>
  <c r="M17" i="16"/>
  <c r="M98" i="16" s="1"/>
  <c r="L17" i="16"/>
  <c r="L98" i="16" s="1"/>
  <c r="K17" i="16"/>
  <c r="K98" i="16" s="1"/>
  <c r="J17" i="16"/>
  <c r="J98" i="16" s="1"/>
  <c r="I17" i="16"/>
  <c r="I98" i="16" s="1"/>
  <c r="H17" i="16"/>
  <c r="H98" i="16" s="1"/>
  <c r="H99" i="16" s="1"/>
  <c r="I99" i="16" s="1"/>
  <c r="J99" i="16" s="1"/>
  <c r="K99" i="16" s="1"/>
  <c r="L99" i="16" s="1"/>
  <c r="M99" i="16" s="1"/>
  <c r="N99" i="16" s="1"/>
  <c r="G17" i="16"/>
  <c r="G98" i="16" s="1"/>
  <c r="F17" i="16"/>
  <c r="F98" i="16" s="1"/>
  <c r="E17" i="16"/>
  <c r="E98" i="16" s="1"/>
  <c r="BX16" i="16"/>
  <c r="BX100" i="16" s="1"/>
  <c r="BW16" i="16"/>
  <c r="BW100" i="16" s="1"/>
  <c r="BV16" i="16"/>
  <c r="BV100" i="16" s="1"/>
  <c r="BU16" i="16"/>
  <c r="BU100" i="16" s="1"/>
  <c r="BT16" i="16"/>
  <c r="BT100" i="16" s="1"/>
  <c r="BS16" i="16"/>
  <c r="BS100" i="16" s="1"/>
  <c r="BR16" i="16"/>
  <c r="BR100" i="16" s="1"/>
  <c r="BQ16" i="16"/>
  <c r="BQ100" i="16" s="1"/>
  <c r="BP16" i="16"/>
  <c r="BP100" i="16" s="1"/>
  <c r="BO16" i="16"/>
  <c r="BO100" i="16" s="1"/>
  <c r="BN16" i="16"/>
  <c r="BN100" i="16" s="1"/>
  <c r="BM16" i="16"/>
  <c r="BM100" i="16" s="1"/>
  <c r="BL16" i="16"/>
  <c r="BL100" i="16" s="1"/>
  <c r="BK16" i="16"/>
  <c r="BK100" i="16" s="1"/>
  <c r="BJ16" i="16"/>
  <c r="BJ100" i="16" s="1"/>
  <c r="BI16" i="16"/>
  <c r="BI100" i="16" s="1"/>
  <c r="BH16" i="16"/>
  <c r="BH100" i="16" s="1"/>
  <c r="BG16" i="16"/>
  <c r="BG100" i="16" s="1"/>
  <c r="BF16" i="16"/>
  <c r="BF100" i="16" s="1"/>
  <c r="BE16" i="16"/>
  <c r="BE100" i="16" s="1"/>
  <c r="BD16" i="16"/>
  <c r="BD100" i="16" s="1"/>
  <c r="BC16" i="16"/>
  <c r="BC100" i="16" s="1"/>
  <c r="BB16" i="16"/>
  <c r="BB100" i="16" s="1"/>
  <c r="BA16" i="16"/>
  <c r="BA100" i="16" s="1"/>
  <c r="AZ16" i="16"/>
  <c r="AZ100" i="16" s="1"/>
  <c r="AY16" i="16"/>
  <c r="AY100" i="16" s="1"/>
  <c r="AX16" i="16"/>
  <c r="AX100" i="16" s="1"/>
  <c r="AW16" i="16"/>
  <c r="AW100" i="16" s="1"/>
  <c r="AV16" i="16"/>
  <c r="AV100" i="16" s="1"/>
  <c r="AU16" i="16"/>
  <c r="AU100" i="16" s="1"/>
  <c r="AT16" i="16"/>
  <c r="AT100" i="16" s="1"/>
  <c r="AS16" i="16"/>
  <c r="AS100" i="16" s="1"/>
  <c r="AR16" i="16"/>
  <c r="AR100" i="16" s="1"/>
  <c r="AQ16" i="16"/>
  <c r="AQ100" i="16" s="1"/>
  <c r="AP16" i="16"/>
  <c r="AP100" i="16" s="1"/>
  <c r="AO16" i="16"/>
  <c r="AO100" i="16" s="1"/>
  <c r="AN16" i="16"/>
  <c r="AN100" i="16" s="1"/>
  <c r="AM16" i="16"/>
  <c r="AM100" i="16" s="1"/>
  <c r="AL16" i="16"/>
  <c r="AL100" i="16" s="1"/>
  <c r="AK16" i="16"/>
  <c r="AK100" i="16" s="1"/>
  <c r="AJ16" i="16"/>
  <c r="AJ100" i="16" s="1"/>
  <c r="AI16" i="16"/>
  <c r="AI100" i="16" s="1"/>
  <c r="AH16" i="16"/>
  <c r="AH100" i="16" s="1"/>
  <c r="AG16" i="16"/>
  <c r="AG100" i="16" s="1"/>
  <c r="AF16" i="16"/>
  <c r="AF100" i="16" s="1"/>
  <c r="AE16" i="16"/>
  <c r="AE100" i="16" s="1"/>
  <c r="AD16" i="16"/>
  <c r="AD100" i="16" s="1"/>
  <c r="AC16" i="16"/>
  <c r="AC100" i="16" s="1"/>
  <c r="AB16" i="16"/>
  <c r="AB100" i="16" s="1"/>
  <c r="J16" i="16"/>
  <c r="J100" i="16" s="1"/>
  <c r="I16" i="16"/>
  <c r="I100" i="16" s="1"/>
  <c r="G16" i="16"/>
  <c r="G100" i="16" s="1"/>
  <c r="F16" i="16"/>
  <c r="F100" i="16" s="1"/>
  <c r="E16" i="16"/>
  <c r="E100" i="16" s="1"/>
  <c r="E101" i="16" s="1"/>
  <c r="Q15" i="16"/>
  <c r="CE14" i="16"/>
  <c r="CE15" i="16" s="1"/>
  <c r="Q14" i="16"/>
  <c r="P14" i="16"/>
  <c r="O14" i="16"/>
  <c r="M14" i="16"/>
  <c r="K14" i="16"/>
  <c r="CH11" i="16"/>
  <c r="P11" i="16"/>
  <c r="O11" i="16"/>
  <c r="N11" i="16"/>
  <c r="N16" i="16" s="1"/>
  <c r="N100" i="16" s="1"/>
  <c r="M11" i="16"/>
  <c r="Z10" i="16"/>
  <c r="Y10" i="16"/>
  <c r="X10" i="16"/>
  <c r="W10" i="16"/>
  <c r="V10" i="16"/>
  <c r="U9" i="16"/>
  <c r="BY8" i="16"/>
  <c r="CB8" i="16" s="1"/>
  <c r="CA7" i="16"/>
  <c r="BY7" i="16"/>
  <c r="CB7" i="16" s="1"/>
  <c r="CA6" i="16"/>
  <c r="P6" i="16"/>
  <c r="O6" i="16"/>
  <c r="M6" i="16"/>
  <c r="L6" i="16"/>
  <c r="H5" i="16"/>
  <c r="D188" i="15"/>
  <c r="BX181" i="15"/>
  <c r="BW181" i="15"/>
  <c r="BV181" i="15"/>
  <c r="BU181" i="15"/>
  <c r="BT181" i="15"/>
  <c r="BS181" i="15"/>
  <c r="BR181" i="15"/>
  <c r="BQ181" i="15"/>
  <c r="BP181" i="15"/>
  <c r="BO181" i="15"/>
  <c r="BN181" i="15"/>
  <c r="BM181" i="15"/>
  <c r="BL181" i="15"/>
  <c r="BK181" i="15"/>
  <c r="BJ181" i="15"/>
  <c r="BI181" i="15"/>
  <c r="BH181" i="15"/>
  <c r="BG181" i="15"/>
  <c r="BF181" i="15"/>
  <c r="BE181" i="15"/>
  <c r="BD181" i="15"/>
  <c r="BC181" i="15"/>
  <c r="BB181" i="15"/>
  <c r="BA181" i="15"/>
  <c r="AZ181" i="15"/>
  <c r="AY181" i="15"/>
  <c r="AX181" i="15"/>
  <c r="AW181" i="15"/>
  <c r="AV181" i="15"/>
  <c r="AU181" i="15"/>
  <c r="AT181" i="15"/>
  <c r="AS181" i="15"/>
  <c r="AR181" i="15"/>
  <c r="AQ181" i="15"/>
  <c r="AP181" i="15"/>
  <c r="AO181" i="15"/>
  <c r="AN181" i="15"/>
  <c r="AM181" i="15"/>
  <c r="AL181" i="15"/>
  <c r="AK181" i="15"/>
  <c r="AJ181" i="15"/>
  <c r="AI181" i="15"/>
  <c r="AH181" i="15"/>
  <c r="AG181" i="15"/>
  <c r="AF181" i="15"/>
  <c r="AE181" i="15"/>
  <c r="AD181" i="15"/>
  <c r="AC181" i="15"/>
  <c r="AB181" i="15"/>
  <c r="AA181" i="15"/>
  <c r="Z181" i="15"/>
  <c r="Y181" i="15"/>
  <c r="X181" i="15"/>
  <c r="W181" i="15"/>
  <c r="V181" i="15"/>
  <c r="U181" i="15"/>
  <c r="T181" i="15"/>
  <c r="S181" i="15"/>
  <c r="S184" i="15" s="1"/>
  <c r="R181" i="15"/>
  <c r="R184" i="15" s="1"/>
  <c r="Q181" i="15"/>
  <c r="Q184" i="15" s="1"/>
  <c r="P181" i="15"/>
  <c r="P184" i="15" s="1"/>
  <c r="O181" i="15"/>
  <c r="O184" i="15" s="1"/>
  <c r="N181" i="15"/>
  <c r="N184" i="15" s="1"/>
  <c r="M181" i="15"/>
  <c r="M184" i="15" s="1"/>
  <c r="L181" i="15"/>
  <c r="L184" i="15" s="1"/>
  <c r="K181" i="15"/>
  <c r="K184" i="15" s="1"/>
  <c r="J181" i="15"/>
  <c r="J184" i="15" s="1"/>
  <c r="I181" i="15"/>
  <c r="I184" i="15" s="1"/>
  <c r="H181" i="15"/>
  <c r="G181" i="15"/>
  <c r="F181" i="15"/>
  <c r="E181" i="15"/>
  <c r="BX179" i="15"/>
  <c r="BW179" i="15"/>
  <c r="BW184" i="15" s="1"/>
  <c r="BV179" i="15"/>
  <c r="BV184" i="15" s="1"/>
  <c r="BU179" i="15"/>
  <c r="BU184" i="15" s="1"/>
  <c r="BT179" i="15"/>
  <c r="BT184" i="15" s="1"/>
  <c r="BS179" i="15"/>
  <c r="BS184" i="15" s="1"/>
  <c r="BR179" i="15"/>
  <c r="BR184" i="15" s="1"/>
  <c r="BQ179" i="15"/>
  <c r="BQ184" i="15" s="1"/>
  <c r="BP179" i="15"/>
  <c r="BP184" i="15" s="1"/>
  <c r="BO179" i="15"/>
  <c r="BO184" i="15" s="1"/>
  <c r="BN179" i="15"/>
  <c r="BN184" i="15" s="1"/>
  <c r="BM179" i="15"/>
  <c r="BM184" i="15" s="1"/>
  <c r="BL179" i="15"/>
  <c r="BL184" i="15" s="1"/>
  <c r="BK179" i="15"/>
  <c r="BK184" i="15" s="1"/>
  <c r="BJ179" i="15"/>
  <c r="BJ184" i="15" s="1"/>
  <c r="BI179" i="15"/>
  <c r="BI184" i="15" s="1"/>
  <c r="BH179" i="15"/>
  <c r="BH184" i="15" s="1"/>
  <c r="BG179" i="15"/>
  <c r="BG184" i="15" s="1"/>
  <c r="BF179" i="15"/>
  <c r="BF184" i="15" s="1"/>
  <c r="BE179" i="15"/>
  <c r="BE184" i="15" s="1"/>
  <c r="BD179" i="15"/>
  <c r="BD184" i="15" s="1"/>
  <c r="BC179" i="15"/>
  <c r="BC184" i="15" s="1"/>
  <c r="BB179" i="15"/>
  <c r="BB184" i="15" s="1"/>
  <c r="BA179" i="15"/>
  <c r="BA184" i="15" s="1"/>
  <c r="AZ179" i="15"/>
  <c r="AZ184" i="15" s="1"/>
  <c r="AY179" i="15"/>
  <c r="AY184" i="15" s="1"/>
  <c r="AX179" i="15"/>
  <c r="AX184" i="15" s="1"/>
  <c r="AW179" i="15"/>
  <c r="AW184" i="15" s="1"/>
  <c r="AV179" i="15"/>
  <c r="AV184" i="15" s="1"/>
  <c r="AU179" i="15"/>
  <c r="AU184" i="15" s="1"/>
  <c r="AT179" i="15"/>
  <c r="AT184" i="15" s="1"/>
  <c r="AS179" i="15"/>
  <c r="AS184" i="15" s="1"/>
  <c r="AR179" i="15"/>
  <c r="AR184" i="15" s="1"/>
  <c r="AQ179" i="15"/>
  <c r="AQ184" i="15" s="1"/>
  <c r="AP179" i="15"/>
  <c r="AP184" i="15" s="1"/>
  <c r="AO179" i="15"/>
  <c r="AO184" i="15" s="1"/>
  <c r="AN179" i="15"/>
  <c r="AN184" i="15" s="1"/>
  <c r="AM179" i="15"/>
  <c r="AM184" i="15" s="1"/>
  <c r="AL179" i="15"/>
  <c r="AL184" i="15" s="1"/>
  <c r="AK179" i="15"/>
  <c r="AK184" i="15" s="1"/>
  <c r="AJ179" i="15"/>
  <c r="AJ184" i="15" s="1"/>
  <c r="AI179" i="15"/>
  <c r="AI184" i="15" s="1"/>
  <c r="AH179" i="15"/>
  <c r="AH184" i="15" s="1"/>
  <c r="AG179" i="15"/>
  <c r="AG184" i="15" s="1"/>
  <c r="AF179" i="15"/>
  <c r="AF184" i="15" s="1"/>
  <c r="AE179" i="15"/>
  <c r="AE184" i="15" s="1"/>
  <c r="AD179" i="15"/>
  <c r="AD184" i="15" s="1"/>
  <c r="AC179" i="15"/>
  <c r="AC184" i="15" s="1"/>
  <c r="AB179" i="15"/>
  <c r="AB184" i="15" s="1"/>
  <c r="AA179" i="15"/>
  <c r="AA184" i="15" s="1"/>
  <c r="Z179" i="15"/>
  <c r="Z184" i="15" s="1"/>
  <c r="Y179" i="15"/>
  <c r="Y184" i="15" s="1"/>
  <c r="X179" i="15"/>
  <c r="X184" i="15" s="1"/>
  <c r="W179" i="15"/>
  <c r="W184" i="15" s="1"/>
  <c r="V179" i="15"/>
  <c r="V184" i="15" s="1"/>
  <c r="U179" i="15"/>
  <c r="U184" i="15" s="1"/>
  <c r="T179" i="15"/>
  <c r="H179" i="15"/>
  <c r="H184" i="15" s="1"/>
  <c r="G179" i="15"/>
  <c r="G184" i="15" s="1"/>
  <c r="F179" i="15"/>
  <c r="F184" i="15" s="1"/>
  <c r="E179" i="15"/>
  <c r="E184" i="15" s="1"/>
  <c r="D172" i="15"/>
  <c r="BX165" i="15"/>
  <c r="BW165" i="15"/>
  <c r="BV165" i="15"/>
  <c r="BU165" i="15"/>
  <c r="BT165" i="15"/>
  <c r="BS165" i="15"/>
  <c r="BR165" i="15"/>
  <c r="BQ165" i="15"/>
  <c r="BP165" i="15"/>
  <c r="BO165" i="15"/>
  <c r="BN165" i="15"/>
  <c r="BM165" i="15"/>
  <c r="BL165" i="15"/>
  <c r="BK165" i="15"/>
  <c r="BJ165" i="15"/>
  <c r="BI165" i="15"/>
  <c r="BH165" i="15"/>
  <c r="BG165" i="15"/>
  <c r="BF165" i="15"/>
  <c r="BE165" i="15"/>
  <c r="BD165" i="15"/>
  <c r="BC165" i="15"/>
  <c r="BB165" i="15"/>
  <c r="BA165" i="15"/>
  <c r="AZ165" i="15"/>
  <c r="AY165" i="15"/>
  <c r="AX165" i="15"/>
  <c r="AW165" i="15"/>
  <c r="AV165" i="15"/>
  <c r="AU165" i="15"/>
  <c r="AT165" i="15"/>
  <c r="AS165" i="15"/>
  <c r="AR165" i="15"/>
  <c r="AQ165" i="15"/>
  <c r="AP165" i="15"/>
  <c r="AO165" i="15"/>
  <c r="AN165" i="15"/>
  <c r="AM165" i="15"/>
  <c r="AL165" i="15"/>
  <c r="AK165" i="15"/>
  <c r="AJ165" i="15"/>
  <c r="AI165" i="15"/>
  <c r="AH165" i="15"/>
  <c r="AG165" i="15"/>
  <c r="AF165" i="15"/>
  <c r="AE165" i="15"/>
  <c r="AD165" i="15"/>
  <c r="AC165" i="15"/>
  <c r="AB165" i="15"/>
  <c r="AA165" i="15"/>
  <c r="Z165" i="15"/>
  <c r="Y165" i="15"/>
  <c r="X165" i="15"/>
  <c r="W165" i="15"/>
  <c r="V165" i="15"/>
  <c r="U165" i="15"/>
  <c r="T165" i="15"/>
  <c r="S165" i="15"/>
  <c r="R165" i="15"/>
  <c r="Q165" i="15"/>
  <c r="P165" i="15"/>
  <c r="O165" i="15"/>
  <c r="N165" i="15"/>
  <c r="M165" i="15"/>
  <c r="L165" i="15"/>
  <c r="K165" i="15"/>
  <c r="J165" i="15"/>
  <c r="I165" i="15"/>
  <c r="H165" i="15"/>
  <c r="G165" i="15"/>
  <c r="F165" i="15"/>
  <c r="E165" i="15"/>
  <c r="BX163" i="15"/>
  <c r="BW163" i="15"/>
  <c r="BW168" i="15" s="1"/>
  <c r="BV163" i="15"/>
  <c r="BV168" i="15" s="1"/>
  <c r="BU163" i="15"/>
  <c r="BU168" i="15" s="1"/>
  <c r="BT163" i="15"/>
  <c r="BT168" i="15" s="1"/>
  <c r="BS163" i="15"/>
  <c r="BS168" i="15" s="1"/>
  <c r="BR163" i="15"/>
  <c r="BR168" i="15" s="1"/>
  <c r="BQ163" i="15"/>
  <c r="BQ168" i="15" s="1"/>
  <c r="BP163" i="15"/>
  <c r="BP168" i="15" s="1"/>
  <c r="BO163" i="15"/>
  <c r="BO168" i="15" s="1"/>
  <c r="BN163" i="15"/>
  <c r="BN168" i="15" s="1"/>
  <c r="BM163" i="15"/>
  <c r="BM168" i="15" s="1"/>
  <c r="BL163" i="15"/>
  <c r="BL168" i="15" s="1"/>
  <c r="BK163" i="15"/>
  <c r="BK168" i="15" s="1"/>
  <c r="BJ163" i="15"/>
  <c r="BJ168" i="15" s="1"/>
  <c r="BI163" i="15"/>
  <c r="BI168" i="15" s="1"/>
  <c r="BH163" i="15"/>
  <c r="BH168" i="15" s="1"/>
  <c r="BG163" i="15"/>
  <c r="BG168" i="15" s="1"/>
  <c r="BF163" i="15"/>
  <c r="BF168" i="15" s="1"/>
  <c r="BE163" i="15"/>
  <c r="BE168" i="15" s="1"/>
  <c r="BD163" i="15"/>
  <c r="BD168" i="15" s="1"/>
  <c r="BC163" i="15"/>
  <c r="BC168" i="15" s="1"/>
  <c r="BB163" i="15"/>
  <c r="BB168" i="15" s="1"/>
  <c r="BA163" i="15"/>
  <c r="BA168" i="15" s="1"/>
  <c r="AZ163" i="15"/>
  <c r="AZ168" i="15" s="1"/>
  <c r="AY163" i="15"/>
  <c r="AY168" i="15" s="1"/>
  <c r="AX163" i="15"/>
  <c r="AX168" i="15" s="1"/>
  <c r="AW163" i="15"/>
  <c r="AW168" i="15" s="1"/>
  <c r="AV163" i="15"/>
  <c r="AV168" i="15" s="1"/>
  <c r="AU163" i="15"/>
  <c r="AU168" i="15" s="1"/>
  <c r="AT163" i="15"/>
  <c r="AT168" i="15" s="1"/>
  <c r="AS163" i="15"/>
  <c r="AS168" i="15" s="1"/>
  <c r="AR163" i="15"/>
  <c r="AR168" i="15" s="1"/>
  <c r="AQ163" i="15"/>
  <c r="AQ168" i="15" s="1"/>
  <c r="AP163" i="15"/>
  <c r="AP168" i="15" s="1"/>
  <c r="AO163" i="15"/>
  <c r="AO168" i="15" s="1"/>
  <c r="AN163" i="15"/>
  <c r="AN168" i="15" s="1"/>
  <c r="AM163" i="15"/>
  <c r="AM168" i="15" s="1"/>
  <c r="AL163" i="15"/>
  <c r="AL168" i="15" s="1"/>
  <c r="AK163" i="15"/>
  <c r="AK168" i="15" s="1"/>
  <c r="AJ163" i="15"/>
  <c r="AJ168" i="15" s="1"/>
  <c r="AI163" i="15"/>
  <c r="AI168" i="15" s="1"/>
  <c r="AH163" i="15"/>
  <c r="AH168" i="15" s="1"/>
  <c r="AG163" i="15"/>
  <c r="AG168" i="15" s="1"/>
  <c r="AF163" i="15"/>
  <c r="AF168" i="15" s="1"/>
  <c r="AE163" i="15"/>
  <c r="AE168" i="15" s="1"/>
  <c r="AD163" i="15"/>
  <c r="AD168" i="15" s="1"/>
  <c r="AC163" i="15"/>
  <c r="AC168" i="15" s="1"/>
  <c r="AB163" i="15"/>
  <c r="AB168" i="15" s="1"/>
  <c r="Z163" i="15"/>
  <c r="Z168" i="15" s="1"/>
  <c r="Y163" i="15"/>
  <c r="Y168" i="15" s="1"/>
  <c r="X163" i="15"/>
  <c r="X168" i="15" s="1"/>
  <c r="W163" i="15"/>
  <c r="W168" i="15" s="1"/>
  <c r="V163" i="15"/>
  <c r="V168" i="15" s="1"/>
  <c r="U163" i="15"/>
  <c r="U168" i="15" s="1"/>
  <c r="T163" i="15"/>
  <c r="S163" i="15"/>
  <c r="S168" i="15" s="1"/>
  <c r="R163" i="15"/>
  <c r="R168" i="15" s="1"/>
  <c r="Q163" i="15"/>
  <c r="Q168" i="15" s="1"/>
  <c r="P163" i="15"/>
  <c r="P168" i="15" s="1"/>
  <c r="O163" i="15"/>
  <c r="O168" i="15" s="1"/>
  <c r="N163" i="15"/>
  <c r="N168" i="15" s="1"/>
  <c r="M163" i="15"/>
  <c r="M168" i="15" s="1"/>
  <c r="L163" i="15"/>
  <c r="L168" i="15" s="1"/>
  <c r="K163" i="15"/>
  <c r="K168" i="15" s="1"/>
  <c r="J163" i="15"/>
  <c r="J168" i="15" s="1"/>
  <c r="I163" i="15"/>
  <c r="I168" i="15" s="1"/>
  <c r="H163" i="15"/>
  <c r="H168" i="15" s="1"/>
  <c r="G163" i="15"/>
  <c r="G168" i="15" s="1"/>
  <c r="F163" i="15"/>
  <c r="F168" i="15" s="1"/>
  <c r="E163" i="15"/>
  <c r="E168" i="15" s="1"/>
  <c r="D156" i="15"/>
  <c r="T150" i="15"/>
  <c r="BX149" i="15"/>
  <c r="BW149" i="15"/>
  <c r="BV149" i="15"/>
  <c r="BU149" i="15"/>
  <c r="BT149" i="15"/>
  <c r="BS149" i="15"/>
  <c r="BR149" i="15"/>
  <c r="BQ149" i="15"/>
  <c r="BP149" i="15"/>
  <c r="BO149" i="15"/>
  <c r="BN149" i="15"/>
  <c r="BM149" i="15"/>
  <c r="BL149" i="15"/>
  <c r="BK149" i="15"/>
  <c r="BJ149" i="15"/>
  <c r="BI149" i="15"/>
  <c r="BH149" i="15"/>
  <c r="BG149" i="15"/>
  <c r="BF149" i="15"/>
  <c r="BE149" i="15"/>
  <c r="BD149" i="15"/>
  <c r="BC149" i="15"/>
  <c r="BB149" i="15"/>
  <c r="BA149" i="15"/>
  <c r="AZ149" i="15"/>
  <c r="AY149" i="15"/>
  <c r="AX149" i="15"/>
  <c r="AW149" i="15"/>
  <c r="AV149" i="15"/>
  <c r="AU149" i="15"/>
  <c r="AT149" i="15"/>
  <c r="AS149" i="15"/>
  <c r="AR149" i="15"/>
  <c r="AQ149" i="15"/>
  <c r="AP149" i="15"/>
  <c r="AO149" i="15"/>
  <c r="AN149" i="15"/>
  <c r="AM149" i="15"/>
  <c r="AL149" i="15"/>
  <c r="AK149" i="15"/>
  <c r="AJ149" i="15"/>
  <c r="AI149" i="15"/>
  <c r="AH149" i="15"/>
  <c r="AG149" i="15"/>
  <c r="AF149" i="15"/>
  <c r="AE149" i="15"/>
  <c r="AD149" i="15"/>
  <c r="AC149" i="15"/>
  <c r="AB149" i="15"/>
  <c r="AA149" i="15"/>
  <c r="Z149" i="15"/>
  <c r="Y149" i="15"/>
  <c r="X149" i="15"/>
  <c r="W149" i="15"/>
  <c r="V149" i="15"/>
  <c r="U149" i="15"/>
  <c r="T149" i="15"/>
  <c r="S149" i="15"/>
  <c r="R149" i="15"/>
  <c r="Q149" i="15"/>
  <c r="P149" i="15"/>
  <c r="O149" i="15"/>
  <c r="N149" i="15"/>
  <c r="M149" i="15"/>
  <c r="L149" i="15"/>
  <c r="K149" i="15"/>
  <c r="K152" i="15" s="1"/>
  <c r="J149" i="15"/>
  <c r="I149" i="15"/>
  <c r="I152" i="15" s="1"/>
  <c r="H149" i="15"/>
  <c r="G149" i="15"/>
  <c r="F149" i="15"/>
  <c r="E149" i="15"/>
  <c r="BX147" i="15"/>
  <c r="BW147" i="15"/>
  <c r="BW152" i="15" s="1"/>
  <c r="BV147" i="15"/>
  <c r="BV152" i="15" s="1"/>
  <c r="BU147" i="15"/>
  <c r="BU152" i="15" s="1"/>
  <c r="BT147" i="15"/>
  <c r="BT152" i="15" s="1"/>
  <c r="BS147" i="15"/>
  <c r="BS152" i="15" s="1"/>
  <c r="BR147" i="15"/>
  <c r="BR152" i="15" s="1"/>
  <c r="BQ147" i="15"/>
  <c r="BQ152" i="15" s="1"/>
  <c r="BP147" i="15"/>
  <c r="BP152" i="15" s="1"/>
  <c r="BO147" i="15"/>
  <c r="BO152" i="15" s="1"/>
  <c r="BN147" i="15"/>
  <c r="BN152" i="15" s="1"/>
  <c r="BM147" i="15"/>
  <c r="BM152" i="15" s="1"/>
  <c r="BL147" i="15"/>
  <c r="BL152" i="15" s="1"/>
  <c r="BK147" i="15"/>
  <c r="BK152" i="15" s="1"/>
  <c r="BJ147" i="15"/>
  <c r="BJ152" i="15" s="1"/>
  <c r="BI147" i="15"/>
  <c r="BI152" i="15" s="1"/>
  <c r="BH147" i="15"/>
  <c r="BH152" i="15" s="1"/>
  <c r="BG147" i="15"/>
  <c r="BG152" i="15" s="1"/>
  <c r="BF147" i="15"/>
  <c r="BF152" i="15" s="1"/>
  <c r="BE147" i="15"/>
  <c r="BE152" i="15" s="1"/>
  <c r="BD147" i="15"/>
  <c r="BD152" i="15" s="1"/>
  <c r="BC147" i="15"/>
  <c r="BC152" i="15" s="1"/>
  <c r="BB147" i="15"/>
  <c r="BB152" i="15" s="1"/>
  <c r="BA147" i="15"/>
  <c r="BA152" i="15" s="1"/>
  <c r="AZ147" i="15"/>
  <c r="AZ152" i="15" s="1"/>
  <c r="AY147" i="15"/>
  <c r="AY152" i="15" s="1"/>
  <c r="AX147" i="15"/>
  <c r="AX152" i="15" s="1"/>
  <c r="AW147" i="15"/>
  <c r="AW152" i="15" s="1"/>
  <c r="AV147" i="15"/>
  <c r="AV152" i="15" s="1"/>
  <c r="AU147" i="15"/>
  <c r="AU152" i="15" s="1"/>
  <c r="AT147" i="15"/>
  <c r="AT152" i="15" s="1"/>
  <c r="AS147" i="15"/>
  <c r="AS152" i="15" s="1"/>
  <c r="AR147" i="15"/>
  <c r="AR152" i="15" s="1"/>
  <c r="AQ147" i="15"/>
  <c r="AQ152" i="15" s="1"/>
  <c r="AP147" i="15"/>
  <c r="AP152" i="15" s="1"/>
  <c r="AO147" i="15"/>
  <c r="AO152" i="15" s="1"/>
  <c r="AN147" i="15"/>
  <c r="AN152" i="15" s="1"/>
  <c r="AM147" i="15"/>
  <c r="AM152" i="15" s="1"/>
  <c r="AL147" i="15"/>
  <c r="AL152" i="15" s="1"/>
  <c r="AK147" i="15"/>
  <c r="AK152" i="15" s="1"/>
  <c r="AJ147" i="15"/>
  <c r="AJ152" i="15" s="1"/>
  <c r="AI147" i="15"/>
  <c r="AI152" i="15" s="1"/>
  <c r="AH147" i="15"/>
  <c r="AH152" i="15" s="1"/>
  <c r="AG147" i="15"/>
  <c r="AG152" i="15" s="1"/>
  <c r="AF147" i="15"/>
  <c r="AF152" i="15" s="1"/>
  <c r="AE147" i="15"/>
  <c r="AE152" i="15" s="1"/>
  <c r="AD147" i="15"/>
  <c r="AD152" i="15" s="1"/>
  <c r="AC147" i="15"/>
  <c r="AC152" i="15" s="1"/>
  <c r="AB147" i="15"/>
  <c r="AB152" i="15" s="1"/>
  <c r="AA147" i="15"/>
  <c r="AA152" i="15" s="1"/>
  <c r="Z147" i="15"/>
  <c r="Z152" i="15" s="1"/>
  <c r="Y147" i="15"/>
  <c r="Y152" i="15" s="1"/>
  <c r="X147" i="15"/>
  <c r="X152" i="15" s="1"/>
  <c r="W147" i="15"/>
  <c r="W152" i="15" s="1"/>
  <c r="V147" i="15"/>
  <c r="V152" i="15" s="1"/>
  <c r="U147" i="15"/>
  <c r="U152" i="15" s="1"/>
  <c r="S147" i="15"/>
  <c r="S152" i="15" s="1"/>
  <c r="N147" i="15"/>
  <c r="N152" i="15" s="1"/>
  <c r="M147" i="15"/>
  <c r="M152" i="15" s="1"/>
  <c r="J147" i="15"/>
  <c r="J152" i="15" s="1"/>
  <c r="H147" i="15"/>
  <c r="G147" i="15"/>
  <c r="G152" i="15" s="1"/>
  <c r="F147" i="15"/>
  <c r="F152" i="15" s="1"/>
  <c r="E147" i="15"/>
  <c r="E152" i="15" s="1"/>
  <c r="E153" i="15" s="1"/>
  <c r="F153" i="15" s="1"/>
  <c r="G153" i="15" s="1"/>
  <c r="D140" i="15"/>
  <c r="BX133" i="15"/>
  <c r="BW133" i="15"/>
  <c r="BV133" i="15"/>
  <c r="BU133" i="15"/>
  <c r="BT133" i="15"/>
  <c r="BS133" i="15"/>
  <c r="BR133" i="15"/>
  <c r="BQ133" i="15"/>
  <c r="BP133" i="15"/>
  <c r="BO133" i="15"/>
  <c r="BN133" i="15"/>
  <c r="BM133" i="15"/>
  <c r="BL133" i="15"/>
  <c r="BK133" i="15"/>
  <c r="BJ133" i="15"/>
  <c r="BI133" i="15"/>
  <c r="BH133" i="15"/>
  <c r="BG133" i="15"/>
  <c r="BF133" i="15"/>
  <c r="BE133" i="15"/>
  <c r="BD133" i="15"/>
  <c r="BC133" i="15"/>
  <c r="BB133" i="15"/>
  <c r="BA133" i="15"/>
  <c r="AZ133" i="15"/>
  <c r="AY133" i="15"/>
  <c r="AX133" i="15"/>
  <c r="AW133" i="15"/>
  <c r="AV133" i="15"/>
  <c r="AU133" i="15"/>
  <c r="AT133" i="15"/>
  <c r="AS133" i="15"/>
  <c r="AR133" i="15"/>
  <c r="AQ133" i="15"/>
  <c r="AP133" i="15"/>
  <c r="AO133" i="15"/>
  <c r="AN133" i="15"/>
  <c r="AM133" i="15"/>
  <c r="AL133" i="15"/>
  <c r="AK133" i="15"/>
  <c r="AJ133" i="15"/>
  <c r="AI133" i="15"/>
  <c r="AH133" i="15"/>
  <c r="AG133" i="15"/>
  <c r="AF133" i="15"/>
  <c r="AE133" i="15"/>
  <c r="AD133" i="15"/>
  <c r="AC133" i="15"/>
  <c r="AB133" i="15"/>
  <c r="AA133" i="15"/>
  <c r="Z133" i="15"/>
  <c r="Y133" i="15"/>
  <c r="X133" i="15"/>
  <c r="W133" i="15"/>
  <c r="V133" i="15"/>
  <c r="U133" i="15"/>
  <c r="T133" i="15"/>
  <c r="S133" i="15"/>
  <c r="R133" i="15"/>
  <c r="Q133" i="15"/>
  <c r="P133" i="15"/>
  <c r="O133" i="15"/>
  <c r="N133" i="15"/>
  <c r="M133" i="15"/>
  <c r="L133" i="15"/>
  <c r="K133" i="15"/>
  <c r="J133" i="15"/>
  <c r="I133" i="15"/>
  <c r="H133" i="15"/>
  <c r="G133" i="15"/>
  <c r="F133" i="15"/>
  <c r="E133" i="15"/>
  <c r="BX131" i="15"/>
  <c r="BW131" i="15"/>
  <c r="BW136" i="15" s="1"/>
  <c r="BV131" i="15"/>
  <c r="BV136" i="15" s="1"/>
  <c r="BU131" i="15"/>
  <c r="BU136" i="15" s="1"/>
  <c r="BT131" i="15"/>
  <c r="BT136" i="15" s="1"/>
  <c r="BS131" i="15"/>
  <c r="BS136" i="15" s="1"/>
  <c r="BR131" i="15"/>
  <c r="BR136" i="15" s="1"/>
  <c r="BQ131" i="15"/>
  <c r="BQ136" i="15" s="1"/>
  <c r="BP131" i="15"/>
  <c r="BP136" i="15" s="1"/>
  <c r="BO131" i="15"/>
  <c r="BO136" i="15" s="1"/>
  <c r="BN131" i="15"/>
  <c r="BN136" i="15" s="1"/>
  <c r="BM131" i="15"/>
  <c r="BM136" i="15" s="1"/>
  <c r="BL131" i="15"/>
  <c r="BL136" i="15" s="1"/>
  <c r="BK131" i="15"/>
  <c r="BK136" i="15" s="1"/>
  <c r="BJ131" i="15"/>
  <c r="BJ136" i="15" s="1"/>
  <c r="BI131" i="15"/>
  <c r="BI136" i="15" s="1"/>
  <c r="BH131" i="15"/>
  <c r="BH136" i="15" s="1"/>
  <c r="BG131" i="15"/>
  <c r="BG136" i="15" s="1"/>
  <c r="BF131" i="15"/>
  <c r="BF136" i="15" s="1"/>
  <c r="BE131" i="15"/>
  <c r="BE136" i="15" s="1"/>
  <c r="BD131" i="15"/>
  <c r="BD136" i="15" s="1"/>
  <c r="BC131" i="15"/>
  <c r="BC136" i="15" s="1"/>
  <c r="BB131" i="15"/>
  <c r="BB136" i="15" s="1"/>
  <c r="BA131" i="15"/>
  <c r="BA136" i="15" s="1"/>
  <c r="AZ131" i="15"/>
  <c r="AZ136" i="15" s="1"/>
  <c r="AY131" i="15"/>
  <c r="AY136" i="15" s="1"/>
  <c r="AX131" i="15"/>
  <c r="AX136" i="15" s="1"/>
  <c r="AW131" i="15"/>
  <c r="AW136" i="15" s="1"/>
  <c r="AV131" i="15"/>
  <c r="AV136" i="15" s="1"/>
  <c r="AU131" i="15"/>
  <c r="AU136" i="15" s="1"/>
  <c r="AT131" i="15"/>
  <c r="AT136" i="15" s="1"/>
  <c r="AS131" i="15"/>
  <c r="AS136" i="15" s="1"/>
  <c r="AR131" i="15"/>
  <c r="AR136" i="15" s="1"/>
  <c r="AQ131" i="15"/>
  <c r="AQ136" i="15" s="1"/>
  <c r="AP131" i="15"/>
  <c r="AP136" i="15" s="1"/>
  <c r="AO131" i="15"/>
  <c r="AO136" i="15" s="1"/>
  <c r="AN131" i="15"/>
  <c r="AN136" i="15" s="1"/>
  <c r="AM131" i="15"/>
  <c r="AM136" i="15" s="1"/>
  <c r="AL131" i="15"/>
  <c r="AL136" i="15" s="1"/>
  <c r="AK131" i="15"/>
  <c r="AK136" i="15" s="1"/>
  <c r="AJ131" i="15"/>
  <c r="AJ136" i="15" s="1"/>
  <c r="AI131" i="15"/>
  <c r="AI136" i="15" s="1"/>
  <c r="AH131" i="15"/>
  <c r="AH136" i="15" s="1"/>
  <c r="AG131" i="15"/>
  <c r="AG136" i="15" s="1"/>
  <c r="AF131" i="15"/>
  <c r="AF136" i="15" s="1"/>
  <c r="AE131" i="15"/>
  <c r="AE136" i="15" s="1"/>
  <c r="AD131" i="15"/>
  <c r="AD136" i="15" s="1"/>
  <c r="AC131" i="15"/>
  <c r="AC136" i="15" s="1"/>
  <c r="AB131" i="15"/>
  <c r="AB136" i="15" s="1"/>
  <c r="Z131" i="15"/>
  <c r="Z136" i="15" s="1"/>
  <c r="Y131" i="15"/>
  <c r="Y136" i="15" s="1"/>
  <c r="X131" i="15"/>
  <c r="X136" i="15" s="1"/>
  <c r="W131" i="15"/>
  <c r="W136" i="15" s="1"/>
  <c r="V131" i="15"/>
  <c r="V136" i="15" s="1"/>
  <c r="U131" i="15"/>
  <c r="U136" i="15" s="1"/>
  <c r="T131" i="15"/>
  <c r="S131" i="15"/>
  <c r="S136" i="15" s="1"/>
  <c r="R131" i="15"/>
  <c r="R136" i="15" s="1"/>
  <c r="Q131" i="15"/>
  <c r="Q136" i="15" s="1"/>
  <c r="O131" i="15"/>
  <c r="O136" i="15" s="1"/>
  <c r="N131" i="15"/>
  <c r="N136" i="15" s="1"/>
  <c r="K131" i="15"/>
  <c r="K136" i="15" s="1"/>
  <c r="J131" i="15"/>
  <c r="J136" i="15" s="1"/>
  <c r="I131" i="15"/>
  <c r="I136" i="15" s="1"/>
  <c r="H131" i="15"/>
  <c r="H136" i="15" s="1"/>
  <c r="G131" i="15"/>
  <c r="G136" i="15" s="1"/>
  <c r="F131" i="15"/>
  <c r="F136" i="15" s="1"/>
  <c r="E131" i="15"/>
  <c r="BX115" i="15"/>
  <c r="BW115" i="15"/>
  <c r="BV115" i="15"/>
  <c r="BU115" i="15"/>
  <c r="BT115" i="15"/>
  <c r="BS115" i="15"/>
  <c r="BR115" i="15"/>
  <c r="BQ115" i="15"/>
  <c r="BP115" i="15"/>
  <c r="BO115" i="15"/>
  <c r="BN115" i="15"/>
  <c r="BM115" i="15"/>
  <c r="BL115" i="15"/>
  <c r="BK115" i="15"/>
  <c r="BJ115" i="15"/>
  <c r="BI115" i="15"/>
  <c r="BH115" i="15"/>
  <c r="BG115" i="15"/>
  <c r="BF115" i="15"/>
  <c r="BE115" i="15"/>
  <c r="BD115" i="15"/>
  <c r="BC115" i="15"/>
  <c r="BB115" i="15"/>
  <c r="BA115" i="15"/>
  <c r="AZ115" i="15"/>
  <c r="AY115" i="15"/>
  <c r="AX115" i="15"/>
  <c r="AW115" i="15"/>
  <c r="AV115" i="15"/>
  <c r="AU115" i="15"/>
  <c r="AT115" i="15"/>
  <c r="AS115" i="15"/>
  <c r="AR115" i="15"/>
  <c r="AQ115" i="15"/>
  <c r="AP115" i="15"/>
  <c r="AO115" i="15"/>
  <c r="AN115" i="15"/>
  <c r="AM115" i="15"/>
  <c r="AL115" i="15"/>
  <c r="AK115" i="15"/>
  <c r="AJ115" i="15"/>
  <c r="AI115" i="15"/>
  <c r="AH115" i="15"/>
  <c r="AG115" i="15"/>
  <c r="AF115" i="15"/>
  <c r="AE115" i="15"/>
  <c r="AD115" i="15"/>
  <c r="AC115" i="15"/>
  <c r="AB115" i="15"/>
  <c r="AA115" i="15"/>
  <c r="Z115" i="15"/>
  <c r="Y115" i="15"/>
  <c r="X115" i="15"/>
  <c r="W115" i="15"/>
  <c r="V115" i="15"/>
  <c r="U115" i="15"/>
  <c r="T115" i="15"/>
  <c r="S115" i="15"/>
  <c r="R115" i="15"/>
  <c r="Q115" i="15"/>
  <c r="P115" i="15"/>
  <c r="O115" i="15"/>
  <c r="N115" i="15"/>
  <c r="M115" i="15"/>
  <c r="L115" i="15"/>
  <c r="K115" i="15"/>
  <c r="J115" i="15"/>
  <c r="I115" i="15"/>
  <c r="H115" i="15"/>
  <c r="G115" i="15"/>
  <c r="F115" i="15"/>
  <c r="E115" i="15"/>
  <c r="H114" i="15"/>
  <c r="D122" i="15" s="1"/>
  <c r="BX113" i="15"/>
  <c r="BW113" i="15"/>
  <c r="BW119" i="15" s="1"/>
  <c r="BV113" i="15"/>
  <c r="BV119" i="15" s="1"/>
  <c r="BU113" i="15"/>
  <c r="BU119" i="15" s="1"/>
  <c r="BT113" i="15"/>
  <c r="BT119" i="15" s="1"/>
  <c r="BS113" i="15"/>
  <c r="BS119" i="15" s="1"/>
  <c r="BR113" i="15"/>
  <c r="BR119" i="15" s="1"/>
  <c r="BQ113" i="15"/>
  <c r="BQ119" i="15" s="1"/>
  <c r="BP113" i="15"/>
  <c r="BP119" i="15" s="1"/>
  <c r="BO113" i="15"/>
  <c r="BO119" i="15" s="1"/>
  <c r="BN113" i="15"/>
  <c r="BN119" i="15" s="1"/>
  <c r="BM113" i="15"/>
  <c r="BM119" i="15" s="1"/>
  <c r="BL113" i="15"/>
  <c r="BL119" i="15" s="1"/>
  <c r="BK113" i="15"/>
  <c r="BK119" i="15" s="1"/>
  <c r="BJ113" i="15"/>
  <c r="BJ119" i="15" s="1"/>
  <c r="BI113" i="15"/>
  <c r="BI119" i="15" s="1"/>
  <c r="BH113" i="15"/>
  <c r="BH119" i="15" s="1"/>
  <c r="BG113" i="15"/>
  <c r="BG119" i="15" s="1"/>
  <c r="BF113" i="15"/>
  <c r="BF119" i="15" s="1"/>
  <c r="BE113" i="15"/>
  <c r="BE119" i="15" s="1"/>
  <c r="BD113" i="15"/>
  <c r="BD119" i="15" s="1"/>
  <c r="BC113" i="15"/>
  <c r="BC119" i="15" s="1"/>
  <c r="BB113" i="15"/>
  <c r="BB119" i="15" s="1"/>
  <c r="BA113" i="15"/>
  <c r="BA119" i="15" s="1"/>
  <c r="AZ113" i="15"/>
  <c r="AZ119" i="15" s="1"/>
  <c r="AY113" i="15"/>
  <c r="AY119" i="15" s="1"/>
  <c r="AX113" i="15"/>
  <c r="AX119" i="15" s="1"/>
  <c r="AW113" i="15"/>
  <c r="AW119" i="15" s="1"/>
  <c r="AV113" i="15"/>
  <c r="AV119" i="15" s="1"/>
  <c r="AU113" i="15"/>
  <c r="AU119" i="15" s="1"/>
  <c r="AT113" i="15"/>
  <c r="AT119" i="15" s="1"/>
  <c r="AS113" i="15"/>
  <c r="AS119" i="15" s="1"/>
  <c r="AR113" i="15"/>
  <c r="AR119" i="15" s="1"/>
  <c r="AQ113" i="15"/>
  <c r="AQ119" i="15" s="1"/>
  <c r="AP113" i="15"/>
  <c r="AP119" i="15" s="1"/>
  <c r="AO113" i="15"/>
  <c r="AO119" i="15" s="1"/>
  <c r="AN113" i="15"/>
  <c r="AN119" i="15" s="1"/>
  <c r="AM113" i="15"/>
  <c r="AM119" i="15" s="1"/>
  <c r="AL113" i="15"/>
  <c r="AL119" i="15" s="1"/>
  <c r="AK113" i="15"/>
  <c r="AK119" i="15" s="1"/>
  <c r="AJ113" i="15"/>
  <c r="AJ119" i="15" s="1"/>
  <c r="AI113" i="15"/>
  <c r="AI119" i="15" s="1"/>
  <c r="AH113" i="15"/>
  <c r="AH119" i="15" s="1"/>
  <c r="AG113" i="15"/>
  <c r="AG119" i="15" s="1"/>
  <c r="AF113" i="15"/>
  <c r="AF119" i="15" s="1"/>
  <c r="AE113" i="15"/>
  <c r="AE119" i="15" s="1"/>
  <c r="AD113" i="15"/>
  <c r="AD119" i="15" s="1"/>
  <c r="AC113" i="15"/>
  <c r="AC119" i="15" s="1"/>
  <c r="AB113" i="15"/>
  <c r="AB119" i="15" s="1"/>
  <c r="Z113" i="15"/>
  <c r="Z119" i="15" s="1"/>
  <c r="Y113" i="15"/>
  <c r="Y119" i="15" s="1"/>
  <c r="X113" i="15"/>
  <c r="X119" i="15" s="1"/>
  <c r="W113" i="15"/>
  <c r="W119" i="15" s="1"/>
  <c r="V113" i="15"/>
  <c r="V119" i="15" s="1"/>
  <c r="U113" i="15"/>
  <c r="U119" i="15" s="1"/>
  <c r="T113" i="15"/>
  <c r="S113" i="15"/>
  <c r="S119" i="15" s="1"/>
  <c r="R113" i="15"/>
  <c r="R119" i="15" s="1"/>
  <c r="Q113" i="15"/>
  <c r="Q119" i="15" s="1"/>
  <c r="O113" i="15"/>
  <c r="O119" i="15" s="1"/>
  <c r="N113" i="15"/>
  <c r="N119" i="15" s="1"/>
  <c r="K113" i="15"/>
  <c r="K119" i="15" s="1"/>
  <c r="J113" i="15"/>
  <c r="J119" i="15" s="1"/>
  <c r="I113" i="15"/>
  <c r="I119" i="15" s="1"/>
  <c r="G113" i="15"/>
  <c r="G119" i="15" s="1"/>
  <c r="F113" i="15"/>
  <c r="F119" i="15" s="1"/>
  <c r="E113" i="15"/>
  <c r="E119" i="15" s="1"/>
  <c r="BW105" i="15"/>
  <c r="BV105" i="15"/>
  <c r="BU105" i="15"/>
  <c r="BT105" i="15"/>
  <c r="BS105" i="15"/>
  <c r="BR105" i="15"/>
  <c r="BQ105" i="15"/>
  <c r="BP105" i="15"/>
  <c r="BO105" i="15"/>
  <c r="BN105" i="15"/>
  <c r="BM105" i="15"/>
  <c r="BL105" i="15"/>
  <c r="BK105" i="15"/>
  <c r="BJ105" i="15"/>
  <c r="BI105" i="15"/>
  <c r="BH105" i="15"/>
  <c r="BG105" i="15"/>
  <c r="BF105" i="15"/>
  <c r="BE105" i="15"/>
  <c r="BD105" i="15"/>
  <c r="BC105" i="15"/>
  <c r="BB105" i="15"/>
  <c r="BA105" i="15"/>
  <c r="AZ105" i="15"/>
  <c r="AY105" i="15"/>
  <c r="AX105" i="15"/>
  <c r="AW105" i="15"/>
  <c r="AV105" i="15"/>
  <c r="AU105" i="15"/>
  <c r="AT105" i="15"/>
  <c r="AS105" i="15"/>
  <c r="AR105" i="15"/>
  <c r="AQ105" i="15"/>
  <c r="AP105" i="15"/>
  <c r="AO105" i="15"/>
  <c r="AN105" i="15"/>
  <c r="AM105" i="15"/>
  <c r="AL105" i="15"/>
  <c r="AK105" i="15"/>
  <c r="AJ105" i="15"/>
  <c r="AI105" i="15"/>
  <c r="AH105" i="15"/>
  <c r="AG105" i="15"/>
  <c r="AF105" i="15"/>
  <c r="AE105" i="15"/>
  <c r="AD105" i="15"/>
  <c r="AC105" i="15"/>
  <c r="AB105" i="15"/>
  <c r="Z105" i="15"/>
  <c r="Y105" i="15"/>
  <c r="X105" i="15"/>
  <c r="W105" i="15"/>
  <c r="V105" i="15"/>
  <c r="U105" i="15"/>
  <c r="T105" i="15"/>
  <c r="S105" i="15"/>
  <c r="R105" i="15"/>
  <c r="Q105" i="15"/>
  <c r="O105" i="15"/>
  <c r="N105" i="15"/>
  <c r="K105" i="15"/>
  <c r="J105" i="15"/>
  <c r="I105" i="15"/>
  <c r="G105" i="15"/>
  <c r="F105" i="15"/>
  <c r="E105" i="15"/>
  <c r="G101" i="15"/>
  <c r="BY96" i="15"/>
  <c r="BY95" i="15"/>
  <c r="BY94" i="15"/>
  <c r="AA93" i="15"/>
  <c r="BX90" i="15"/>
  <c r="BW90" i="15"/>
  <c r="BV90" i="15"/>
  <c r="BU90" i="15"/>
  <c r="BT90" i="15"/>
  <c r="BS90" i="15"/>
  <c r="BR90" i="15"/>
  <c r="BQ90" i="15"/>
  <c r="BP90" i="15"/>
  <c r="BO90" i="15"/>
  <c r="BN90" i="15"/>
  <c r="BM90" i="15"/>
  <c r="BL90" i="15"/>
  <c r="BK90" i="15"/>
  <c r="BJ90" i="15"/>
  <c r="BI90" i="15"/>
  <c r="BH90" i="15"/>
  <c r="BG90" i="15"/>
  <c r="BF90" i="15"/>
  <c r="BE90" i="15"/>
  <c r="BD90" i="15"/>
  <c r="BC90" i="15"/>
  <c r="BB90" i="15"/>
  <c r="BA90" i="15"/>
  <c r="AZ90" i="15"/>
  <c r="AY90" i="15"/>
  <c r="AX90" i="15"/>
  <c r="AW90" i="15"/>
  <c r="AV90" i="15"/>
  <c r="AU90" i="15"/>
  <c r="AT90" i="15"/>
  <c r="AS90" i="15"/>
  <c r="AR90" i="15"/>
  <c r="AQ90" i="15"/>
  <c r="AP90" i="15"/>
  <c r="AO90" i="15"/>
  <c r="AN90" i="15"/>
  <c r="AM90" i="15"/>
  <c r="AL90" i="15"/>
  <c r="AK90" i="15"/>
  <c r="AJ90" i="15"/>
  <c r="AI90" i="15"/>
  <c r="AH90" i="15"/>
  <c r="AG90" i="15"/>
  <c r="AF90" i="15"/>
  <c r="AE90" i="15"/>
  <c r="AD90" i="15"/>
  <c r="AC90" i="15"/>
  <c r="AB90" i="15"/>
  <c r="P90" i="15"/>
  <c r="O90" i="15"/>
  <c r="N90" i="15"/>
  <c r="M90" i="15"/>
  <c r="L90" i="15"/>
  <c r="K90" i="15"/>
  <c r="J90" i="15"/>
  <c r="I90" i="15"/>
  <c r="H90" i="15"/>
  <c r="G90" i="15"/>
  <c r="F90" i="15"/>
  <c r="E90" i="15"/>
  <c r="BY89" i="15"/>
  <c r="BY88" i="15"/>
  <c r="BY87" i="15"/>
  <c r="BX87" i="15"/>
  <c r="BW87" i="15"/>
  <c r="BV87" i="15"/>
  <c r="BU87" i="15"/>
  <c r="BT87" i="15"/>
  <c r="BS87" i="15"/>
  <c r="BR87" i="15"/>
  <c r="BQ87" i="15"/>
  <c r="BP87" i="15"/>
  <c r="BO87" i="15"/>
  <c r="BN87" i="15"/>
  <c r="BM87" i="15"/>
  <c r="BL87" i="15"/>
  <c r="BK87" i="15"/>
  <c r="BJ87" i="15"/>
  <c r="BI87" i="15"/>
  <c r="BH87" i="15"/>
  <c r="BG87" i="15"/>
  <c r="BF87" i="15"/>
  <c r="BE87" i="15"/>
  <c r="BD87" i="15"/>
  <c r="BC87" i="15"/>
  <c r="BB87" i="15"/>
  <c r="BA87" i="15"/>
  <c r="AZ87" i="15"/>
  <c r="AY87" i="15"/>
  <c r="AX87" i="15"/>
  <c r="AW87" i="15"/>
  <c r="AV87" i="15"/>
  <c r="AU87" i="15"/>
  <c r="AT87" i="15"/>
  <c r="AS87" i="15"/>
  <c r="AR87" i="15"/>
  <c r="AQ87" i="15"/>
  <c r="AP87" i="15"/>
  <c r="AO87" i="15"/>
  <c r="AN87" i="15"/>
  <c r="AM87" i="15"/>
  <c r="AL87" i="15"/>
  <c r="AK87" i="15"/>
  <c r="AJ87" i="15"/>
  <c r="AI87" i="15"/>
  <c r="AH87" i="15"/>
  <c r="AG87" i="15"/>
  <c r="AF87" i="15"/>
  <c r="AE87" i="15"/>
  <c r="AD87" i="15"/>
  <c r="AC87" i="15"/>
  <c r="AB87" i="15"/>
  <c r="AA87" i="15"/>
  <c r="Z87" i="15"/>
  <c r="Y87" i="15"/>
  <c r="X87" i="15"/>
  <c r="W87" i="15"/>
  <c r="V87" i="15"/>
  <c r="U87" i="15"/>
  <c r="T87" i="15"/>
  <c r="S87" i="15"/>
  <c r="R87" i="15"/>
  <c r="Q87" i="15"/>
  <c r="P87" i="15"/>
  <c r="O87" i="15"/>
  <c r="N87" i="15"/>
  <c r="M87" i="15"/>
  <c r="L87" i="15"/>
  <c r="K87" i="15"/>
  <c r="J87" i="15"/>
  <c r="I87" i="15"/>
  <c r="H87" i="15"/>
  <c r="G87" i="15"/>
  <c r="F87" i="15"/>
  <c r="E87" i="15"/>
  <c r="BY86" i="15"/>
  <c r="BY85" i="15"/>
  <c r="BY84" i="15"/>
  <c r="BY83" i="15"/>
  <c r="BY81" i="15"/>
  <c r="BY80" i="15"/>
  <c r="BY79" i="15"/>
  <c r="BY78" i="15"/>
  <c r="BY77" i="15"/>
  <c r="BY76" i="15"/>
  <c r="BY75" i="15"/>
  <c r="BY74" i="15"/>
  <c r="BY73" i="15"/>
  <c r="BY72" i="15"/>
  <c r="BY71" i="15"/>
  <c r="BY70" i="15"/>
  <c r="BY69" i="15"/>
  <c r="BY68" i="15"/>
  <c r="BY67" i="15"/>
  <c r="BY66" i="15"/>
  <c r="BY65" i="15"/>
  <c r="BY64" i="15"/>
  <c r="BX63" i="15"/>
  <c r="BW63" i="15"/>
  <c r="BV63" i="15"/>
  <c r="BU63" i="15"/>
  <c r="BT63" i="15"/>
  <c r="BS63" i="15"/>
  <c r="BR63" i="15"/>
  <c r="BQ63" i="15"/>
  <c r="BP63" i="15"/>
  <c r="BO63" i="15"/>
  <c r="BN63" i="15"/>
  <c r="BM63" i="15"/>
  <c r="BL63" i="15"/>
  <c r="BK63" i="15"/>
  <c r="BJ63" i="15"/>
  <c r="BI63" i="15"/>
  <c r="BH63" i="15"/>
  <c r="BG63" i="15"/>
  <c r="BF63" i="15"/>
  <c r="BE63" i="15"/>
  <c r="BD63" i="15"/>
  <c r="BC63" i="15"/>
  <c r="BB63" i="15"/>
  <c r="BA63" i="15"/>
  <c r="AZ63" i="15"/>
  <c r="AY63" i="15"/>
  <c r="AX63" i="15"/>
  <c r="AW63" i="15"/>
  <c r="AV63" i="15"/>
  <c r="AU63" i="15"/>
  <c r="AT63" i="15"/>
  <c r="AS63" i="15"/>
  <c r="AR63" i="15"/>
  <c r="AQ63" i="15"/>
  <c r="AP63" i="15"/>
  <c r="AO63" i="15"/>
  <c r="AN63" i="15"/>
  <c r="AM63" i="15"/>
  <c r="AL63" i="15"/>
  <c r="AK63" i="15"/>
  <c r="AJ63" i="15"/>
  <c r="AI63" i="15"/>
  <c r="AH63" i="15"/>
  <c r="AG63" i="15"/>
  <c r="AF63" i="15"/>
  <c r="AE63" i="15"/>
  <c r="AD63" i="15"/>
  <c r="AC63" i="15"/>
  <c r="AB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M62" i="15"/>
  <c r="BY61" i="15"/>
  <c r="D61" i="15"/>
  <c r="BY60" i="15"/>
  <c r="BY59" i="15"/>
  <c r="BY58" i="15"/>
  <c r="BY57" i="15"/>
  <c r="BY56" i="15"/>
  <c r="BX55" i="15"/>
  <c r="BW55" i="15"/>
  <c r="BV55" i="15"/>
  <c r="BU55" i="15"/>
  <c r="BT55" i="15"/>
  <c r="BS55" i="15"/>
  <c r="BR55" i="15"/>
  <c r="BQ55" i="15"/>
  <c r="BP55" i="15"/>
  <c r="BO55" i="15"/>
  <c r="BN55" i="15"/>
  <c r="BM55" i="15"/>
  <c r="BL55" i="15"/>
  <c r="BK55" i="15"/>
  <c r="BJ55" i="15"/>
  <c r="BI55" i="15"/>
  <c r="BH55" i="15"/>
  <c r="BG55" i="15"/>
  <c r="BF55" i="15"/>
  <c r="BE55" i="15"/>
  <c r="BD55" i="15"/>
  <c r="BC55" i="15"/>
  <c r="BB55" i="15"/>
  <c r="BA55" i="15"/>
  <c r="AZ55" i="15"/>
  <c r="AY55" i="15"/>
  <c r="AX55" i="15"/>
  <c r="AW55" i="15"/>
  <c r="AV55" i="15"/>
  <c r="AU55" i="15"/>
  <c r="AT55" i="15"/>
  <c r="AS55" i="15"/>
  <c r="AR55" i="15"/>
  <c r="AQ55" i="15"/>
  <c r="AP55" i="15"/>
  <c r="AO55" i="15"/>
  <c r="AN55" i="15"/>
  <c r="AM55" i="15"/>
  <c r="AL55" i="15"/>
  <c r="AK55" i="15"/>
  <c r="AJ55" i="15"/>
  <c r="AI55" i="15"/>
  <c r="AH55" i="15"/>
  <c r="AG55" i="15"/>
  <c r="AF55" i="15"/>
  <c r="AE55" i="15"/>
  <c r="AD55" i="15"/>
  <c r="AC55" i="15"/>
  <c r="AB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I54" i="15"/>
  <c r="BY54" i="15" s="1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BY53" i="15" s="1"/>
  <c r="BY52" i="15"/>
  <c r="BY51" i="15"/>
  <c r="BY50" i="15"/>
  <c r="BY49" i="15"/>
  <c r="BX49" i="15"/>
  <c r="BW49" i="15"/>
  <c r="BV49" i="15"/>
  <c r="BU49" i="15"/>
  <c r="BT49" i="15"/>
  <c r="BS49" i="15"/>
  <c r="BR49" i="15"/>
  <c r="BQ49" i="15"/>
  <c r="BP49" i="15"/>
  <c r="BO49" i="15"/>
  <c r="BN49" i="15"/>
  <c r="BM49" i="15"/>
  <c r="BL49" i="15"/>
  <c r="BK49" i="15"/>
  <c r="BJ49" i="15"/>
  <c r="BI49" i="15"/>
  <c r="BH49" i="15"/>
  <c r="BG49" i="15"/>
  <c r="BF49" i="15"/>
  <c r="BE49" i="15"/>
  <c r="BD49" i="15"/>
  <c r="BC49" i="15"/>
  <c r="BB49" i="15"/>
  <c r="BA49" i="15"/>
  <c r="AZ49" i="15"/>
  <c r="AY49" i="15"/>
  <c r="AX49" i="15"/>
  <c r="AW49" i="15"/>
  <c r="AV49" i="15"/>
  <c r="AU49" i="15"/>
  <c r="AT49" i="15"/>
  <c r="AS49" i="15"/>
  <c r="AR49" i="15"/>
  <c r="AQ49" i="15"/>
  <c r="AP49" i="15"/>
  <c r="AO49" i="15"/>
  <c r="AN49" i="15"/>
  <c r="AM49" i="15"/>
  <c r="AL49" i="15"/>
  <c r="AK49" i="15"/>
  <c r="AJ49" i="15"/>
  <c r="AI49" i="15"/>
  <c r="AH49" i="15"/>
  <c r="AG49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P48" i="15"/>
  <c r="K48" i="15"/>
  <c r="Y47" i="15"/>
  <c r="W47" i="15"/>
  <c r="S47" i="15"/>
  <c r="BY47" i="15" s="1"/>
  <c r="K46" i="15"/>
  <c r="I46" i="15"/>
  <c r="H46" i="15"/>
  <c r="AA45" i="15"/>
  <c r="Z45" i="15"/>
  <c r="Y45" i="15"/>
  <c r="X45" i="15"/>
  <c r="W45" i="15"/>
  <c r="V45" i="15"/>
  <c r="U45" i="15"/>
  <c r="T45" i="15"/>
  <c r="S45" i="15"/>
  <c r="R45" i="15"/>
  <c r="Q45" i="15"/>
  <c r="N45" i="15"/>
  <c r="M45" i="15"/>
  <c r="L45" i="15"/>
  <c r="K45" i="15"/>
  <c r="J45" i="15"/>
  <c r="H45" i="15"/>
  <c r="Z44" i="15"/>
  <c r="Q44" i="15"/>
  <c r="J44" i="15"/>
  <c r="H44" i="15"/>
  <c r="BY44" i="15" s="1"/>
  <c r="P43" i="15"/>
  <c r="O43" i="15"/>
  <c r="N43" i="15"/>
  <c r="M43" i="15"/>
  <c r="L43" i="15"/>
  <c r="K43" i="15"/>
  <c r="I43" i="15"/>
  <c r="H43" i="15"/>
  <c r="P42" i="15"/>
  <c r="O42" i="15"/>
  <c r="N42" i="15"/>
  <c r="M42" i="15"/>
  <c r="L42" i="15"/>
  <c r="K42" i="15"/>
  <c r="J42" i="15"/>
  <c r="I42" i="15"/>
  <c r="H42" i="15"/>
  <c r="Z41" i="15"/>
  <c r="Y41" i="15"/>
  <c r="X41" i="15"/>
  <c r="W41" i="15"/>
  <c r="V41" i="15"/>
  <c r="U41" i="15"/>
  <c r="T41" i="15"/>
  <c r="S41" i="15"/>
  <c r="R41" i="15"/>
  <c r="BY41" i="15" s="1"/>
  <c r="BY40" i="15"/>
  <c r="Z39" i="15"/>
  <c r="Y39" i="15"/>
  <c r="X39" i="15"/>
  <c r="W39" i="15"/>
  <c r="V39" i="15"/>
  <c r="U39" i="15"/>
  <c r="T39" i="15"/>
  <c r="S39" i="15"/>
  <c r="R39" i="15"/>
  <c r="BY39" i="15" s="1"/>
  <c r="P38" i="15"/>
  <c r="O38" i="15"/>
  <c r="M38" i="15"/>
  <c r="L38" i="15"/>
  <c r="J38" i="15"/>
  <c r="I38" i="15"/>
  <c r="BX37" i="15"/>
  <c r="BW37" i="15"/>
  <c r="BV37" i="15"/>
  <c r="BU37" i="15"/>
  <c r="BT37" i="15"/>
  <c r="BS37" i="15"/>
  <c r="BR37" i="15"/>
  <c r="BQ37" i="15"/>
  <c r="BP37" i="15"/>
  <c r="BO37" i="15"/>
  <c r="BN37" i="15"/>
  <c r="BM37" i="15"/>
  <c r="BL37" i="15"/>
  <c r="BK37" i="15"/>
  <c r="BJ37" i="15"/>
  <c r="BI37" i="15"/>
  <c r="BH37" i="15"/>
  <c r="BG37" i="15"/>
  <c r="BF37" i="15"/>
  <c r="BE37" i="15"/>
  <c r="BD37" i="15"/>
  <c r="BC37" i="15"/>
  <c r="BB37" i="15"/>
  <c r="BA37" i="15"/>
  <c r="AZ37" i="15"/>
  <c r="AY37" i="15"/>
  <c r="AX37" i="15"/>
  <c r="AW37" i="15"/>
  <c r="AV37" i="15"/>
  <c r="AU37" i="15"/>
  <c r="AT37" i="15"/>
  <c r="AS37" i="15"/>
  <c r="AR37" i="15"/>
  <c r="AQ37" i="15"/>
  <c r="AP37" i="15"/>
  <c r="AO37" i="15"/>
  <c r="AN37" i="15"/>
  <c r="AM37" i="15"/>
  <c r="AL37" i="15"/>
  <c r="AK37" i="15"/>
  <c r="AJ37" i="15"/>
  <c r="AI37" i="15"/>
  <c r="AH37" i="15"/>
  <c r="AG37" i="15"/>
  <c r="AF37" i="15"/>
  <c r="AE37" i="15"/>
  <c r="AD37" i="15"/>
  <c r="AC37" i="15"/>
  <c r="AB37" i="15"/>
  <c r="N37" i="15"/>
  <c r="M37" i="15"/>
  <c r="L37" i="15"/>
  <c r="K37" i="15"/>
  <c r="J37" i="15"/>
  <c r="I37" i="15"/>
  <c r="H37" i="15"/>
  <c r="G37" i="15"/>
  <c r="F37" i="15"/>
  <c r="E37" i="15"/>
  <c r="BY36" i="15"/>
  <c r="BX34" i="15"/>
  <c r="BW34" i="15"/>
  <c r="BV34" i="15"/>
  <c r="BU34" i="15"/>
  <c r="BT34" i="15"/>
  <c r="BS34" i="15"/>
  <c r="BR34" i="15"/>
  <c r="BQ34" i="15"/>
  <c r="BP34" i="15"/>
  <c r="BO34" i="15"/>
  <c r="BN34" i="15"/>
  <c r="BM34" i="15"/>
  <c r="BL34" i="15"/>
  <c r="BK34" i="15"/>
  <c r="BJ34" i="15"/>
  <c r="BI34" i="15"/>
  <c r="BH34" i="15"/>
  <c r="BG34" i="15"/>
  <c r="BF34" i="15"/>
  <c r="BE34" i="15"/>
  <c r="BD34" i="15"/>
  <c r="BC34" i="15"/>
  <c r="BB34" i="15"/>
  <c r="BA34" i="15"/>
  <c r="AZ34" i="15"/>
  <c r="AY34" i="15"/>
  <c r="AX34" i="15"/>
  <c r="AW34" i="15"/>
  <c r="AV34" i="15"/>
  <c r="AU34" i="15"/>
  <c r="AT34" i="15"/>
  <c r="AS34" i="15"/>
  <c r="AR34" i="15"/>
  <c r="AQ34" i="15"/>
  <c r="AP34" i="15"/>
  <c r="AO34" i="15"/>
  <c r="AN34" i="15"/>
  <c r="AM34" i="15"/>
  <c r="AL34" i="15"/>
  <c r="AK34" i="15"/>
  <c r="AJ34" i="15"/>
  <c r="AI34" i="15"/>
  <c r="AH34" i="15"/>
  <c r="AG34" i="15"/>
  <c r="AF34" i="15"/>
  <c r="AE34" i="15"/>
  <c r="AD34" i="15"/>
  <c r="AC34" i="15"/>
  <c r="AB34" i="15"/>
  <c r="AA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O32" i="15"/>
  <c r="I32" i="15"/>
  <c r="BY32" i="15" s="1"/>
  <c r="Z31" i="15"/>
  <c r="Y31" i="15"/>
  <c r="X31" i="15"/>
  <c r="W31" i="15"/>
  <c r="V31" i="15"/>
  <c r="U31" i="15"/>
  <c r="T31" i="15"/>
  <c r="S31" i="15"/>
  <c r="N31" i="15"/>
  <c r="H31" i="15"/>
  <c r="BY31" i="15" s="1"/>
  <c r="T30" i="15"/>
  <c r="S30" i="15"/>
  <c r="R30" i="15"/>
  <c r="BY30" i="15" s="1"/>
  <c r="BY29" i="15"/>
  <c r="BY28" i="15"/>
  <c r="O27" i="15"/>
  <c r="N27" i="15"/>
  <c r="M27" i="15"/>
  <c r="L27" i="15"/>
  <c r="BX26" i="15"/>
  <c r="BW26" i="15"/>
  <c r="BV26" i="15"/>
  <c r="BU26" i="15"/>
  <c r="BT26" i="15"/>
  <c r="BS26" i="15"/>
  <c r="BR26" i="15"/>
  <c r="BQ26" i="15"/>
  <c r="BP26" i="15"/>
  <c r="BO26" i="15"/>
  <c r="BN26" i="15"/>
  <c r="BM26" i="15"/>
  <c r="BL26" i="15"/>
  <c r="BK26" i="15"/>
  <c r="BJ26" i="15"/>
  <c r="BI26" i="15"/>
  <c r="BH26" i="15"/>
  <c r="BG26" i="15"/>
  <c r="BF26" i="15"/>
  <c r="BE26" i="15"/>
  <c r="BD26" i="15"/>
  <c r="BC26" i="15"/>
  <c r="BB26" i="15"/>
  <c r="BA26" i="15"/>
  <c r="AZ26" i="15"/>
  <c r="AY26" i="15"/>
  <c r="AX26" i="15"/>
  <c r="AW26" i="15"/>
  <c r="AV26" i="15"/>
  <c r="AU26" i="15"/>
  <c r="AT26" i="15"/>
  <c r="AS26" i="15"/>
  <c r="AR26" i="15"/>
  <c r="AQ26" i="15"/>
  <c r="AP26" i="15"/>
  <c r="AO26" i="15"/>
  <c r="AN26" i="15"/>
  <c r="AM26" i="15"/>
  <c r="AL26" i="15"/>
  <c r="AK26" i="15"/>
  <c r="AJ26" i="15"/>
  <c r="AI26" i="15"/>
  <c r="AH26" i="15"/>
  <c r="AG26" i="15"/>
  <c r="AF26" i="15"/>
  <c r="AE26" i="15"/>
  <c r="AD26" i="15"/>
  <c r="AC26" i="15"/>
  <c r="AB26" i="15"/>
  <c r="AA26" i="15"/>
  <c r="R26" i="15"/>
  <c r="Q26" i="15"/>
  <c r="O26" i="15"/>
  <c r="N26" i="15"/>
  <c r="M26" i="15"/>
  <c r="L26" i="15"/>
  <c r="K26" i="15"/>
  <c r="J26" i="15"/>
  <c r="I26" i="15"/>
  <c r="H26" i="15"/>
  <c r="G26" i="15"/>
  <c r="F26" i="15"/>
  <c r="E26" i="15"/>
  <c r="P25" i="15"/>
  <c r="BY25" i="15" s="1"/>
  <c r="R24" i="15"/>
  <c r="R147" i="15" s="1"/>
  <c r="R152" i="15" s="1"/>
  <c r="Q24" i="15"/>
  <c r="Q147" i="15" s="1"/>
  <c r="Q152" i="15" s="1"/>
  <c r="O24" i="15"/>
  <c r="O147" i="15" s="1"/>
  <c r="O152" i="15" s="1"/>
  <c r="L24" i="15"/>
  <c r="L147" i="15" s="1"/>
  <c r="L152" i="15" s="1"/>
  <c r="I24" i="15"/>
  <c r="CE23" i="15"/>
  <c r="BX23" i="15"/>
  <c r="BW23" i="15"/>
  <c r="BV23" i="15"/>
  <c r="BU23" i="15"/>
  <c r="BT23" i="15"/>
  <c r="BS23" i="15"/>
  <c r="BR23" i="15"/>
  <c r="BQ23" i="15"/>
  <c r="BP23" i="15"/>
  <c r="BO23" i="15"/>
  <c r="BN23" i="15"/>
  <c r="BM23" i="15"/>
  <c r="BL23" i="15"/>
  <c r="BK23" i="15"/>
  <c r="BJ23" i="15"/>
  <c r="BI23" i="15"/>
  <c r="BH23" i="15"/>
  <c r="BG23" i="15"/>
  <c r="BF23" i="15"/>
  <c r="BE23" i="15"/>
  <c r="BD23" i="15"/>
  <c r="BC23" i="15"/>
  <c r="BB23" i="15"/>
  <c r="BA23" i="15"/>
  <c r="AZ23" i="15"/>
  <c r="AY23" i="15"/>
  <c r="AX23" i="15"/>
  <c r="AW23" i="15"/>
  <c r="AV23" i="15"/>
  <c r="AU23" i="15"/>
  <c r="AT23" i="15"/>
  <c r="AS23" i="15"/>
  <c r="AR23" i="15"/>
  <c r="AQ23" i="15"/>
  <c r="AP23" i="15"/>
  <c r="AO23" i="15"/>
  <c r="AN23" i="15"/>
  <c r="AM23" i="15"/>
  <c r="AL23" i="15"/>
  <c r="AK23" i="15"/>
  <c r="AJ23" i="15"/>
  <c r="AI23" i="15"/>
  <c r="AH23" i="15"/>
  <c r="AG23" i="15"/>
  <c r="AF23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O23" i="15"/>
  <c r="N23" i="15"/>
  <c r="M23" i="15"/>
  <c r="L23" i="15"/>
  <c r="K23" i="15"/>
  <c r="J23" i="15"/>
  <c r="I23" i="15"/>
  <c r="H23" i="15"/>
  <c r="G23" i="15"/>
  <c r="F23" i="15"/>
  <c r="E23" i="15"/>
  <c r="BY22" i="15"/>
  <c r="BY21" i="15"/>
  <c r="BY20" i="15"/>
  <c r="BY19" i="15"/>
  <c r="J18" i="15"/>
  <c r="H18" i="15"/>
  <c r="BY18" i="15" s="1"/>
  <c r="BY17" i="15"/>
  <c r="BX17" i="15"/>
  <c r="BX98" i="15" s="1"/>
  <c r="BW17" i="15"/>
  <c r="BW98" i="15" s="1"/>
  <c r="BV17" i="15"/>
  <c r="BV98" i="15" s="1"/>
  <c r="BU17" i="15"/>
  <c r="BU98" i="15" s="1"/>
  <c r="BT17" i="15"/>
  <c r="BT98" i="15" s="1"/>
  <c r="BS17" i="15"/>
  <c r="BS98" i="15" s="1"/>
  <c r="BR17" i="15"/>
  <c r="BR98" i="15" s="1"/>
  <c r="BQ17" i="15"/>
  <c r="BQ98" i="15" s="1"/>
  <c r="BP17" i="15"/>
  <c r="BP98" i="15" s="1"/>
  <c r="BO17" i="15"/>
  <c r="BO98" i="15" s="1"/>
  <c r="BN17" i="15"/>
  <c r="BN98" i="15" s="1"/>
  <c r="BM17" i="15"/>
  <c r="BM98" i="15" s="1"/>
  <c r="BL17" i="15"/>
  <c r="BL98" i="15" s="1"/>
  <c r="BK17" i="15"/>
  <c r="BK98" i="15" s="1"/>
  <c r="BJ17" i="15"/>
  <c r="BJ98" i="15" s="1"/>
  <c r="BI17" i="15"/>
  <c r="BI98" i="15" s="1"/>
  <c r="BH17" i="15"/>
  <c r="BH98" i="15" s="1"/>
  <c r="BG17" i="15"/>
  <c r="BG98" i="15" s="1"/>
  <c r="BF17" i="15"/>
  <c r="BF98" i="15" s="1"/>
  <c r="BE17" i="15"/>
  <c r="BE98" i="15" s="1"/>
  <c r="BD17" i="15"/>
  <c r="BD98" i="15" s="1"/>
  <c r="BC17" i="15"/>
  <c r="BC98" i="15" s="1"/>
  <c r="BB17" i="15"/>
  <c r="BB98" i="15" s="1"/>
  <c r="BA17" i="15"/>
  <c r="BA98" i="15" s="1"/>
  <c r="AZ17" i="15"/>
  <c r="AZ98" i="15" s="1"/>
  <c r="AY17" i="15"/>
  <c r="AY98" i="15" s="1"/>
  <c r="AX17" i="15"/>
  <c r="AX98" i="15" s="1"/>
  <c r="AW17" i="15"/>
  <c r="AW98" i="15" s="1"/>
  <c r="AV17" i="15"/>
  <c r="AV98" i="15" s="1"/>
  <c r="AU17" i="15"/>
  <c r="AU98" i="15" s="1"/>
  <c r="AT17" i="15"/>
  <c r="AT98" i="15" s="1"/>
  <c r="AS17" i="15"/>
  <c r="AS98" i="15" s="1"/>
  <c r="AR17" i="15"/>
  <c r="AR98" i="15" s="1"/>
  <c r="AQ17" i="15"/>
  <c r="AQ98" i="15" s="1"/>
  <c r="AP17" i="15"/>
  <c r="AP98" i="15" s="1"/>
  <c r="AO17" i="15"/>
  <c r="AO98" i="15" s="1"/>
  <c r="AN17" i="15"/>
  <c r="AN98" i="15" s="1"/>
  <c r="AM17" i="15"/>
  <c r="AM98" i="15" s="1"/>
  <c r="AL17" i="15"/>
  <c r="AL98" i="15" s="1"/>
  <c r="AK17" i="15"/>
  <c r="AK98" i="15" s="1"/>
  <c r="AJ17" i="15"/>
  <c r="AJ98" i="15" s="1"/>
  <c r="AI17" i="15"/>
  <c r="AI98" i="15" s="1"/>
  <c r="AH17" i="15"/>
  <c r="AH98" i="15" s="1"/>
  <c r="AG17" i="15"/>
  <c r="AG98" i="15" s="1"/>
  <c r="AF17" i="15"/>
  <c r="AF98" i="15" s="1"/>
  <c r="AE17" i="15"/>
  <c r="AE98" i="15" s="1"/>
  <c r="AD17" i="15"/>
  <c r="AD98" i="15" s="1"/>
  <c r="AC17" i="15"/>
  <c r="AC98" i="15" s="1"/>
  <c r="AB17" i="15"/>
  <c r="AB98" i="15" s="1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N98" i="15" s="1"/>
  <c r="M17" i="15"/>
  <c r="M98" i="15" s="1"/>
  <c r="L17" i="15"/>
  <c r="L98" i="15" s="1"/>
  <c r="K17" i="15"/>
  <c r="K98" i="15" s="1"/>
  <c r="J17" i="15"/>
  <c r="J98" i="15" s="1"/>
  <c r="I17" i="15"/>
  <c r="I98" i="15" s="1"/>
  <c r="H17" i="15"/>
  <c r="H98" i="15" s="1"/>
  <c r="H99" i="15" s="1"/>
  <c r="I99" i="15" s="1"/>
  <c r="J99" i="15" s="1"/>
  <c r="K99" i="15" s="1"/>
  <c r="L99" i="15" s="1"/>
  <c r="M99" i="15" s="1"/>
  <c r="N99" i="15" s="1"/>
  <c r="B5" i="24" s="1"/>
  <c r="G17" i="15"/>
  <c r="G98" i="15" s="1"/>
  <c r="F17" i="15"/>
  <c r="F98" i="15" s="1"/>
  <c r="E17" i="15"/>
  <c r="E98" i="15" s="1"/>
  <c r="BX16" i="15"/>
  <c r="BX100" i="15" s="1"/>
  <c r="BW16" i="15"/>
  <c r="BW100" i="15" s="1"/>
  <c r="BV16" i="15"/>
  <c r="BV100" i="15" s="1"/>
  <c r="BU16" i="15"/>
  <c r="BU100" i="15" s="1"/>
  <c r="BT16" i="15"/>
  <c r="BT100" i="15" s="1"/>
  <c r="BS16" i="15"/>
  <c r="BS100" i="15" s="1"/>
  <c r="BR16" i="15"/>
  <c r="BR100" i="15" s="1"/>
  <c r="BQ16" i="15"/>
  <c r="BQ100" i="15" s="1"/>
  <c r="BP16" i="15"/>
  <c r="BP100" i="15" s="1"/>
  <c r="BO16" i="15"/>
  <c r="BO100" i="15" s="1"/>
  <c r="BN16" i="15"/>
  <c r="BN100" i="15" s="1"/>
  <c r="BM16" i="15"/>
  <c r="BM100" i="15" s="1"/>
  <c r="BL16" i="15"/>
  <c r="BL100" i="15" s="1"/>
  <c r="BK16" i="15"/>
  <c r="BK100" i="15" s="1"/>
  <c r="BJ16" i="15"/>
  <c r="BJ100" i="15" s="1"/>
  <c r="BI16" i="15"/>
  <c r="BI100" i="15" s="1"/>
  <c r="BH16" i="15"/>
  <c r="BH100" i="15" s="1"/>
  <c r="BG16" i="15"/>
  <c r="BG100" i="15" s="1"/>
  <c r="BF16" i="15"/>
  <c r="BF100" i="15" s="1"/>
  <c r="BE16" i="15"/>
  <c r="BE100" i="15" s="1"/>
  <c r="BD16" i="15"/>
  <c r="BD100" i="15" s="1"/>
  <c r="BC16" i="15"/>
  <c r="BC100" i="15" s="1"/>
  <c r="BB16" i="15"/>
  <c r="BB100" i="15" s="1"/>
  <c r="BA16" i="15"/>
  <c r="BA100" i="15" s="1"/>
  <c r="AZ16" i="15"/>
  <c r="AZ100" i="15" s="1"/>
  <c r="AY16" i="15"/>
  <c r="AY100" i="15" s="1"/>
  <c r="AX16" i="15"/>
  <c r="AX100" i="15" s="1"/>
  <c r="AW16" i="15"/>
  <c r="AW100" i="15" s="1"/>
  <c r="AV16" i="15"/>
  <c r="AV100" i="15" s="1"/>
  <c r="AU16" i="15"/>
  <c r="AU100" i="15" s="1"/>
  <c r="AT16" i="15"/>
  <c r="AT100" i="15" s="1"/>
  <c r="AS16" i="15"/>
  <c r="AS100" i="15" s="1"/>
  <c r="AR16" i="15"/>
  <c r="AR100" i="15" s="1"/>
  <c r="AQ16" i="15"/>
  <c r="AQ100" i="15" s="1"/>
  <c r="AP16" i="15"/>
  <c r="AP100" i="15" s="1"/>
  <c r="AO16" i="15"/>
  <c r="AO100" i="15" s="1"/>
  <c r="AN16" i="15"/>
  <c r="AN100" i="15" s="1"/>
  <c r="AM16" i="15"/>
  <c r="AM100" i="15" s="1"/>
  <c r="AL16" i="15"/>
  <c r="AL100" i="15" s="1"/>
  <c r="AK16" i="15"/>
  <c r="AK100" i="15" s="1"/>
  <c r="AJ16" i="15"/>
  <c r="AJ100" i="15" s="1"/>
  <c r="AI16" i="15"/>
  <c r="AI100" i="15" s="1"/>
  <c r="AH16" i="15"/>
  <c r="AH100" i="15" s="1"/>
  <c r="AG16" i="15"/>
  <c r="AG100" i="15" s="1"/>
  <c r="AF16" i="15"/>
  <c r="AF100" i="15" s="1"/>
  <c r="AE16" i="15"/>
  <c r="AE100" i="15" s="1"/>
  <c r="AD16" i="15"/>
  <c r="AD100" i="15" s="1"/>
  <c r="AC16" i="15"/>
  <c r="AC100" i="15" s="1"/>
  <c r="AB16" i="15"/>
  <c r="AB100" i="15" s="1"/>
  <c r="J16" i="15"/>
  <c r="J100" i="15" s="1"/>
  <c r="I16" i="15"/>
  <c r="I100" i="15" s="1"/>
  <c r="G16" i="15"/>
  <c r="G100" i="15" s="1"/>
  <c r="F16" i="15"/>
  <c r="F100" i="15" s="1"/>
  <c r="E16" i="15"/>
  <c r="E100" i="15" s="1"/>
  <c r="E101" i="15" s="1"/>
  <c r="P15" i="15"/>
  <c r="CE14" i="15"/>
  <c r="CE15" i="15" s="1"/>
  <c r="P14" i="15"/>
  <c r="O14" i="15"/>
  <c r="M14" i="15"/>
  <c r="K14" i="15"/>
  <c r="CH11" i="15"/>
  <c r="P11" i="15"/>
  <c r="O11" i="15"/>
  <c r="O16" i="15" s="1"/>
  <c r="N11" i="15"/>
  <c r="N16" i="15" s="1"/>
  <c r="N100" i="15" s="1"/>
  <c r="M11" i="15"/>
  <c r="Z10" i="15"/>
  <c r="Y10" i="15"/>
  <c r="X10" i="15"/>
  <c r="W10" i="15"/>
  <c r="V10" i="15"/>
  <c r="U10" i="15"/>
  <c r="T10" i="15"/>
  <c r="BY9" i="15"/>
  <c r="BY8" i="15"/>
  <c r="CB8" i="15" s="1"/>
  <c r="CA7" i="15"/>
  <c r="BY7" i="15"/>
  <c r="CB7" i="15" s="1"/>
  <c r="CA6" i="15"/>
  <c r="P6" i="15"/>
  <c r="M6" i="15"/>
  <c r="L6" i="15"/>
  <c r="H5" i="15"/>
  <c r="D185" i="14"/>
  <c r="BX178" i="14"/>
  <c r="BW178" i="14"/>
  <c r="BV178" i="14"/>
  <c r="BU178" i="14"/>
  <c r="BT178" i="14"/>
  <c r="BS178" i="14"/>
  <c r="BR178" i="14"/>
  <c r="BQ178" i="14"/>
  <c r="BP178" i="14"/>
  <c r="BO178" i="14"/>
  <c r="BN178" i="14"/>
  <c r="BM178" i="14"/>
  <c r="BL178" i="14"/>
  <c r="BK178" i="14"/>
  <c r="BJ178" i="14"/>
  <c r="BI178" i="14"/>
  <c r="BH178" i="14"/>
  <c r="BG178" i="14"/>
  <c r="BF178" i="14"/>
  <c r="BE178" i="14"/>
  <c r="BD178" i="14"/>
  <c r="BC178" i="14"/>
  <c r="BB178" i="14"/>
  <c r="BA178" i="14"/>
  <c r="AZ178" i="14"/>
  <c r="AY178" i="14"/>
  <c r="AX178" i="14"/>
  <c r="AW178" i="14"/>
  <c r="AV178" i="14"/>
  <c r="AU178" i="14"/>
  <c r="AT178" i="14"/>
  <c r="AS178" i="14"/>
  <c r="AR178" i="14"/>
  <c r="AQ178" i="14"/>
  <c r="AP178" i="14"/>
  <c r="AO178" i="14"/>
  <c r="AN178" i="14"/>
  <c r="AM178" i="14"/>
  <c r="AL178" i="14"/>
  <c r="AK178" i="14"/>
  <c r="AJ178" i="14"/>
  <c r="AI178" i="14"/>
  <c r="AH178" i="14"/>
  <c r="AG178" i="14"/>
  <c r="AF178" i="14"/>
  <c r="AE178" i="14"/>
  <c r="AD178" i="14"/>
  <c r="AC178" i="14"/>
  <c r="AB178" i="14"/>
  <c r="AA178" i="14"/>
  <c r="Z178" i="14"/>
  <c r="Y178" i="14"/>
  <c r="X178" i="14"/>
  <c r="W178" i="14"/>
  <c r="V178" i="14"/>
  <c r="U178" i="14"/>
  <c r="T178" i="14"/>
  <c r="S178" i="14"/>
  <c r="S181" i="14" s="1"/>
  <c r="R178" i="14"/>
  <c r="R181" i="14" s="1"/>
  <c r="Q178" i="14"/>
  <c r="Q181" i="14" s="1"/>
  <c r="P178" i="14"/>
  <c r="P181" i="14" s="1"/>
  <c r="O178" i="14"/>
  <c r="O181" i="14" s="1"/>
  <c r="N178" i="14"/>
  <c r="N181" i="14" s="1"/>
  <c r="M178" i="14"/>
  <c r="M181" i="14" s="1"/>
  <c r="L178" i="14"/>
  <c r="L181" i="14" s="1"/>
  <c r="K178" i="14"/>
  <c r="K181" i="14" s="1"/>
  <c r="J178" i="14"/>
  <c r="J181" i="14" s="1"/>
  <c r="I178" i="14"/>
  <c r="I181" i="14" s="1"/>
  <c r="H178" i="14"/>
  <c r="G178" i="14"/>
  <c r="F178" i="14"/>
  <c r="E178" i="14"/>
  <c r="BX176" i="14"/>
  <c r="BW176" i="14"/>
  <c r="BW181" i="14" s="1"/>
  <c r="BV176" i="14"/>
  <c r="BV181" i="14" s="1"/>
  <c r="BU176" i="14"/>
  <c r="BU181" i="14" s="1"/>
  <c r="BT176" i="14"/>
  <c r="BT181" i="14" s="1"/>
  <c r="BS176" i="14"/>
  <c r="BS181" i="14" s="1"/>
  <c r="BR176" i="14"/>
  <c r="BR181" i="14" s="1"/>
  <c r="BQ176" i="14"/>
  <c r="BQ181" i="14" s="1"/>
  <c r="BP176" i="14"/>
  <c r="BP181" i="14" s="1"/>
  <c r="BO176" i="14"/>
  <c r="BO181" i="14" s="1"/>
  <c r="BN176" i="14"/>
  <c r="BN181" i="14" s="1"/>
  <c r="BM176" i="14"/>
  <c r="BM181" i="14" s="1"/>
  <c r="BL176" i="14"/>
  <c r="BL181" i="14" s="1"/>
  <c r="BK176" i="14"/>
  <c r="BK181" i="14" s="1"/>
  <c r="BJ176" i="14"/>
  <c r="BJ181" i="14" s="1"/>
  <c r="BI176" i="14"/>
  <c r="BI181" i="14" s="1"/>
  <c r="BH176" i="14"/>
  <c r="BH181" i="14" s="1"/>
  <c r="BG176" i="14"/>
  <c r="BG181" i="14" s="1"/>
  <c r="BF176" i="14"/>
  <c r="BF181" i="14" s="1"/>
  <c r="BE176" i="14"/>
  <c r="BE181" i="14" s="1"/>
  <c r="BD176" i="14"/>
  <c r="BD181" i="14" s="1"/>
  <c r="BC176" i="14"/>
  <c r="BC181" i="14" s="1"/>
  <c r="BB176" i="14"/>
  <c r="BB181" i="14" s="1"/>
  <c r="BA176" i="14"/>
  <c r="BA181" i="14" s="1"/>
  <c r="AZ176" i="14"/>
  <c r="AZ181" i="14" s="1"/>
  <c r="AY176" i="14"/>
  <c r="AY181" i="14" s="1"/>
  <c r="AX176" i="14"/>
  <c r="AX181" i="14" s="1"/>
  <c r="AW176" i="14"/>
  <c r="AW181" i="14" s="1"/>
  <c r="AV176" i="14"/>
  <c r="AV181" i="14" s="1"/>
  <c r="AU176" i="14"/>
  <c r="AU181" i="14" s="1"/>
  <c r="AT176" i="14"/>
  <c r="AT181" i="14" s="1"/>
  <c r="AS176" i="14"/>
  <c r="AS181" i="14" s="1"/>
  <c r="AR176" i="14"/>
  <c r="AR181" i="14" s="1"/>
  <c r="AQ176" i="14"/>
  <c r="AQ181" i="14" s="1"/>
  <c r="AP176" i="14"/>
  <c r="AP181" i="14" s="1"/>
  <c r="AO176" i="14"/>
  <c r="AO181" i="14" s="1"/>
  <c r="AN176" i="14"/>
  <c r="AN181" i="14" s="1"/>
  <c r="AM176" i="14"/>
  <c r="AM181" i="14" s="1"/>
  <c r="AL176" i="14"/>
  <c r="AL181" i="14" s="1"/>
  <c r="AK176" i="14"/>
  <c r="AK181" i="14" s="1"/>
  <c r="AJ176" i="14"/>
  <c r="AJ181" i="14" s="1"/>
  <c r="AI176" i="14"/>
  <c r="AI181" i="14" s="1"/>
  <c r="AH176" i="14"/>
  <c r="AH181" i="14" s="1"/>
  <c r="AG176" i="14"/>
  <c r="AG181" i="14" s="1"/>
  <c r="AF176" i="14"/>
  <c r="AF181" i="14" s="1"/>
  <c r="AE176" i="14"/>
  <c r="AE181" i="14" s="1"/>
  <c r="AD176" i="14"/>
  <c r="AD181" i="14" s="1"/>
  <c r="AC176" i="14"/>
  <c r="AC181" i="14" s="1"/>
  <c r="AB176" i="14"/>
  <c r="AB181" i="14" s="1"/>
  <c r="AA176" i="14"/>
  <c r="AA181" i="14" s="1"/>
  <c r="Z176" i="14"/>
  <c r="Z181" i="14" s="1"/>
  <c r="Y176" i="14"/>
  <c r="Y181" i="14" s="1"/>
  <c r="X176" i="14"/>
  <c r="X181" i="14" s="1"/>
  <c r="W176" i="14"/>
  <c r="W181" i="14" s="1"/>
  <c r="V176" i="14"/>
  <c r="V181" i="14" s="1"/>
  <c r="U176" i="14"/>
  <c r="U181" i="14" s="1"/>
  <c r="T176" i="14"/>
  <c r="H176" i="14"/>
  <c r="H181" i="14" s="1"/>
  <c r="G176" i="14"/>
  <c r="G181" i="14" s="1"/>
  <c r="F176" i="14"/>
  <c r="F181" i="14" s="1"/>
  <c r="E176" i="14"/>
  <c r="E181" i="14" s="1"/>
  <c r="D169" i="14"/>
  <c r="BX162" i="14"/>
  <c r="BW162" i="14"/>
  <c r="BV162" i="14"/>
  <c r="BU162" i="14"/>
  <c r="BT162" i="14"/>
  <c r="BS162" i="14"/>
  <c r="BR162" i="14"/>
  <c r="BQ162" i="14"/>
  <c r="BP162" i="14"/>
  <c r="BO162" i="14"/>
  <c r="BN162" i="14"/>
  <c r="BM162" i="14"/>
  <c r="BL162" i="14"/>
  <c r="BK162" i="14"/>
  <c r="BJ162" i="14"/>
  <c r="BI162" i="14"/>
  <c r="BH162" i="14"/>
  <c r="BG162" i="14"/>
  <c r="BF162" i="14"/>
  <c r="BE162" i="14"/>
  <c r="BD162" i="14"/>
  <c r="BC162" i="14"/>
  <c r="BB162" i="14"/>
  <c r="BA162" i="14"/>
  <c r="AZ162" i="14"/>
  <c r="AY162" i="14"/>
  <c r="AX162" i="14"/>
  <c r="AW162" i="14"/>
  <c r="AV162" i="14"/>
  <c r="AU162" i="14"/>
  <c r="AT162" i="14"/>
  <c r="AS162" i="14"/>
  <c r="AR162" i="14"/>
  <c r="AQ162" i="14"/>
  <c r="AP162" i="14"/>
  <c r="AO162" i="14"/>
  <c r="AN162" i="14"/>
  <c r="AM162" i="14"/>
  <c r="AL162" i="14"/>
  <c r="AK162" i="14"/>
  <c r="AJ162" i="14"/>
  <c r="AI162" i="14"/>
  <c r="AH162" i="14"/>
  <c r="AG162" i="14"/>
  <c r="AF162" i="14"/>
  <c r="AE162" i="14"/>
  <c r="AD162" i="14"/>
  <c r="AC162" i="14"/>
  <c r="AB162" i="14"/>
  <c r="AA162" i="14"/>
  <c r="Z162" i="14"/>
  <c r="Y162" i="14"/>
  <c r="X162" i="14"/>
  <c r="W162" i="14"/>
  <c r="V162" i="14"/>
  <c r="U162" i="14"/>
  <c r="T162" i="14"/>
  <c r="S162" i="14"/>
  <c r="R162" i="14"/>
  <c r="Q162" i="14"/>
  <c r="P162" i="14"/>
  <c r="O162" i="14"/>
  <c r="N162" i="14"/>
  <c r="M162" i="14"/>
  <c r="L162" i="14"/>
  <c r="K162" i="14"/>
  <c r="J162" i="14"/>
  <c r="I162" i="14"/>
  <c r="H162" i="14"/>
  <c r="G162" i="14"/>
  <c r="F162" i="14"/>
  <c r="E162" i="14"/>
  <c r="BX160" i="14"/>
  <c r="BW160" i="14"/>
  <c r="BW165" i="14" s="1"/>
  <c r="BV160" i="14"/>
  <c r="BV165" i="14" s="1"/>
  <c r="BU160" i="14"/>
  <c r="BU165" i="14" s="1"/>
  <c r="BT160" i="14"/>
  <c r="BT165" i="14" s="1"/>
  <c r="BS160" i="14"/>
  <c r="BS165" i="14" s="1"/>
  <c r="BR160" i="14"/>
  <c r="BR165" i="14" s="1"/>
  <c r="BQ160" i="14"/>
  <c r="BQ165" i="14" s="1"/>
  <c r="BP160" i="14"/>
  <c r="BP165" i="14" s="1"/>
  <c r="BO160" i="14"/>
  <c r="BO165" i="14" s="1"/>
  <c r="BN160" i="14"/>
  <c r="BN165" i="14" s="1"/>
  <c r="BM160" i="14"/>
  <c r="BM165" i="14" s="1"/>
  <c r="BL160" i="14"/>
  <c r="BL165" i="14" s="1"/>
  <c r="BK160" i="14"/>
  <c r="BK165" i="14" s="1"/>
  <c r="BJ160" i="14"/>
  <c r="BJ165" i="14" s="1"/>
  <c r="BI160" i="14"/>
  <c r="BI165" i="14" s="1"/>
  <c r="BH160" i="14"/>
  <c r="BH165" i="14" s="1"/>
  <c r="BG160" i="14"/>
  <c r="BG165" i="14" s="1"/>
  <c r="BF160" i="14"/>
  <c r="BF165" i="14" s="1"/>
  <c r="BE160" i="14"/>
  <c r="BE165" i="14" s="1"/>
  <c r="BD160" i="14"/>
  <c r="BD165" i="14" s="1"/>
  <c r="BC160" i="14"/>
  <c r="BC165" i="14" s="1"/>
  <c r="BB160" i="14"/>
  <c r="BB165" i="14" s="1"/>
  <c r="BA160" i="14"/>
  <c r="BA165" i="14" s="1"/>
  <c r="AZ160" i="14"/>
  <c r="AZ165" i="14" s="1"/>
  <c r="AY160" i="14"/>
  <c r="AY165" i="14" s="1"/>
  <c r="AX160" i="14"/>
  <c r="AX165" i="14" s="1"/>
  <c r="AW160" i="14"/>
  <c r="AW165" i="14" s="1"/>
  <c r="AV160" i="14"/>
  <c r="AV165" i="14" s="1"/>
  <c r="AU160" i="14"/>
  <c r="AU165" i="14" s="1"/>
  <c r="AT160" i="14"/>
  <c r="AT165" i="14" s="1"/>
  <c r="AS160" i="14"/>
  <c r="AS165" i="14" s="1"/>
  <c r="AR160" i="14"/>
  <c r="AR165" i="14" s="1"/>
  <c r="AQ160" i="14"/>
  <c r="AQ165" i="14" s="1"/>
  <c r="AP160" i="14"/>
  <c r="AP165" i="14" s="1"/>
  <c r="AO160" i="14"/>
  <c r="AO165" i="14" s="1"/>
  <c r="AN160" i="14"/>
  <c r="AN165" i="14" s="1"/>
  <c r="AM160" i="14"/>
  <c r="AM165" i="14" s="1"/>
  <c r="AL160" i="14"/>
  <c r="AL165" i="14" s="1"/>
  <c r="AK160" i="14"/>
  <c r="AK165" i="14" s="1"/>
  <c r="AJ160" i="14"/>
  <c r="AJ165" i="14" s="1"/>
  <c r="AI160" i="14"/>
  <c r="AI165" i="14" s="1"/>
  <c r="AH160" i="14"/>
  <c r="AH165" i="14" s="1"/>
  <c r="AG160" i="14"/>
  <c r="AG165" i="14" s="1"/>
  <c r="AF160" i="14"/>
  <c r="AF165" i="14" s="1"/>
  <c r="AE160" i="14"/>
  <c r="AE165" i="14" s="1"/>
  <c r="AD160" i="14"/>
  <c r="AD165" i="14" s="1"/>
  <c r="AC160" i="14"/>
  <c r="AC165" i="14" s="1"/>
  <c r="AB160" i="14"/>
  <c r="AB165" i="14" s="1"/>
  <c r="AA160" i="14"/>
  <c r="AA165" i="14" s="1"/>
  <c r="Z160" i="14"/>
  <c r="Z165" i="14" s="1"/>
  <c r="Y160" i="14"/>
  <c r="Y165" i="14" s="1"/>
  <c r="X160" i="14"/>
  <c r="X165" i="14" s="1"/>
  <c r="W160" i="14"/>
  <c r="W165" i="14" s="1"/>
  <c r="V160" i="14"/>
  <c r="V165" i="14" s="1"/>
  <c r="U160" i="14"/>
  <c r="U165" i="14" s="1"/>
  <c r="T160" i="14"/>
  <c r="S160" i="14"/>
  <c r="S165" i="14" s="1"/>
  <c r="R160" i="14"/>
  <c r="R165" i="14" s="1"/>
  <c r="Q160" i="14"/>
  <c r="Q165" i="14" s="1"/>
  <c r="P160" i="14"/>
  <c r="P165" i="14" s="1"/>
  <c r="O160" i="14"/>
  <c r="O165" i="14" s="1"/>
  <c r="N160" i="14"/>
  <c r="N165" i="14" s="1"/>
  <c r="M160" i="14"/>
  <c r="M165" i="14" s="1"/>
  <c r="L160" i="14"/>
  <c r="L165" i="14" s="1"/>
  <c r="K160" i="14"/>
  <c r="K165" i="14" s="1"/>
  <c r="J160" i="14"/>
  <c r="J165" i="14" s="1"/>
  <c r="I160" i="14"/>
  <c r="I165" i="14" s="1"/>
  <c r="H160" i="14"/>
  <c r="H165" i="14" s="1"/>
  <c r="G160" i="14"/>
  <c r="G165" i="14" s="1"/>
  <c r="F160" i="14"/>
  <c r="F165" i="14" s="1"/>
  <c r="E160" i="14"/>
  <c r="E165" i="14" s="1"/>
  <c r="D153" i="14"/>
  <c r="T147" i="14"/>
  <c r="BX146" i="14"/>
  <c r="BW146" i="14"/>
  <c r="BV146" i="14"/>
  <c r="BU146" i="14"/>
  <c r="BT146" i="14"/>
  <c r="BS146" i="14"/>
  <c r="BR146" i="14"/>
  <c r="BQ146" i="14"/>
  <c r="BP146" i="14"/>
  <c r="BO146" i="14"/>
  <c r="BN146" i="14"/>
  <c r="BM146" i="14"/>
  <c r="BL146" i="14"/>
  <c r="BK146" i="14"/>
  <c r="BJ146" i="14"/>
  <c r="BI146" i="14"/>
  <c r="BH146" i="14"/>
  <c r="BG146" i="14"/>
  <c r="BF146" i="14"/>
  <c r="BE146" i="14"/>
  <c r="BD146" i="14"/>
  <c r="BC146" i="14"/>
  <c r="BB146" i="14"/>
  <c r="BA146" i="14"/>
  <c r="AZ146" i="14"/>
  <c r="AY146" i="14"/>
  <c r="AX146" i="14"/>
  <c r="AW146" i="14"/>
  <c r="AV146" i="14"/>
  <c r="AU146" i="14"/>
  <c r="AT146" i="14"/>
  <c r="AS146" i="14"/>
  <c r="AR146" i="14"/>
  <c r="AQ146" i="14"/>
  <c r="AP146" i="14"/>
  <c r="AO146" i="14"/>
  <c r="AN146" i="14"/>
  <c r="AM146" i="14"/>
  <c r="AL146" i="14"/>
  <c r="AK146" i="14"/>
  <c r="AJ146" i="14"/>
  <c r="AI146" i="14"/>
  <c r="AH146" i="14"/>
  <c r="AG146" i="14"/>
  <c r="AF146" i="14"/>
  <c r="AE146" i="14"/>
  <c r="AD146" i="14"/>
  <c r="AC146" i="14"/>
  <c r="AB146" i="14"/>
  <c r="AA146" i="14"/>
  <c r="Z146" i="14"/>
  <c r="Y146" i="14"/>
  <c r="X146" i="14"/>
  <c r="W146" i="14"/>
  <c r="V146" i="14"/>
  <c r="U146" i="14"/>
  <c r="T146" i="14"/>
  <c r="S146" i="14"/>
  <c r="R146" i="14"/>
  <c r="Q146" i="14"/>
  <c r="P146" i="14"/>
  <c r="O146" i="14"/>
  <c r="N146" i="14"/>
  <c r="M146" i="14"/>
  <c r="L146" i="14"/>
  <c r="K146" i="14"/>
  <c r="K149" i="14" s="1"/>
  <c r="J146" i="14"/>
  <c r="I146" i="14"/>
  <c r="I149" i="14" s="1"/>
  <c r="H146" i="14"/>
  <c r="G146" i="14"/>
  <c r="F146" i="14"/>
  <c r="E146" i="14"/>
  <c r="BX144" i="14"/>
  <c r="BW144" i="14"/>
  <c r="BW149" i="14" s="1"/>
  <c r="BV144" i="14"/>
  <c r="BV149" i="14" s="1"/>
  <c r="BU144" i="14"/>
  <c r="BU149" i="14" s="1"/>
  <c r="BT144" i="14"/>
  <c r="BT149" i="14" s="1"/>
  <c r="BS144" i="14"/>
  <c r="BS149" i="14" s="1"/>
  <c r="BR144" i="14"/>
  <c r="BR149" i="14" s="1"/>
  <c r="BQ144" i="14"/>
  <c r="BQ149" i="14" s="1"/>
  <c r="BP144" i="14"/>
  <c r="BP149" i="14" s="1"/>
  <c r="BO144" i="14"/>
  <c r="BO149" i="14" s="1"/>
  <c r="BN144" i="14"/>
  <c r="BN149" i="14" s="1"/>
  <c r="BM144" i="14"/>
  <c r="BM149" i="14" s="1"/>
  <c r="BL144" i="14"/>
  <c r="BL149" i="14" s="1"/>
  <c r="BK144" i="14"/>
  <c r="BK149" i="14" s="1"/>
  <c r="BJ144" i="14"/>
  <c r="BJ149" i="14" s="1"/>
  <c r="BI144" i="14"/>
  <c r="BI149" i="14" s="1"/>
  <c r="BH144" i="14"/>
  <c r="BH149" i="14" s="1"/>
  <c r="BG144" i="14"/>
  <c r="BG149" i="14" s="1"/>
  <c r="BF144" i="14"/>
  <c r="BF149" i="14" s="1"/>
  <c r="BE144" i="14"/>
  <c r="BE149" i="14" s="1"/>
  <c r="BD144" i="14"/>
  <c r="BD149" i="14" s="1"/>
  <c r="BC144" i="14"/>
  <c r="BC149" i="14" s="1"/>
  <c r="BB144" i="14"/>
  <c r="BB149" i="14" s="1"/>
  <c r="BA144" i="14"/>
  <c r="BA149" i="14" s="1"/>
  <c r="AZ144" i="14"/>
  <c r="AZ149" i="14" s="1"/>
  <c r="AY144" i="14"/>
  <c r="AY149" i="14" s="1"/>
  <c r="AX144" i="14"/>
  <c r="AX149" i="14" s="1"/>
  <c r="AW144" i="14"/>
  <c r="AW149" i="14" s="1"/>
  <c r="AV144" i="14"/>
  <c r="AV149" i="14" s="1"/>
  <c r="AU144" i="14"/>
  <c r="AU149" i="14" s="1"/>
  <c r="AT144" i="14"/>
  <c r="AT149" i="14" s="1"/>
  <c r="AS144" i="14"/>
  <c r="AS149" i="14" s="1"/>
  <c r="AR144" i="14"/>
  <c r="AR149" i="14" s="1"/>
  <c r="AQ144" i="14"/>
  <c r="AQ149" i="14" s="1"/>
  <c r="AP144" i="14"/>
  <c r="AP149" i="14" s="1"/>
  <c r="AO144" i="14"/>
  <c r="AO149" i="14" s="1"/>
  <c r="AN144" i="14"/>
  <c r="AN149" i="14" s="1"/>
  <c r="AM144" i="14"/>
  <c r="AM149" i="14" s="1"/>
  <c r="AL144" i="14"/>
  <c r="AL149" i="14" s="1"/>
  <c r="AK144" i="14"/>
  <c r="AK149" i="14" s="1"/>
  <c r="AJ144" i="14"/>
  <c r="AJ149" i="14" s="1"/>
  <c r="AI144" i="14"/>
  <c r="AI149" i="14" s="1"/>
  <c r="AH144" i="14"/>
  <c r="AH149" i="14" s="1"/>
  <c r="AG144" i="14"/>
  <c r="AG149" i="14" s="1"/>
  <c r="AF144" i="14"/>
  <c r="AF149" i="14" s="1"/>
  <c r="AE144" i="14"/>
  <c r="AE149" i="14" s="1"/>
  <c r="AD144" i="14"/>
  <c r="AD149" i="14" s="1"/>
  <c r="AC144" i="14"/>
  <c r="AC149" i="14" s="1"/>
  <c r="AB144" i="14"/>
  <c r="AB149" i="14" s="1"/>
  <c r="AA144" i="14"/>
  <c r="AA149" i="14" s="1"/>
  <c r="Z144" i="14"/>
  <c r="Z149" i="14" s="1"/>
  <c r="Y144" i="14"/>
  <c r="Y149" i="14" s="1"/>
  <c r="X144" i="14"/>
  <c r="X149" i="14" s="1"/>
  <c r="W144" i="14"/>
  <c r="W149" i="14" s="1"/>
  <c r="V144" i="14"/>
  <c r="V149" i="14" s="1"/>
  <c r="U144" i="14"/>
  <c r="U149" i="14" s="1"/>
  <c r="S144" i="14"/>
  <c r="S149" i="14" s="1"/>
  <c r="R144" i="14"/>
  <c r="R149" i="14" s="1"/>
  <c r="Q144" i="14"/>
  <c r="Q149" i="14" s="1"/>
  <c r="P144" i="14"/>
  <c r="P149" i="14" s="1"/>
  <c r="O144" i="14"/>
  <c r="O149" i="14" s="1"/>
  <c r="N144" i="14"/>
  <c r="N149" i="14" s="1"/>
  <c r="M144" i="14"/>
  <c r="M149" i="14" s="1"/>
  <c r="L144" i="14"/>
  <c r="L149" i="14" s="1"/>
  <c r="J144" i="14"/>
  <c r="J149" i="14" s="1"/>
  <c r="H144" i="14"/>
  <c r="G144" i="14"/>
  <c r="G149" i="14" s="1"/>
  <c r="F144" i="14"/>
  <c r="F149" i="14" s="1"/>
  <c r="E144" i="14"/>
  <c r="E149" i="14" s="1"/>
  <c r="E150" i="14" s="1"/>
  <c r="F150" i="14" s="1"/>
  <c r="G150" i="14" s="1"/>
  <c r="D137" i="14"/>
  <c r="BX130" i="14"/>
  <c r="BW130" i="14"/>
  <c r="BV130" i="14"/>
  <c r="BU130" i="14"/>
  <c r="BT130" i="14"/>
  <c r="BS130" i="14"/>
  <c r="BR130" i="14"/>
  <c r="BQ130" i="14"/>
  <c r="BP130" i="14"/>
  <c r="BO130" i="14"/>
  <c r="BN130" i="14"/>
  <c r="BM130" i="14"/>
  <c r="BL130" i="14"/>
  <c r="BK130" i="14"/>
  <c r="BJ130" i="14"/>
  <c r="BI130" i="14"/>
  <c r="BH130" i="14"/>
  <c r="BG130" i="14"/>
  <c r="BF130" i="14"/>
  <c r="BE130" i="14"/>
  <c r="BD130" i="14"/>
  <c r="BC130" i="14"/>
  <c r="BB130" i="14"/>
  <c r="BA130" i="14"/>
  <c r="AZ130" i="14"/>
  <c r="AY130" i="14"/>
  <c r="AX130" i="14"/>
  <c r="AW130" i="14"/>
  <c r="AV130" i="14"/>
  <c r="AU130" i="14"/>
  <c r="AT130" i="14"/>
  <c r="AS130" i="14"/>
  <c r="AR130" i="14"/>
  <c r="AQ130" i="14"/>
  <c r="AP130" i="14"/>
  <c r="AO130" i="14"/>
  <c r="AN130" i="14"/>
  <c r="AM130" i="14"/>
  <c r="AL130" i="14"/>
  <c r="AK130" i="14"/>
  <c r="AJ130" i="14"/>
  <c r="AI130" i="14"/>
  <c r="AH130" i="14"/>
  <c r="AG130" i="14"/>
  <c r="AF130" i="14"/>
  <c r="AE130" i="14"/>
  <c r="AD130" i="14"/>
  <c r="AC130" i="14"/>
  <c r="AB130" i="14"/>
  <c r="AA130" i="14"/>
  <c r="Z130" i="14"/>
  <c r="Y130" i="14"/>
  <c r="X130" i="14"/>
  <c r="W130" i="14"/>
  <c r="V130" i="14"/>
  <c r="U130" i="14"/>
  <c r="S130" i="14"/>
  <c r="R130" i="14"/>
  <c r="Q130" i="14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BX128" i="14"/>
  <c r="BW128" i="14"/>
  <c r="BW133" i="14" s="1"/>
  <c r="BV128" i="14"/>
  <c r="BV133" i="14" s="1"/>
  <c r="BU128" i="14"/>
  <c r="BU133" i="14" s="1"/>
  <c r="BT128" i="14"/>
  <c r="BT133" i="14" s="1"/>
  <c r="BS128" i="14"/>
  <c r="BS133" i="14" s="1"/>
  <c r="BR128" i="14"/>
  <c r="BR133" i="14" s="1"/>
  <c r="BQ128" i="14"/>
  <c r="BQ133" i="14" s="1"/>
  <c r="BP128" i="14"/>
  <c r="BP133" i="14" s="1"/>
  <c r="BO128" i="14"/>
  <c r="BO133" i="14" s="1"/>
  <c r="BN128" i="14"/>
  <c r="BN133" i="14" s="1"/>
  <c r="BM128" i="14"/>
  <c r="BM133" i="14" s="1"/>
  <c r="BL128" i="14"/>
  <c r="BL133" i="14" s="1"/>
  <c r="BK128" i="14"/>
  <c r="BK133" i="14" s="1"/>
  <c r="BJ128" i="14"/>
  <c r="BJ133" i="14" s="1"/>
  <c r="BI128" i="14"/>
  <c r="BI133" i="14" s="1"/>
  <c r="BH128" i="14"/>
  <c r="BH133" i="14" s="1"/>
  <c r="BG128" i="14"/>
  <c r="BG133" i="14" s="1"/>
  <c r="BF128" i="14"/>
  <c r="BF133" i="14" s="1"/>
  <c r="BE128" i="14"/>
  <c r="BE133" i="14" s="1"/>
  <c r="BD128" i="14"/>
  <c r="BD133" i="14" s="1"/>
  <c r="BC128" i="14"/>
  <c r="BC133" i="14" s="1"/>
  <c r="BB128" i="14"/>
  <c r="BB133" i="14" s="1"/>
  <c r="BA128" i="14"/>
  <c r="BA133" i="14" s="1"/>
  <c r="AZ128" i="14"/>
  <c r="AZ133" i="14" s="1"/>
  <c r="AY128" i="14"/>
  <c r="AY133" i="14" s="1"/>
  <c r="AX128" i="14"/>
  <c r="AX133" i="14" s="1"/>
  <c r="AW128" i="14"/>
  <c r="AW133" i="14" s="1"/>
  <c r="AV128" i="14"/>
  <c r="AV133" i="14" s="1"/>
  <c r="AU128" i="14"/>
  <c r="AU133" i="14" s="1"/>
  <c r="AT128" i="14"/>
  <c r="AT133" i="14" s="1"/>
  <c r="AS128" i="14"/>
  <c r="AS133" i="14" s="1"/>
  <c r="AR128" i="14"/>
  <c r="AR133" i="14" s="1"/>
  <c r="AQ128" i="14"/>
  <c r="AQ133" i="14" s="1"/>
  <c r="AP128" i="14"/>
  <c r="AP133" i="14" s="1"/>
  <c r="AO128" i="14"/>
  <c r="AO133" i="14" s="1"/>
  <c r="AN128" i="14"/>
  <c r="AN133" i="14" s="1"/>
  <c r="AM128" i="14"/>
  <c r="AM133" i="14" s="1"/>
  <c r="AL128" i="14"/>
  <c r="AL133" i="14" s="1"/>
  <c r="AK128" i="14"/>
  <c r="AK133" i="14" s="1"/>
  <c r="AJ128" i="14"/>
  <c r="AJ133" i="14" s="1"/>
  <c r="AI128" i="14"/>
  <c r="AI133" i="14" s="1"/>
  <c r="AH128" i="14"/>
  <c r="AH133" i="14" s="1"/>
  <c r="AG128" i="14"/>
  <c r="AG133" i="14" s="1"/>
  <c r="AF128" i="14"/>
  <c r="AF133" i="14" s="1"/>
  <c r="AE128" i="14"/>
  <c r="AE133" i="14" s="1"/>
  <c r="AD128" i="14"/>
  <c r="AD133" i="14" s="1"/>
  <c r="AC128" i="14"/>
  <c r="AC133" i="14" s="1"/>
  <c r="AB128" i="14"/>
  <c r="AB133" i="14" s="1"/>
  <c r="AA128" i="14"/>
  <c r="AA133" i="14" s="1"/>
  <c r="Z128" i="14"/>
  <c r="Z133" i="14" s="1"/>
  <c r="Y128" i="14"/>
  <c r="Y133" i="14" s="1"/>
  <c r="X128" i="14"/>
  <c r="X133" i="14" s="1"/>
  <c r="W128" i="14"/>
  <c r="W133" i="14" s="1"/>
  <c r="V128" i="14"/>
  <c r="V133" i="14" s="1"/>
  <c r="U128" i="14"/>
  <c r="U133" i="14" s="1"/>
  <c r="S128" i="14"/>
  <c r="S133" i="14" s="1"/>
  <c r="R128" i="14"/>
  <c r="R133" i="14" s="1"/>
  <c r="Q128" i="14"/>
  <c r="Q133" i="14" s="1"/>
  <c r="P128" i="14"/>
  <c r="P133" i="14" s="1"/>
  <c r="O128" i="14"/>
  <c r="O133" i="14" s="1"/>
  <c r="N128" i="14"/>
  <c r="N133" i="14" s="1"/>
  <c r="M128" i="14"/>
  <c r="M133" i="14" s="1"/>
  <c r="L128" i="14"/>
  <c r="L133" i="14" s="1"/>
  <c r="K128" i="14"/>
  <c r="K133" i="14" s="1"/>
  <c r="J128" i="14"/>
  <c r="J133" i="14" s="1"/>
  <c r="I128" i="14"/>
  <c r="I133" i="14" s="1"/>
  <c r="H128" i="14"/>
  <c r="H133" i="14" s="1"/>
  <c r="G128" i="14"/>
  <c r="G133" i="14" s="1"/>
  <c r="F128" i="14"/>
  <c r="F133" i="14" s="1"/>
  <c r="E128" i="14"/>
  <c r="BX112" i="14"/>
  <c r="BW112" i="14"/>
  <c r="BV112" i="14"/>
  <c r="BU112" i="14"/>
  <c r="BT112" i="14"/>
  <c r="BS112" i="14"/>
  <c r="BR112" i="14"/>
  <c r="BQ112" i="14"/>
  <c r="BP112" i="14"/>
  <c r="BO112" i="14"/>
  <c r="BN112" i="14"/>
  <c r="BM112" i="14"/>
  <c r="BL112" i="14"/>
  <c r="BK112" i="14"/>
  <c r="BJ112" i="14"/>
  <c r="BI112" i="14"/>
  <c r="BH112" i="14"/>
  <c r="BG112" i="14"/>
  <c r="BF112" i="14"/>
  <c r="BE112" i="14"/>
  <c r="BD112" i="14"/>
  <c r="BC112" i="14"/>
  <c r="BB112" i="14"/>
  <c r="BA112" i="14"/>
  <c r="AZ112" i="14"/>
  <c r="AY112" i="14"/>
  <c r="AX112" i="14"/>
  <c r="AW112" i="14"/>
  <c r="AV112" i="14"/>
  <c r="AU112" i="14"/>
  <c r="AT112" i="14"/>
  <c r="AS112" i="14"/>
  <c r="AR112" i="14"/>
  <c r="AQ112" i="14"/>
  <c r="AP112" i="14"/>
  <c r="AO112" i="14"/>
  <c r="AN112" i="14"/>
  <c r="AM112" i="14"/>
  <c r="AL112" i="14"/>
  <c r="AK112" i="14"/>
  <c r="AJ112" i="14"/>
  <c r="AI112" i="14"/>
  <c r="AH112" i="14"/>
  <c r="AG112" i="14"/>
  <c r="AF112" i="14"/>
  <c r="AE112" i="14"/>
  <c r="AD112" i="14"/>
  <c r="AC112" i="14"/>
  <c r="AB112" i="14"/>
  <c r="AA112" i="14"/>
  <c r="Z112" i="14"/>
  <c r="Y112" i="14"/>
  <c r="X112" i="14"/>
  <c r="W112" i="14"/>
  <c r="V112" i="14"/>
  <c r="U112" i="14"/>
  <c r="S112" i="14"/>
  <c r="R112" i="14"/>
  <c r="Q112" i="14"/>
  <c r="P112" i="14"/>
  <c r="O112" i="14"/>
  <c r="N112" i="14"/>
  <c r="M112" i="14"/>
  <c r="L112" i="14"/>
  <c r="K112" i="14"/>
  <c r="J112" i="14"/>
  <c r="I112" i="14"/>
  <c r="H112" i="14"/>
  <c r="G112" i="14"/>
  <c r="F112" i="14"/>
  <c r="E112" i="14"/>
  <c r="H111" i="14"/>
  <c r="D119" i="14" s="1"/>
  <c r="BX110" i="14"/>
  <c r="BW110" i="14"/>
  <c r="BW116" i="14" s="1"/>
  <c r="BV110" i="14"/>
  <c r="BV116" i="14" s="1"/>
  <c r="BU110" i="14"/>
  <c r="BU116" i="14" s="1"/>
  <c r="BT110" i="14"/>
  <c r="BT116" i="14" s="1"/>
  <c r="BS110" i="14"/>
  <c r="BS116" i="14" s="1"/>
  <c r="BR110" i="14"/>
  <c r="BR116" i="14" s="1"/>
  <c r="BQ110" i="14"/>
  <c r="BQ116" i="14" s="1"/>
  <c r="BP110" i="14"/>
  <c r="BP116" i="14" s="1"/>
  <c r="BO110" i="14"/>
  <c r="BO116" i="14" s="1"/>
  <c r="BN110" i="14"/>
  <c r="BN116" i="14" s="1"/>
  <c r="BM110" i="14"/>
  <c r="BM116" i="14" s="1"/>
  <c r="BL110" i="14"/>
  <c r="BL116" i="14" s="1"/>
  <c r="BK110" i="14"/>
  <c r="BK116" i="14" s="1"/>
  <c r="BJ110" i="14"/>
  <c r="BJ116" i="14" s="1"/>
  <c r="BI110" i="14"/>
  <c r="BI116" i="14" s="1"/>
  <c r="BH110" i="14"/>
  <c r="BH116" i="14" s="1"/>
  <c r="BG110" i="14"/>
  <c r="BG116" i="14" s="1"/>
  <c r="BF110" i="14"/>
  <c r="BF116" i="14" s="1"/>
  <c r="BE110" i="14"/>
  <c r="BE116" i="14" s="1"/>
  <c r="BD110" i="14"/>
  <c r="BD116" i="14" s="1"/>
  <c r="BC110" i="14"/>
  <c r="BC116" i="14" s="1"/>
  <c r="BB110" i="14"/>
  <c r="BB116" i="14" s="1"/>
  <c r="BA110" i="14"/>
  <c r="BA116" i="14" s="1"/>
  <c r="AZ110" i="14"/>
  <c r="AZ116" i="14" s="1"/>
  <c r="AY110" i="14"/>
  <c r="AY116" i="14" s="1"/>
  <c r="AX110" i="14"/>
  <c r="AX116" i="14" s="1"/>
  <c r="AW110" i="14"/>
  <c r="AW116" i="14" s="1"/>
  <c r="AV110" i="14"/>
  <c r="AV116" i="14" s="1"/>
  <c r="AU110" i="14"/>
  <c r="AU116" i="14" s="1"/>
  <c r="AT110" i="14"/>
  <c r="AT116" i="14" s="1"/>
  <c r="AS110" i="14"/>
  <c r="AS116" i="14" s="1"/>
  <c r="AR110" i="14"/>
  <c r="AR116" i="14" s="1"/>
  <c r="AQ110" i="14"/>
  <c r="AQ116" i="14" s="1"/>
  <c r="AP110" i="14"/>
  <c r="AP116" i="14" s="1"/>
  <c r="AO110" i="14"/>
  <c r="AO116" i="14" s="1"/>
  <c r="AN110" i="14"/>
  <c r="AN116" i="14" s="1"/>
  <c r="AM110" i="14"/>
  <c r="AM116" i="14" s="1"/>
  <c r="AL110" i="14"/>
  <c r="AL116" i="14" s="1"/>
  <c r="AK110" i="14"/>
  <c r="AK116" i="14" s="1"/>
  <c r="AJ110" i="14"/>
  <c r="AJ116" i="14" s="1"/>
  <c r="AI110" i="14"/>
  <c r="AI116" i="14" s="1"/>
  <c r="AH110" i="14"/>
  <c r="AH116" i="14" s="1"/>
  <c r="AG110" i="14"/>
  <c r="AG116" i="14" s="1"/>
  <c r="AF110" i="14"/>
  <c r="AF116" i="14" s="1"/>
  <c r="AE110" i="14"/>
  <c r="AE116" i="14" s="1"/>
  <c r="AD110" i="14"/>
  <c r="AD116" i="14" s="1"/>
  <c r="AC110" i="14"/>
  <c r="AC116" i="14" s="1"/>
  <c r="AB110" i="14"/>
  <c r="AB116" i="14" s="1"/>
  <c r="AA110" i="14"/>
  <c r="AA116" i="14" s="1"/>
  <c r="Z110" i="14"/>
  <c r="Z116" i="14" s="1"/>
  <c r="Y110" i="14"/>
  <c r="Y116" i="14" s="1"/>
  <c r="X110" i="14"/>
  <c r="X116" i="14" s="1"/>
  <c r="W110" i="14"/>
  <c r="W116" i="14" s="1"/>
  <c r="V110" i="14"/>
  <c r="V116" i="14" s="1"/>
  <c r="U110" i="14"/>
  <c r="U116" i="14" s="1"/>
  <c r="S110" i="14"/>
  <c r="S116" i="14" s="1"/>
  <c r="R110" i="14"/>
  <c r="R116" i="14" s="1"/>
  <c r="Q110" i="14"/>
  <c r="Q116" i="14" s="1"/>
  <c r="P110" i="14"/>
  <c r="P116" i="14" s="1"/>
  <c r="O110" i="14"/>
  <c r="O116" i="14" s="1"/>
  <c r="N110" i="14"/>
  <c r="N116" i="14" s="1"/>
  <c r="M110" i="14"/>
  <c r="M116" i="14" s="1"/>
  <c r="L110" i="14"/>
  <c r="L116" i="14" s="1"/>
  <c r="K110" i="14"/>
  <c r="K116" i="14" s="1"/>
  <c r="J110" i="14"/>
  <c r="J116" i="14" s="1"/>
  <c r="I110" i="14"/>
  <c r="I116" i="14" s="1"/>
  <c r="G110" i="14"/>
  <c r="G116" i="14" s="1"/>
  <c r="F110" i="14"/>
  <c r="F116" i="14" s="1"/>
  <c r="E110" i="14"/>
  <c r="E116" i="14" s="1"/>
  <c r="BW102" i="14"/>
  <c r="BV102" i="14"/>
  <c r="BU102" i="14"/>
  <c r="BT102" i="14"/>
  <c r="BS102" i="14"/>
  <c r="BR102" i="14"/>
  <c r="BQ102" i="14"/>
  <c r="BP102" i="14"/>
  <c r="BO102" i="14"/>
  <c r="BN102" i="14"/>
  <c r="BM102" i="14"/>
  <c r="BL102" i="14"/>
  <c r="BK102" i="14"/>
  <c r="BJ102" i="14"/>
  <c r="BI102" i="14"/>
  <c r="BH102" i="14"/>
  <c r="BG102" i="14"/>
  <c r="BF102" i="14"/>
  <c r="BE102" i="14"/>
  <c r="BD102" i="14"/>
  <c r="BC102" i="14"/>
  <c r="BB102" i="14"/>
  <c r="BA102" i="14"/>
  <c r="AZ102" i="14"/>
  <c r="AY102" i="14"/>
  <c r="AX102" i="14"/>
  <c r="AW102" i="14"/>
  <c r="AV102" i="14"/>
  <c r="AU102" i="14"/>
  <c r="AT102" i="14"/>
  <c r="AS102" i="14"/>
  <c r="AR102" i="14"/>
  <c r="AQ102" i="14"/>
  <c r="AP102" i="14"/>
  <c r="AO102" i="14"/>
  <c r="AN102" i="14"/>
  <c r="AM102" i="14"/>
  <c r="AL102" i="14"/>
  <c r="AK102" i="14"/>
  <c r="AJ102" i="14"/>
  <c r="AI102" i="14"/>
  <c r="AH102" i="14"/>
  <c r="AG102" i="14"/>
  <c r="AF102" i="14"/>
  <c r="AE102" i="14"/>
  <c r="AD102" i="14"/>
  <c r="AC102" i="14"/>
  <c r="AB102" i="14"/>
  <c r="AA102" i="14"/>
  <c r="Z102" i="14"/>
  <c r="Y102" i="14"/>
  <c r="X102" i="14"/>
  <c r="W102" i="14"/>
  <c r="V102" i="14"/>
  <c r="U102" i="14"/>
  <c r="S102" i="14"/>
  <c r="R102" i="14"/>
  <c r="Q102" i="14"/>
  <c r="P102" i="14"/>
  <c r="O102" i="14"/>
  <c r="N102" i="14"/>
  <c r="M102" i="14"/>
  <c r="L102" i="14"/>
  <c r="K102" i="14"/>
  <c r="J102" i="14"/>
  <c r="I102" i="14"/>
  <c r="G102" i="14"/>
  <c r="F102" i="14"/>
  <c r="E102" i="14"/>
  <c r="G98" i="14"/>
  <c r="BY94" i="14"/>
  <c r="BY93" i="14"/>
  <c r="BY92" i="14"/>
  <c r="BY91" i="14"/>
  <c r="BX88" i="14"/>
  <c r="BW88" i="14"/>
  <c r="BV88" i="14"/>
  <c r="BU88" i="14"/>
  <c r="BT88" i="14"/>
  <c r="BS88" i="14"/>
  <c r="BR88" i="14"/>
  <c r="BQ88" i="14"/>
  <c r="BP88" i="14"/>
  <c r="BO88" i="14"/>
  <c r="BN88" i="14"/>
  <c r="BM88" i="14"/>
  <c r="BL88" i="14"/>
  <c r="BK88" i="14"/>
  <c r="BJ88" i="14"/>
  <c r="BI88" i="14"/>
  <c r="BH88" i="14"/>
  <c r="BG88" i="14"/>
  <c r="BF88" i="14"/>
  <c r="BE88" i="14"/>
  <c r="BD88" i="14"/>
  <c r="BC88" i="14"/>
  <c r="BB88" i="14"/>
  <c r="BA88" i="14"/>
  <c r="AZ88" i="14"/>
  <c r="AY88" i="14"/>
  <c r="AX88" i="14"/>
  <c r="AW88" i="14"/>
  <c r="AV88" i="14"/>
  <c r="AU88" i="14"/>
  <c r="AT88" i="14"/>
  <c r="AS88" i="14"/>
  <c r="AR88" i="14"/>
  <c r="AQ88" i="14"/>
  <c r="AP88" i="14"/>
  <c r="AO88" i="14"/>
  <c r="AN88" i="14"/>
  <c r="AM88" i="14"/>
  <c r="AL88" i="14"/>
  <c r="AK88" i="14"/>
  <c r="AJ88" i="14"/>
  <c r="AI88" i="14"/>
  <c r="AH88" i="14"/>
  <c r="AG88" i="14"/>
  <c r="AF88" i="14"/>
  <c r="AE88" i="14"/>
  <c r="AD88" i="14"/>
  <c r="AC88" i="14"/>
  <c r="AB88" i="14"/>
  <c r="AA88" i="14"/>
  <c r="Z88" i="14"/>
  <c r="Y88" i="14"/>
  <c r="X88" i="14"/>
  <c r="W88" i="14"/>
  <c r="V88" i="14"/>
  <c r="U88" i="14"/>
  <c r="P88" i="14"/>
  <c r="O88" i="14"/>
  <c r="N88" i="14"/>
  <c r="M88" i="14"/>
  <c r="L88" i="14"/>
  <c r="K88" i="14"/>
  <c r="J88" i="14"/>
  <c r="I88" i="14"/>
  <c r="H88" i="14"/>
  <c r="G88" i="14"/>
  <c r="F88" i="14"/>
  <c r="E88" i="14"/>
  <c r="BY87" i="14"/>
  <c r="BY86" i="14"/>
  <c r="BY85" i="14"/>
  <c r="BX85" i="14"/>
  <c r="BW85" i="14"/>
  <c r="BV85" i="14"/>
  <c r="BU85" i="14"/>
  <c r="BT85" i="14"/>
  <c r="BS85" i="14"/>
  <c r="BR85" i="14"/>
  <c r="BQ85" i="14"/>
  <c r="BP85" i="14"/>
  <c r="BO85" i="14"/>
  <c r="BN85" i="14"/>
  <c r="BM85" i="14"/>
  <c r="BL85" i="14"/>
  <c r="BK85" i="14"/>
  <c r="BJ85" i="14"/>
  <c r="BI85" i="14"/>
  <c r="BH85" i="14"/>
  <c r="BG85" i="14"/>
  <c r="BF85" i="14"/>
  <c r="BE85" i="14"/>
  <c r="BD85" i="14"/>
  <c r="BC85" i="14"/>
  <c r="BB85" i="14"/>
  <c r="BA85" i="14"/>
  <c r="AZ85" i="14"/>
  <c r="AY85" i="14"/>
  <c r="AX85" i="14"/>
  <c r="AW85" i="14"/>
  <c r="AV85" i="14"/>
  <c r="AU85" i="14"/>
  <c r="AT85" i="14"/>
  <c r="AS85" i="14"/>
  <c r="AR85" i="14"/>
  <c r="AQ85" i="14"/>
  <c r="AP85" i="14"/>
  <c r="AO85" i="14"/>
  <c r="AN85" i="14"/>
  <c r="AM85" i="14"/>
  <c r="AL85" i="14"/>
  <c r="AK85" i="14"/>
  <c r="AJ85" i="14"/>
  <c r="AI85" i="14"/>
  <c r="AH85" i="14"/>
  <c r="AG85" i="14"/>
  <c r="AF85" i="14"/>
  <c r="AE85" i="14"/>
  <c r="AD85" i="14"/>
  <c r="AC85" i="14"/>
  <c r="AB85" i="14"/>
  <c r="AA85" i="14"/>
  <c r="Z85" i="14"/>
  <c r="Y85" i="14"/>
  <c r="X85" i="14"/>
  <c r="W85" i="14"/>
  <c r="V85" i="14"/>
  <c r="U85" i="14"/>
  <c r="T85" i="14"/>
  <c r="S85" i="14"/>
  <c r="R85" i="14"/>
  <c r="Q85" i="14"/>
  <c r="P85" i="14"/>
  <c r="O85" i="14"/>
  <c r="N85" i="14"/>
  <c r="M85" i="14"/>
  <c r="L85" i="14"/>
  <c r="K85" i="14"/>
  <c r="J85" i="14"/>
  <c r="I85" i="14"/>
  <c r="H85" i="14"/>
  <c r="G85" i="14"/>
  <c r="F85" i="14"/>
  <c r="E85" i="14"/>
  <c r="BY84" i="14"/>
  <c r="BY83" i="14"/>
  <c r="BY82" i="14"/>
  <c r="BY81" i="14"/>
  <c r="BY79" i="14"/>
  <c r="BY78" i="14"/>
  <c r="BY77" i="14"/>
  <c r="BY76" i="14"/>
  <c r="BY75" i="14"/>
  <c r="BY74" i="14"/>
  <c r="BY73" i="14"/>
  <c r="BY72" i="14"/>
  <c r="BY71" i="14"/>
  <c r="BY70" i="14"/>
  <c r="BY69" i="14"/>
  <c r="BY68" i="14"/>
  <c r="BY67" i="14"/>
  <c r="BY66" i="14"/>
  <c r="BY65" i="14"/>
  <c r="BY64" i="14"/>
  <c r="BY63" i="14"/>
  <c r="BY62" i="14"/>
  <c r="BX61" i="14"/>
  <c r="BW61" i="14"/>
  <c r="BV61" i="14"/>
  <c r="BU61" i="14"/>
  <c r="BT61" i="14"/>
  <c r="BS61" i="14"/>
  <c r="BR61" i="14"/>
  <c r="BQ61" i="14"/>
  <c r="BP61" i="14"/>
  <c r="BO61" i="14"/>
  <c r="BN61" i="14"/>
  <c r="BM61" i="14"/>
  <c r="BL61" i="14"/>
  <c r="BK61" i="14"/>
  <c r="BJ61" i="14"/>
  <c r="BI61" i="14"/>
  <c r="BH61" i="14"/>
  <c r="BG61" i="14"/>
  <c r="BF61" i="14"/>
  <c r="BE61" i="14"/>
  <c r="BD61" i="14"/>
  <c r="BC61" i="14"/>
  <c r="BB61" i="14"/>
  <c r="BA61" i="14"/>
  <c r="AZ61" i="14"/>
  <c r="AY61" i="14"/>
  <c r="AX61" i="14"/>
  <c r="AW61" i="14"/>
  <c r="AV61" i="14"/>
  <c r="AU61" i="14"/>
  <c r="AT61" i="14"/>
  <c r="AS61" i="14"/>
  <c r="AR61" i="14"/>
  <c r="AQ61" i="14"/>
  <c r="AP61" i="14"/>
  <c r="AO61" i="14"/>
  <c r="AN61" i="14"/>
  <c r="AM61" i="14"/>
  <c r="AL61" i="14"/>
  <c r="AK61" i="14"/>
  <c r="AJ61" i="14"/>
  <c r="AI61" i="14"/>
  <c r="AH61" i="14"/>
  <c r="AG61" i="14"/>
  <c r="AF61" i="14"/>
  <c r="AE61" i="14"/>
  <c r="AD61" i="14"/>
  <c r="AC61" i="14"/>
  <c r="AB61" i="14"/>
  <c r="AA61" i="14"/>
  <c r="Z61" i="14"/>
  <c r="Y61" i="14"/>
  <c r="X61" i="14"/>
  <c r="W61" i="14"/>
  <c r="V61" i="14"/>
  <c r="U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BY59" i="14"/>
  <c r="D59" i="14"/>
  <c r="BY58" i="14"/>
  <c r="BY57" i="14"/>
  <c r="BY56" i="14"/>
  <c r="BY54" i="14"/>
  <c r="BX53" i="14"/>
  <c r="BW53" i="14"/>
  <c r="BV53" i="14"/>
  <c r="BU53" i="14"/>
  <c r="BT53" i="14"/>
  <c r="BS53" i="14"/>
  <c r="BR53" i="14"/>
  <c r="BQ53" i="14"/>
  <c r="BP53" i="14"/>
  <c r="BO53" i="14"/>
  <c r="BN53" i="14"/>
  <c r="BM53" i="14"/>
  <c r="BL53" i="14"/>
  <c r="BK53" i="14"/>
  <c r="BJ53" i="14"/>
  <c r="BI53" i="14"/>
  <c r="BH53" i="14"/>
  <c r="BG53" i="14"/>
  <c r="BF53" i="14"/>
  <c r="BE53" i="14"/>
  <c r="BD53" i="14"/>
  <c r="BC53" i="14"/>
  <c r="BB53" i="14"/>
  <c r="BA53" i="14"/>
  <c r="AZ53" i="14"/>
  <c r="AY53" i="14"/>
  <c r="AX53" i="14"/>
  <c r="AW53" i="14"/>
  <c r="AV53" i="14"/>
  <c r="AU53" i="14"/>
  <c r="AT53" i="14"/>
  <c r="AS53" i="14"/>
  <c r="AR53" i="14"/>
  <c r="AQ53" i="14"/>
  <c r="AP53" i="14"/>
  <c r="AO53" i="14"/>
  <c r="AN53" i="14"/>
  <c r="AM53" i="14"/>
  <c r="AL53" i="14"/>
  <c r="AK53" i="14"/>
  <c r="AJ53" i="14"/>
  <c r="AI53" i="14"/>
  <c r="AH53" i="14"/>
  <c r="AG53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I52" i="14"/>
  <c r="BY52" i="14" s="1"/>
  <c r="I51" i="14"/>
  <c r="H51" i="14"/>
  <c r="BY50" i="14"/>
  <c r="BY49" i="14"/>
  <c r="K48" i="14"/>
  <c r="BY48" i="14" s="1"/>
  <c r="BX47" i="14"/>
  <c r="BW47" i="14"/>
  <c r="BV47" i="14"/>
  <c r="BU47" i="14"/>
  <c r="BT47" i="14"/>
  <c r="BS47" i="14"/>
  <c r="BR47" i="14"/>
  <c r="BQ47" i="14"/>
  <c r="BP47" i="14"/>
  <c r="BO47" i="14"/>
  <c r="BN47" i="14"/>
  <c r="BM47" i="14"/>
  <c r="BL47" i="14"/>
  <c r="BK47" i="14"/>
  <c r="BJ47" i="14"/>
  <c r="BI47" i="14"/>
  <c r="BH47" i="14"/>
  <c r="BG47" i="14"/>
  <c r="BF47" i="14"/>
  <c r="BE47" i="14"/>
  <c r="BD47" i="14"/>
  <c r="BC47" i="14"/>
  <c r="BB47" i="14"/>
  <c r="BA47" i="14"/>
  <c r="AZ47" i="14"/>
  <c r="AY47" i="14"/>
  <c r="AX47" i="14"/>
  <c r="AW47" i="14"/>
  <c r="AV47" i="14"/>
  <c r="AU47" i="14"/>
  <c r="AT47" i="14"/>
  <c r="AS47" i="14"/>
  <c r="AR47" i="14"/>
  <c r="AQ47" i="14"/>
  <c r="AP47" i="14"/>
  <c r="AO47" i="14"/>
  <c r="AN47" i="14"/>
  <c r="AM47" i="14"/>
  <c r="AL47" i="14"/>
  <c r="AK47" i="14"/>
  <c r="AJ47" i="14"/>
  <c r="AI47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I47" i="14"/>
  <c r="H47" i="14"/>
  <c r="G47" i="14"/>
  <c r="F47" i="14"/>
  <c r="E47" i="14"/>
  <c r="O46" i="14"/>
  <c r="J46" i="14"/>
  <c r="BY46" i="14" s="1"/>
  <c r="BY45" i="14"/>
  <c r="H44" i="14"/>
  <c r="I43" i="14"/>
  <c r="H43" i="14"/>
  <c r="I42" i="14"/>
  <c r="H42" i="14"/>
  <c r="BY41" i="14"/>
  <c r="BY40" i="14"/>
  <c r="BY39" i="14"/>
  <c r="P38" i="14"/>
  <c r="O38" i="14"/>
  <c r="N38" i="14"/>
  <c r="M38" i="14"/>
  <c r="L38" i="14"/>
  <c r="K38" i="14"/>
  <c r="J38" i="14"/>
  <c r="I38" i="14"/>
  <c r="BY38" i="14" s="1"/>
  <c r="BX37" i="14"/>
  <c r="BW37" i="14"/>
  <c r="BV37" i="14"/>
  <c r="BU37" i="14"/>
  <c r="BT37" i="14"/>
  <c r="BS37" i="14"/>
  <c r="BR37" i="14"/>
  <c r="BQ37" i="14"/>
  <c r="BP37" i="14"/>
  <c r="BO37" i="14"/>
  <c r="BN37" i="14"/>
  <c r="BM37" i="14"/>
  <c r="BL37" i="14"/>
  <c r="BK37" i="14"/>
  <c r="BJ37" i="14"/>
  <c r="BI37" i="14"/>
  <c r="BH37" i="14"/>
  <c r="BG37" i="14"/>
  <c r="BF37" i="14"/>
  <c r="BE37" i="14"/>
  <c r="BD37" i="14"/>
  <c r="BC37" i="14"/>
  <c r="BB37" i="14"/>
  <c r="BA37" i="14"/>
  <c r="AZ37" i="14"/>
  <c r="AY37" i="14"/>
  <c r="AX37" i="14"/>
  <c r="AW37" i="14"/>
  <c r="AV37" i="14"/>
  <c r="AU37" i="14"/>
  <c r="AT37" i="14"/>
  <c r="AS37" i="14"/>
  <c r="AR37" i="14"/>
  <c r="AQ37" i="14"/>
  <c r="AP37" i="14"/>
  <c r="AO37" i="14"/>
  <c r="AN37" i="14"/>
  <c r="AM37" i="14"/>
  <c r="AL37" i="14"/>
  <c r="AK37" i="14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I37" i="14"/>
  <c r="H37" i="14"/>
  <c r="G37" i="14"/>
  <c r="F37" i="14"/>
  <c r="E37" i="14"/>
  <c r="BY36" i="14"/>
  <c r="BY35" i="14"/>
  <c r="BY34" i="14"/>
  <c r="BX34" i="14"/>
  <c r="BW34" i="14"/>
  <c r="BV34" i="14"/>
  <c r="BU34" i="14"/>
  <c r="BT34" i="14"/>
  <c r="BS34" i="14"/>
  <c r="BR34" i="14"/>
  <c r="BQ34" i="14"/>
  <c r="BP34" i="14"/>
  <c r="BO34" i="14"/>
  <c r="BN34" i="14"/>
  <c r="BM34" i="14"/>
  <c r="BL34" i="14"/>
  <c r="BK34" i="14"/>
  <c r="BJ34" i="14"/>
  <c r="BI34" i="14"/>
  <c r="BH34" i="14"/>
  <c r="BG34" i="14"/>
  <c r="BF34" i="14"/>
  <c r="BE34" i="14"/>
  <c r="BD34" i="14"/>
  <c r="BC34" i="14"/>
  <c r="BB34" i="14"/>
  <c r="BA34" i="14"/>
  <c r="AZ34" i="14"/>
  <c r="AY34" i="14"/>
  <c r="AX34" i="14"/>
  <c r="AW34" i="14"/>
  <c r="AV34" i="14"/>
  <c r="AU34" i="14"/>
  <c r="AT34" i="14"/>
  <c r="AS34" i="14"/>
  <c r="AR34" i="14"/>
  <c r="AQ34" i="14"/>
  <c r="AP34" i="14"/>
  <c r="AO34" i="14"/>
  <c r="AN34" i="14"/>
  <c r="AM34" i="14"/>
  <c r="AL34" i="14"/>
  <c r="AK34" i="14"/>
  <c r="AJ34" i="14"/>
  <c r="AI34" i="14"/>
  <c r="AH34" i="14"/>
  <c r="AG34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BY33" i="14"/>
  <c r="L32" i="14"/>
  <c r="I32" i="14"/>
  <c r="BY32" i="14" s="1"/>
  <c r="H31" i="14"/>
  <c r="BY31" i="14" s="1"/>
  <c r="BY30" i="14"/>
  <c r="BY29" i="14"/>
  <c r="BY28" i="14"/>
  <c r="P27" i="14"/>
  <c r="O27" i="14"/>
  <c r="N27" i="14"/>
  <c r="M27" i="14"/>
  <c r="L27" i="14"/>
  <c r="K27" i="14"/>
  <c r="BY27" i="14" s="1"/>
  <c r="BY26" i="14"/>
  <c r="BX26" i="14"/>
  <c r="BW26" i="14"/>
  <c r="BV26" i="14"/>
  <c r="BU26" i="14"/>
  <c r="BT26" i="14"/>
  <c r="BS26" i="14"/>
  <c r="BR26" i="14"/>
  <c r="BQ26" i="14"/>
  <c r="BP26" i="14"/>
  <c r="BO26" i="14"/>
  <c r="BN26" i="14"/>
  <c r="BM26" i="14"/>
  <c r="BL26" i="14"/>
  <c r="BK26" i="14"/>
  <c r="BJ26" i="14"/>
  <c r="BI26" i="14"/>
  <c r="BH26" i="14"/>
  <c r="BG26" i="14"/>
  <c r="BF26" i="14"/>
  <c r="BE26" i="14"/>
  <c r="BD26" i="14"/>
  <c r="BC26" i="14"/>
  <c r="BB26" i="14"/>
  <c r="BA26" i="14"/>
  <c r="AZ26" i="14"/>
  <c r="AY26" i="14"/>
  <c r="AX26" i="14"/>
  <c r="AW26" i="14"/>
  <c r="AV26" i="14"/>
  <c r="AU26" i="14"/>
  <c r="AT26" i="14"/>
  <c r="AS26" i="14"/>
  <c r="AR26" i="14"/>
  <c r="AQ26" i="14"/>
  <c r="AP26" i="14"/>
  <c r="AO26" i="14"/>
  <c r="AN26" i="14"/>
  <c r="AM26" i="14"/>
  <c r="AL26" i="14"/>
  <c r="AK26" i="14"/>
  <c r="AJ26" i="14"/>
  <c r="AI26" i="14"/>
  <c r="AH26" i="14"/>
  <c r="AG26" i="14"/>
  <c r="AF26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K25" i="14"/>
  <c r="BY25" i="14" s="1"/>
  <c r="K24" i="14"/>
  <c r="I24" i="14"/>
  <c r="BY24" i="14" s="1"/>
  <c r="CE23" i="14"/>
  <c r="BY23" i="14"/>
  <c r="BX23" i="14"/>
  <c r="BW23" i="14"/>
  <c r="BV23" i="14"/>
  <c r="BU23" i="14"/>
  <c r="BT23" i="14"/>
  <c r="BS23" i="14"/>
  <c r="BR23" i="14"/>
  <c r="BQ23" i="14"/>
  <c r="BP23" i="14"/>
  <c r="BO23" i="14"/>
  <c r="BN23" i="14"/>
  <c r="BM23" i="14"/>
  <c r="BL23" i="14"/>
  <c r="BK23" i="14"/>
  <c r="BJ23" i="14"/>
  <c r="BI23" i="14"/>
  <c r="BH23" i="14"/>
  <c r="BG23" i="14"/>
  <c r="BF23" i="14"/>
  <c r="BE23" i="14"/>
  <c r="BD23" i="14"/>
  <c r="BC23" i="14"/>
  <c r="BB23" i="14"/>
  <c r="BA23" i="14"/>
  <c r="AZ23" i="14"/>
  <c r="AY23" i="14"/>
  <c r="AX23" i="14"/>
  <c r="AW23" i="14"/>
  <c r="AV23" i="14"/>
  <c r="AU23" i="14"/>
  <c r="AT23" i="14"/>
  <c r="AS23" i="14"/>
  <c r="AR23" i="14"/>
  <c r="AQ23" i="14"/>
  <c r="AP23" i="14"/>
  <c r="AO23" i="14"/>
  <c r="AN23" i="14"/>
  <c r="AM23" i="14"/>
  <c r="AL23" i="14"/>
  <c r="AK23" i="14"/>
  <c r="AJ23" i="14"/>
  <c r="AI23" i="14"/>
  <c r="AH23" i="14"/>
  <c r="AG23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BY22" i="14"/>
  <c r="BY21" i="14"/>
  <c r="BY20" i="14"/>
  <c r="BY19" i="14"/>
  <c r="J18" i="14"/>
  <c r="H18" i="14"/>
  <c r="BY18" i="14" s="1"/>
  <c r="BY17" i="14"/>
  <c r="BX17" i="14"/>
  <c r="BX96" i="14" s="1"/>
  <c r="BW17" i="14"/>
  <c r="BW96" i="14" s="1"/>
  <c r="BV17" i="14"/>
  <c r="BV96" i="14" s="1"/>
  <c r="BU17" i="14"/>
  <c r="BU96" i="14" s="1"/>
  <c r="BT17" i="14"/>
  <c r="BT96" i="14" s="1"/>
  <c r="BS17" i="14"/>
  <c r="BS96" i="14" s="1"/>
  <c r="BR17" i="14"/>
  <c r="BR96" i="14" s="1"/>
  <c r="BQ17" i="14"/>
  <c r="BQ96" i="14" s="1"/>
  <c r="BP17" i="14"/>
  <c r="BP96" i="14" s="1"/>
  <c r="BO17" i="14"/>
  <c r="BO96" i="14" s="1"/>
  <c r="BN17" i="14"/>
  <c r="BN96" i="14" s="1"/>
  <c r="BM17" i="14"/>
  <c r="BM96" i="14" s="1"/>
  <c r="BL17" i="14"/>
  <c r="BL96" i="14" s="1"/>
  <c r="BK17" i="14"/>
  <c r="BK96" i="14" s="1"/>
  <c r="BJ17" i="14"/>
  <c r="BJ96" i="14" s="1"/>
  <c r="BI17" i="14"/>
  <c r="BI96" i="14" s="1"/>
  <c r="BH17" i="14"/>
  <c r="BH96" i="14" s="1"/>
  <c r="BG17" i="14"/>
  <c r="BG96" i="14" s="1"/>
  <c r="BF17" i="14"/>
  <c r="BF96" i="14" s="1"/>
  <c r="BE17" i="14"/>
  <c r="BE96" i="14" s="1"/>
  <c r="BD17" i="14"/>
  <c r="BD96" i="14" s="1"/>
  <c r="BC17" i="14"/>
  <c r="BC96" i="14" s="1"/>
  <c r="BB17" i="14"/>
  <c r="BB96" i="14" s="1"/>
  <c r="BA17" i="14"/>
  <c r="BA96" i="14" s="1"/>
  <c r="AZ17" i="14"/>
  <c r="AZ96" i="14" s="1"/>
  <c r="AY17" i="14"/>
  <c r="AY96" i="14" s="1"/>
  <c r="AX17" i="14"/>
  <c r="AX96" i="14" s="1"/>
  <c r="AW17" i="14"/>
  <c r="AW96" i="14" s="1"/>
  <c r="AV17" i="14"/>
  <c r="AV96" i="14" s="1"/>
  <c r="AU17" i="14"/>
  <c r="AU96" i="14" s="1"/>
  <c r="AT17" i="14"/>
  <c r="AT96" i="14" s="1"/>
  <c r="AS17" i="14"/>
  <c r="AS96" i="14" s="1"/>
  <c r="AR17" i="14"/>
  <c r="AR96" i="14" s="1"/>
  <c r="AQ17" i="14"/>
  <c r="AQ96" i="14" s="1"/>
  <c r="AP17" i="14"/>
  <c r="AP96" i="14" s="1"/>
  <c r="AO17" i="14"/>
  <c r="AO96" i="14" s="1"/>
  <c r="AN17" i="14"/>
  <c r="AN96" i="14" s="1"/>
  <c r="AM17" i="14"/>
  <c r="AM96" i="14" s="1"/>
  <c r="AL17" i="14"/>
  <c r="AL96" i="14" s="1"/>
  <c r="AK17" i="14"/>
  <c r="AK96" i="14" s="1"/>
  <c r="AJ17" i="14"/>
  <c r="AJ96" i="14" s="1"/>
  <c r="AI17" i="14"/>
  <c r="AI96" i="14" s="1"/>
  <c r="AH17" i="14"/>
  <c r="AH96" i="14" s="1"/>
  <c r="AG17" i="14"/>
  <c r="AG96" i="14" s="1"/>
  <c r="AF17" i="14"/>
  <c r="AF96" i="14" s="1"/>
  <c r="AE17" i="14"/>
  <c r="AE96" i="14" s="1"/>
  <c r="AD17" i="14"/>
  <c r="AD96" i="14" s="1"/>
  <c r="AC17" i="14"/>
  <c r="AC96" i="14" s="1"/>
  <c r="AB17" i="14"/>
  <c r="AB96" i="14" s="1"/>
  <c r="AA17" i="14"/>
  <c r="AA96" i="14" s="1"/>
  <c r="Z17" i="14"/>
  <c r="Z96" i="14" s="1"/>
  <c r="Y17" i="14"/>
  <c r="Y96" i="14" s="1"/>
  <c r="X17" i="14"/>
  <c r="X96" i="14" s="1"/>
  <c r="W17" i="14"/>
  <c r="W96" i="14" s="1"/>
  <c r="V17" i="14"/>
  <c r="V96" i="14" s="1"/>
  <c r="U17" i="14"/>
  <c r="U96" i="14" s="1"/>
  <c r="T17" i="14"/>
  <c r="S17" i="14"/>
  <c r="R17" i="14"/>
  <c r="Q17" i="14"/>
  <c r="P17" i="14"/>
  <c r="O17" i="14"/>
  <c r="N17" i="14"/>
  <c r="M17" i="14"/>
  <c r="L17" i="14"/>
  <c r="K17" i="14"/>
  <c r="J17" i="14"/>
  <c r="I17" i="14"/>
  <c r="I96" i="14" s="1"/>
  <c r="H17" i="14"/>
  <c r="H96" i="14" s="1"/>
  <c r="G17" i="14"/>
  <c r="G96" i="14" s="1"/>
  <c r="F17" i="14"/>
  <c r="F96" i="14" s="1"/>
  <c r="E17" i="14"/>
  <c r="E96" i="14" s="1"/>
  <c r="BX16" i="14"/>
  <c r="BX97" i="14" s="1"/>
  <c r="BW16" i="14"/>
  <c r="BW97" i="14" s="1"/>
  <c r="BV16" i="14"/>
  <c r="BV97" i="14" s="1"/>
  <c r="BU16" i="14"/>
  <c r="BU97" i="14" s="1"/>
  <c r="BT16" i="14"/>
  <c r="BT97" i="14" s="1"/>
  <c r="BS16" i="14"/>
  <c r="BS97" i="14" s="1"/>
  <c r="BR16" i="14"/>
  <c r="BR97" i="14" s="1"/>
  <c r="BQ16" i="14"/>
  <c r="BQ97" i="14" s="1"/>
  <c r="BP16" i="14"/>
  <c r="BP97" i="14" s="1"/>
  <c r="BO16" i="14"/>
  <c r="BO97" i="14" s="1"/>
  <c r="BN16" i="14"/>
  <c r="BN97" i="14" s="1"/>
  <c r="BM16" i="14"/>
  <c r="BM97" i="14" s="1"/>
  <c r="BL16" i="14"/>
  <c r="BL97" i="14" s="1"/>
  <c r="BK16" i="14"/>
  <c r="BK97" i="14" s="1"/>
  <c r="BJ16" i="14"/>
  <c r="BJ97" i="14" s="1"/>
  <c r="BI16" i="14"/>
  <c r="BI97" i="14" s="1"/>
  <c r="BH16" i="14"/>
  <c r="BH97" i="14" s="1"/>
  <c r="BG16" i="14"/>
  <c r="BG97" i="14" s="1"/>
  <c r="BF16" i="14"/>
  <c r="BF97" i="14" s="1"/>
  <c r="BE16" i="14"/>
  <c r="BE97" i="14" s="1"/>
  <c r="BD16" i="14"/>
  <c r="BD97" i="14" s="1"/>
  <c r="BC16" i="14"/>
  <c r="BC97" i="14" s="1"/>
  <c r="BB16" i="14"/>
  <c r="BB97" i="14" s="1"/>
  <c r="BA16" i="14"/>
  <c r="BA97" i="14" s="1"/>
  <c r="AZ16" i="14"/>
  <c r="AZ97" i="14" s="1"/>
  <c r="AY16" i="14"/>
  <c r="AY97" i="14" s="1"/>
  <c r="AX16" i="14"/>
  <c r="AX97" i="14" s="1"/>
  <c r="AW16" i="14"/>
  <c r="AW97" i="14" s="1"/>
  <c r="AV16" i="14"/>
  <c r="AV97" i="14" s="1"/>
  <c r="AU16" i="14"/>
  <c r="AU97" i="14" s="1"/>
  <c r="AT16" i="14"/>
  <c r="AT97" i="14" s="1"/>
  <c r="AS16" i="14"/>
  <c r="AS97" i="14" s="1"/>
  <c r="AR16" i="14"/>
  <c r="AR97" i="14" s="1"/>
  <c r="AQ16" i="14"/>
  <c r="AQ97" i="14" s="1"/>
  <c r="AP16" i="14"/>
  <c r="AP97" i="14" s="1"/>
  <c r="AO16" i="14"/>
  <c r="AO97" i="14" s="1"/>
  <c r="AN16" i="14"/>
  <c r="AN97" i="14" s="1"/>
  <c r="AM16" i="14"/>
  <c r="AM97" i="14" s="1"/>
  <c r="AL16" i="14"/>
  <c r="AL97" i="14" s="1"/>
  <c r="AK16" i="14"/>
  <c r="AK97" i="14" s="1"/>
  <c r="AJ16" i="14"/>
  <c r="AJ97" i="14" s="1"/>
  <c r="AI16" i="14"/>
  <c r="AI97" i="14" s="1"/>
  <c r="AH16" i="14"/>
  <c r="AH97" i="14" s="1"/>
  <c r="AG16" i="14"/>
  <c r="AG97" i="14" s="1"/>
  <c r="AF16" i="14"/>
  <c r="AF97" i="14" s="1"/>
  <c r="AE16" i="14"/>
  <c r="AE97" i="14" s="1"/>
  <c r="AD16" i="14"/>
  <c r="AD97" i="14" s="1"/>
  <c r="AC16" i="14"/>
  <c r="AC97" i="14" s="1"/>
  <c r="AB16" i="14"/>
  <c r="AB97" i="14" s="1"/>
  <c r="AA16" i="14"/>
  <c r="AA97" i="14" s="1"/>
  <c r="Z16" i="14"/>
  <c r="Z97" i="14" s="1"/>
  <c r="Y16" i="14"/>
  <c r="Y97" i="14" s="1"/>
  <c r="X16" i="14"/>
  <c r="X97" i="14" s="1"/>
  <c r="W16" i="14"/>
  <c r="W97" i="14" s="1"/>
  <c r="V16" i="14"/>
  <c r="V97" i="14" s="1"/>
  <c r="U16" i="14"/>
  <c r="U97" i="14" s="1"/>
  <c r="I16" i="14"/>
  <c r="I97" i="14" s="1"/>
  <c r="G16" i="14"/>
  <c r="G97" i="14" s="1"/>
  <c r="F16" i="14"/>
  <c r="F97" i="14" s="1"/>
  <c r="E16" i="14"/>
  <c r="E97" i="14" s="1"/>
  <c r="E98" i="14" s="1"/>
  <c r="O15" i="14"/>
  <c r="CE14" i="14"/>
  <c r="CE15" i="14" s="1"/>
  <c r="K14" i="14"/>
  <c r="K16" i="14" s="1"/>
  <c r="J14" i="14"/>
  <c r="P11" i="14"/>
  <c r="O11" i="14"/>
  <c r="N11" i="14"/>
  <c r="M11" i="14"/>
  <c r="BY10" i="14"/>
  <c r="CB10" i="14" s="1"/>
  <c r="BY9" i="14"/>
  <c r="BY8" i="14"/>
  <c r="CB8" i="14" s="1"/>
  <c r="CA7" i="14"/>
  <c r="BY7" i="14"/>
  <c r="CB7" i="14" s="1"/>
  <c r="CA6" i="14"/>
  <c r="BY6" i="14"/>
  <c r="H5" i="14"/>
  <c r="R8" i="13" a="1"/>
  <c r="R8" i="13"/>
  <c r="S8" i="13" s="1"/>
  <c r="D185" i="12"/>
  <c r="D183" i="12"/>
  <c r="BX176" i="12"/>
  <c r="BW176" i="12"/>
  <c r="BV176" i="12"/>
  <c r="BU176" i="12"/>
  <c r="BT176" i="12"/>
  <c r="BS176" i="12"/>
  <c r="BR176" i="12"/>
  <c r="BQ176" i="12"/>
  <c r="BP176" i="12"/>
  <c r="BO176" i="12"/>
  <c r="BN176" i="12"/>
  <c r="BM176" i="12"/>
  <c r="BL176" i="12"/>
  <c r="BK176" i="12"/>
  <c r="BJ176" i="12"/>
  <c r="BI176" i="12"/>
  <c r="BH176" i="12"/>
  <c r="BG176" i="12"/>
  <c r="BF176" i="12"/>
  <c r="BE176" i="12"/>
  <c r="BD176" i="12"/>
  <c r="BC176" i="12"/>
  <c r="BB176" i="12"/>
  <c r="BA176" i="12"/>
  <c r="AZ176" i="12"/>
  <c r="AY176" i="12"/>
  <c r="AX176" i="12"/>
  <c r="AW176" i="12"/>
  <c r="AV176" i="12"/>
  <c r="AU176" i="12"/>
  <c r="AT176" i="12"/>
  <c r="AS176" i="12"/>
  <c r="AR176" i="12"/>
  <c r="AQ176" i="12"/>
  <c r="AP176" i="12"/>
  <c r="AO176" i="12"/>
  <c r="AN176" i="12"/>
  <c r="AM176" i="12"/>
  <c r="AL176" i="12"/>
  <c r="AK176" i="12"/>
  <c r="AJ176" i="12"/>
  <c r="AI176" i="12"/>
  <c r="AH176" i="12"/>
  <c r="AG176" i="12"/>
  <c r="AF176" i="12"/>
  <c r="AE176" i="12"/>
  <c r="AD176" i="12"/>
  <c r="AC176" i="12"/>
  <c r="AB176" i="12"/>
  <c r="AA176" i="12"/>
  <c r="Z176" i="12"/>
  <c r="Y176" i="12"/>
  <c r="X176" i="12"/>
  <c r="W176" i="12"/>
  <c r="V176" i="12"/>
  <c r="U176" i="12"/>
  <c r="T176" i="12"/>
  <c r="S176" i="12"/>
  <c r="S179" i="12" s="1"/>
  <c r="R176" i="12"/>
  <c r="R179" i="12" s="1"/>
  <c r="Q176" i="12"/>
  <c r="Q179" i="12" s="1"/>
  <c r="P176" i="12"/>
  <c r="P179" i="12" s="1"/>
  <c r="O176" i="12"/>
  <c r="O179" i="12" s="1"/>
  <c r="N176" i="12"/>
  <c r="N179" i="12" s="1"/>
  <c r="M176" i="12"/>
  <c r="M179" i="12" s="1"/>
  <c r="L176" i="12"/>
  <c r="L179" i="12" s="1"/>
  <c r="K176" i="12"/>
  <c r="K179" i="12" s="1"/>
  <c r="J176" i="12"/>
  <c r="J179" i="12" s="1"/>
  <c r="I176" i="12"/>
  <c r="I179" i="12" s="1"/>
  <c r="H176" i="12"/>
  <c r="G176" i="12"/>
  <c r="F176" i="12"/>
  <c r="E176" i="12"/>
  <c r="BX174" i="12"/>
  <c r="BW174" i="12"/>
  <c r="BW179" i="12" s="1"/>
  <c r="BV174" i="12"/>
  <c r="BV179" i="12" s="1"/>
  <c r="BU174" i="12"/>
  <c r="BU179" i="12" s="1"/>
  <c r="BT174" i="12"/>
  <c r="BT179" i="12" s="1"/>
  <c r="BS174" i="12"/>
  <c r="BS179" i="12" s="1"/>
  <c r="BR174" i="12"/>
  <c r="BR179" i="12" s="1"/>
  <c r="BQ174" i="12"/>
  <c r="BQ179" i="12" s="1"/>
  <c r="BP174" i="12"/>
  <c r="BP179" i="12" s="1"/>
  <c r="BO174" i="12"/>
  <c r="BO179" i="12" s="1"/>
  <c r="BN174" i="12"/>
  <c r="BN179" i="12" s="1"/>
  <c r="BM174" i="12"/>
  <c r="BM179" i="12" s="1"/>
  <c r="BL174" i="12"/>
  <c r="BL179" i="12" s="1"/>
  <c r="BK174" i="12"/>
  <c r="BK179" i="12" s="1"/>
  <c r="BJ174" i="12"/>
  <c r="BJ179" i="12" s="1"/>
  <c r="BI174" i="12"/>
  <c r="BI179" i="12" s="1"/>
  <c r="BH174" i="12"/>
  <c r="BH179" i="12" s="1"/>
  <c r="BG174" i="12"/>
  <c r="BG179" i="12" s="1"/>
  <c r="BF174" i="12"/>
  <c r="BF179" i="12" s="1"/>
  <c r="BE174" i="12"/>
  <c r="BE179" i="12" s="1"/>
  <c r="BD174" i="12"/>
  <c r="BD179" i="12" s="1"/>
  <c r="BC174" i="12"/>
  <c r="BC179" i="12" s="1"/>
  <c r="BB174" i="12"/>
  <c r="BB179" i="12" s="1"/>
  <c r="BA174" i="12"/>
  <c r="BA179" i="12" s="1"/>
  <c r="AZ174" i="12"/>
  <c r="AZ179" i="12" s="1"/>
  <c r="AY174" i="12"/>
  <c r="AY179" i="12" s="1"/>
  <c r="AX174" i="12"/>
  <c r="AX179" i="12" s="1"/>
  <c r="AW174" i="12"/>
  <c r="AW179" i="12" s="1"/>
  <c r="AV174" i="12"/>
  <c r="AV179" i="12" s="1"/>
  <c r="AU174" i="12"/>
  <c r="AU179" i="12" s="1"/>
  <c r="AT174" i="12"/>
  <c r="AT179" i="12" s="1"/>
  <c r="AS174" i="12"/>
  <c r="AS179" i="12" s="1"/>
  <c r="AR174" i="12"/>
  <c r="AR179" i="12" s="1"/>
  <c r="AQ174" i="12"/>
  <c r="AQ179" i="12" s="1"/>
  <c r="AP174" i="12"/>
  <c r="AP179" i="12" s="1"/>
  <c r="AO174" i="12"/>
  <c r="AO179" i="12" s="1"/>
  <c r="AN174" i="12"/>
  <c r="AN179" i="12" s="1"/>
  <c r="AM174" i="12"/>
  <c r="AM179" i="12" s="1"/>
  <c r="AL174" i="12"/>
  <c r="AL179" i="12" s="1"/>
  <c r="AK174" i="12"/>
  <c r="AK179" i="12" s="1"/>
  <c r="AJ174" i="12"/>
  <c r="AJ179" i="12" s="1"/>
  <c r="AI174" i="12"/>
  <c r="AI179" i="12" s="1"/>
  <c r="AH174" i="12"/>
  <c r="AH179" i="12" s="1"/>
  <c r="AG174" i="12"/>
  <c r="AG179" i="12" s="1"/>
  <c r="AF174" i="12"/>
  <c r="AF179" i="12" s="1"/>
  <c r="AE174" i="12"/>
  <c r="AE179" i="12" s="1"/>
  <c r="AD174" i="12"/>
  <c r="AD179" i="12" s="1"/>
  <c r="AC174" i="12"/>
  <c r="AC179" i="12" s="1"/>
  <c r="AB174" i="12"/>
  <c r="AB179" i="12" s="1"/>
  <c r="AA174" i="12"/>
  <c r="AA179" i="12" s="1"/>
  <c r="Z174" i="12"/>
  <c r="Z179" i="12" s="1"/>
  <c r="Y174" i="12"/>
  <c r="Y179" i="12" s="1"/>
  <c r="X174" i="12"/>
  <c r="X179" i="12" s="1"/>
  <c r="W174" i="12"/>
  <c r="W179" i="12" s="1"/>
  <c r="V174" i="12"/>
  <c r="V179" i="12" s="1"/>
  <c r="U174" i="12"/>
  <c r="U179" i="12" s="1"/>
  <c r="T174" i="12"/>
  <c r="T179" i="12" s="1"/>
  <c r="H174" i="12"/>
  <c r="H179" i="12" s="1"/>
  <c r="G174" i="12"/>
  <c r="G179" i="12" s="1"/>
  <c r="F174" i="12"/>
  <c r="F179" i="12" s="1"/>
  <c r="E174" i="12"/>
  <c r="E179" i="12" s="1"/>
  <c r="D169" i="12"/>
  <c r="D167" i="12"/>
  <c r="BX160" i="12"/>
  <c r="BW160" i="12"/>
  <c r="BV160" i="12"/>
  <c r="BU160" i="12"/>
  <c r="BT160" i="12"/>
  <c r="BS160" i="12"/>
  <c r="BR160" i="12"/>
  <c r="BQ160" i="12"/>
  <c r="BP160" i="12"/>
  <c r="BO160" i="12"/>
  <c r="BN160" i="12"/>
  <c r="BM160" i="12"/>
  <c r="BL160" i="12"/>
  <c r="BK160" i="12"/>
  <c r="BJ160" i="12"/>
  <c r="BI160" i="12"/>
  <c r="BH160" i="12"/>
  <c r="BG160" i="12"/>
  <c r="BF160" i="12"/>
  <c r="BE160" i="12"/>
  <c r="BD160" i="12"/>
  <c r="BC160" i="12"/>
  <c r="BB160" i="12"/>
  <c r="BA160" i="12"/>
  <c r="AZ160" i="12"/>
  <c r="AY160" i="12"/>
  <c r="AX160" i="12"/>
  <c r="AW160" i="12"/>
  <c r="AV160" i="12"/>
  <c r="AU160" i="12"/>
  <c r="AT160" i="12"/>
  <c r="AS160" i="12"/>
  <c r="AR160" i="12"/>
  <c r="AQ160" i="12"/>
  <c r="AP160" i="12"/>
  <c r="AO160" i="12"/>
  <c r="AN160" i="12"/>
  <c r="AM160" i="12"/>
  <c r="AL160" i="12"/>
  <c r="AK160" i="12"/>
  <c r="AJ160" i="12"/>
  <c r="AI160" i="12"/>
  <c r="AH160" i="12"/>
  <c r="AG160" i="12"/>
  <c r="AF160" i="12"/>
  <c r="AE160" i="12"/>
  <c r="AD160" i="12"/>
  <c r="AC160" i="12"/>
  <c r="AB160" i="12"/>
  <c r="AA160" i="12"/>
  <c r="Z160" i="12"/>
  <c r="Y160" i="12"/>
  <c r="X160" i="12"/>
  <c r="W160" i="12"/>
  <c r="V160" i="12"/>
  <c r="U160" i="12"/>
  <c r="T160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BX158" i="12"/>
  <c r="BW158" i="12"/>
  <c r="BW163" i="12" s="1"/>
  <c r="BV158" i="12"/>
  <c r="BV163" i="12" s="1"/>
  <c r="BU158" i="12"/>
  <c r="BU163" i="12" s="1"/>
  <c r="BT158" i="12"/>
  <c r="BT163" i="12" s="1"/>
  <c r="BS158" i="12"/>
  <c r="BS163" i="12" s="1"/>
  <c r="BR158" i="12"/>
  <c r="BR163" i="12" s="1"/>
  <c r="BQ158" i="12"/>
  <c r="BQ163" i="12" s="1"/>
  <c r="BP158" i="12"/>
  <c r="BP163" i="12" s="1"/>
  <c r="BO158" i="12"/>
  <c r="BO163" i="12" s="1"/>
  <c r="BN158" i="12"/>
  <c r="BN163" i="12" s="1"/>
  <c r="BM158" i="12"/>
  <c r="BM163" i="12" s="1"/>
  <c r="BL158" i="12"/>
  <c r="BL163" i="12" s="1"/>
  <c r="BK158" i="12"/>
  <c r="BK163" i="12" s="1"/>
  <c r="BJ158" i="12"/>
  <c r="BJ163" i="12" s="1"/>
  <c r="BI158" i="12"/>
  <c r="BI163" i="12" s="1"/>
  <c r="BH158" i="12"/>
  <c r="BH163" i="12" s="1"/>
  <c r="BG158" i="12"/>
  <c r="BG163" i="12" s="1"/>
  <c r="BF158" i="12"/>
  <c r="BF163" i="12" s="1"/>
  <c r="BE158" i="12"/>
  <c r="BE163" i="12" s="1"/>
  <c r="BD158" i="12"/>
  <c r="BD163" i="12" s="1"/>
  <c r="BC158" i="12"/>
  <c r="BC163" i="12" s="1"/>
  <c r="BB158" i="12"/>
  <c r="BB163" i="12" s="1"/>
  <c r="BA158" i="12"/>
  <c r="BA163" i="12" s="1"/>
  <c r="AZ158" i="12"/>
  <c r="AZ163" i="12" s="1"/>
  <c r="AY158" i="12"/>
  <c r="AY163" i="12" s="1"/>
  <c r="AX158" i="12"/>
  <c r="AX163" i="12" s="1"/>
  <c r="AW158" i="12"/>
  <c r="AW163" i="12" s="1"/>
  <c r="AV158" i="12"/>
  <c r="AV163" i="12" s="1"/>
  <c r="AU158" i="12"/>
  <c r="AU163" i="12" s="1"/>
  <c r="AT158" i="12"/>
  <c r="AT163" i="12" s="1"/>
  <c r="AS158" i="12"/>
  <c r="AS163" i="12" s="1"/>
  <c r="AR158" i="12"/>
  <c r="AR163" i="12" s="1"/>
  <c r="AQ158" i="12"/>
  <c r="AQ163" i="12" s="1"/>
  <c r="AP158" i="12"/>
  <c r="AP163" i="12" s="1"/>
  <c r="AO158" i="12"/>
  <c r="AO163" i="12" s="1"/>
  <c r="AN158" i="12"/>
  <c r="AN163" i="12" s="1"/>
  <c r="AM158" i="12"/>
  <c r="AM163" i="12" s="1"/>
  <c r="AL158" i="12"/>
  <c r="AL163" i="12" s="1"/>
  <c r="AK158" i="12"/>
  <c r="AK163" i="12" s="1"/>
  <c r="AJ158" i="12"/>
  <c r="AJ163" i="12" s="1"/>
  <c r="AI158" i="12"/>
  <c r="AI163" i="12" s="1"/>
  <c r="AH158" i="12"/>
  <c r="AH163" i="12" s="1"/>
  <c r="AG158" i="12"/>
  <c r="AG163" i="12" s="1"/>
  <c r="AF158" i="12"/>
  <c r="AF163" i="12" s="1"/>
  <c r="AE158" i="12"/>
  <c r="AE163" i="12" s="1"/>
  <c r="AD158" i="12"/>
  <c r="AD163" i="12" s="1"/>
  <c r="AC158" i="12"/>
  <c r="AC163" i="12" s="1"/>
  <c r="AB158" i="12"/>
  <c r="AB163" i="12" s="1"/>
  <c r="AA158" i="12"/>
  <c r="AA163" i="12" s="1"/>
  <c r="Z158" i="12"/>
  <c r="Z163" i="12" s="1"/>
  <c r="Y158" i="12"/>
  <c r="Y163" i="12" s="1"/>
  <c r="X158" i="12"/>
  <c r="X163" i="12" s="1"/>
  <c r="W158" i="12"/>
  <c r="W163" i="12" s="1"/>
  <c r="V158" i="12"/>
  <c r="V163" i="12" s="1"/>
  <c r="U158" i="12"/>
  <c r="U163" i="12" s="1"/>
  <c r="T158" i="12"/>
  <c r="T163" i="12" s="1"/>
  <c r="S158" i="12"/>
  <c r="S163" i="12" s="1"/>
  <c r="R158" i="12"/>
  <c r="R163" i="12" s="1"/>
  <c r="Q158" i="12"/>
  <c r="Q163" i="12" s="1"/>
  <c r="P158" i="12"/>
  <c r="P163" i="12" s="1"/>
  <c r="O158" i="12"/>
  <c r="O163" i="12" s="1"/>
  <c r="N158" i="12"/>
  <c r="N163" i="12" s="1"/>
  <c r="M158" i="12"/>
  <c r="M163" i="12" s="1"/>
  <c r="L158" i="12"/>
  <c r="L163" i="12" s="1"/>
  <c r="K158" i="12"/>
  <c r="K163" i="12" s="1"/>
  <c r="J158" i="12"/>
  <c r="J163" i="12" s="1"/>
  <c r="I158" i="12"/>
  <c r="I163" i="12" s="1"/>
  <c r="H158" i="12"/>
  <c r="H163" i="12" s="1"/>
  <c r="G158" i="12"/>
  <c r="G163" i="12" s="1"/>
  <c r="F158" i="12"/>
  <c r="F163" i="12" s="1"/>
  <c r="E158" i="12"/>
  <c r="E163" i="12" s="1"/>
  <c r="D151" i="12"/>
  <c r="T145" i="12"/>
  <c r="D153" i="12" s="1"/>
  <c r="BX144" i="12"/>
  <c r="BW144" i="12"/>
  <c r="BV144" i="12"/>
  <c r="BU144" i="12"/>
  <c r="BT144" i="12"/>
  <c r="BS144" i="12"/>
  <c r="BR144" i="12"/>
  <c r="BQ144" i="12"/>
  <c r="BP144" i="12"/>
  <c r="BO144" i="12"/>
  <c r="BN144" i="12"/>
  <c r="BM144" i="12"/>
  <c r="BL144" i="12"/>
  <c r="BK144" i="12"/>
  <c r="BJ144" i="12"/>
  <c r="BI144" i="12"/>
  <c r="BH144" i="12"/>
  <c r="BG144" i="12"/>
  <c r="BF144" i="12"/>
  <c r="BE144" i="12"/>
  <c r="BD144" i="12"/>
  <c r="BC144" i="12"/>
  <c r="BB144" i="12"/>
  <c r="BA144" i="12"/>
  <c r="AZ144" i="12"/>
  <c r="AY144" i="12"/>
  <c r="AX144" i="12"/>
  <c r="AW144" i="12"/>
  <c r="AV144" i="12"/>
  <c r="AU144" i="12"/>
  <c r="AT144" i="12"/>
  <c r="AS144" i="12"/>
  <c r="AR144" i="12"/>
  <c r="AQ144" i="12"/>
  <c r="AP144" i="12"/>
  <c r="AO144" i="12"/>
  <c r="AN144" i="12"/>
  <c r="AM144" i="12"/>
  <c r="AL144" i="12"/>
  <c r="AK144" i="12"/>
  <c r="AJ144" i="12"/>
  <c r="AI144" i="12"/>
  <c r="AH144" i="12"/>
  <c r="AG144" i="12"/>
  <c r="AF144" i="12"/>
  <c r="AE144" i="12"/>
  <c r="AD144" i="12"/>
  <c r="AC144" i="12"/>
  <c r="AB144" i="12"/>
  <c r="AA144" i="12"/>
  <c r="Z144" i="12"/>
  <c r="Y144" i="12"/>
  <c r="X144" i="12"/>
  <c r="W144" i="12"/>
  <c r="V144" i="12"/>
  <c r="U144" i="12"/>
  <c r="T144" i="12"/>
  <c r="S144" i="12"/>
  <c r="R144" i="12"/>
  <c r="Q144" i="12"/>
  <c r="P144" i="12"/>
  <c r="O144" i="12"/>
  <c r="N144" i="12"/>
  <c r="M144" i="12"/>
  <c r="L144" i="12"/>
  <c r="K144" i="12"/>
  <c r="K147" i="12" s="1"/>
  <c r="J144" i="12"/>
  <c r="I144" i="12"/>
  <c r="I147" i="12" s="1"/>
  <c r="H144" i="12"/>
  <c r="G144" i="12"/>
  <c r="F144" i="12"/>
  <c r="E144" i="12"/>
  <c r="BW142" i="12"/>
  <c r="BW147" i="12" s="1"/>
  <c r="BV142" i="12"/>
  <c r="BV147" i="12" s="1"/>
  <c r="BU142" i="12"/>
  <c r="BU147" i="12" s="1"/>
  <c r="BT142" i="12"/>
  <c r="BT147" i="12" s="1"/>
  <c r="BS142" i="12"/>
  <c r="BS147" i="12" s="1"/>
  <c r="BR142" i="12"/>
  <c r="BR147" i="12" s="1"/>
  <c r="BQ142" i="12"/>
  <c r="BQ147" i="12" s="1"/>
  <c r="BP142" i="12"/>
  <c r="BP147" i="12" s="1"/>
  <c r="BO142" i="12"/>
  <c r="BO147" i="12" s="1"/>
  <c r="BN142" i="12"/>
  <c r="BN147" i="12" s="1"/>
  <c r="BM142" i="12"/>
  <c r="BM147" i="12" s="1"/>
  <c r="BL142" i="12"/>
  <c r="BL147" i="12" s="1"/>
  <c r="BK142" i="12"/>
  <c r="BK147" i="12" s="1"/>
  <c r="BJ142" i="12"/>
  <c r="BJ147" i="12" s="1"/>
  <c r="BI142" i="12"/>
  <c r="BI147" i="12" s="1"/>
  <c r="BH142" i="12"/>
  <c r="BH147" i="12" s="1"/>
  <c r="BG142" i="12"/>
  <c r="BG147" i="12" s="1"/>
  <c r="BF142" i="12"/>
  <c r="BF147" i="12" s="1"/>
  <c r="BE142" i="12"/>
  <c r="BE147" i="12" s="1"/>
  <c r="BD142" i="12"/>
  <c r="BD147" i="12" s="1"/>
  <c r="BC142" i="12"/>
  <c r="BC147" i="12" s="1"/>
  <c r="BB142" i="12"/>
  <c r="BB147" i="12" s="1"/>
  <c r="BA142" i="12"/>
  <c r="BA147" i="12" s="1"/>
  <c r="AZ142" i="12"/>
  <c r="AZ147" i="12" s="1"/>
  <c r="AY142" i="12"/>
  <c r="AY147" i="12" s="1"/>
  <c r="AX142" i="12"/>
  <c r="AX147" i="12" s="1"/>
  <c r="AW142" i="12"/>
  <c r="AW147" i="12" s="1"/>
  <c r="AV142" i="12"/>
  <c r="AV147" i="12" s="1"/>
  <c r="AU142" i="12"/>
  <c r="AU147" i="12" s="1"/>
  <c r="AT142" i="12"/>
  <c r="AT147" i="12" s="1"/>
  <c r="AS142" i="12"/>
  <c r="AS147" i="12" s="1"/>
  <c r="AR142" i="12"/>
  <c r="AR147" i="12" s="1"/>
  <c r="AQ142" i="12"/>
  <c r="AQ147" i="12" s="1"/>
  <c r="AP142" i="12"/>
  <c r="AP147" i="12" s="1"/>
  <c r="AO142" i="12"/>
  <c r="AO147" i="12" s="1"/>
  <c r="AN142" i="12"/>
  <c r="AN147" i="12" s="1"/>
  <c r="AM142" i="12"/>
  <c r="AM147" i="12" s="1"/>
  <c r="AL142" i="12"/>
  <c r="AL147" i="12" s="1"/>
  <c r="AK142" i="12"/>
  <c r="AK147" i="12" s="1"/>
  <c r="AJ142" i="12"/>
  <c r="AJ147" i="12" s="1"/>
  <c r="AI142" i="12"/>
  <c r="AI147" i="12" s="1"/>
  <c r="AH142" i="12"/>
  <c r="AH147" i="12" s="1"/>
  <c r="AG142" i="12"/>
  <c r="AG147" i="12" s="1"/>
  <c r="AF142" i="12"/>
  <c r="AF147" i="12" s="1"/>
  <c r="AE142" i="12"/>
  <c r="AE147" i="12" s="1"/>
  <c r="AD142" i="12"/>
  <c r="AD147" i="12" s="1"/>
  <c r="AC142" i="12"/>
  <c r="AC147" i="12" s="1"/>
  <c r="AB142" i="12"/>
  <c r="AB147" i="12" s="1"/>
  <c r="AA142" i="12"/>
  <c r="AA147" i="12" s="1"/>
  <c r="Z142" i="12"/>
  <c r="Z147" i="12" s="1"/>
  <c r="Y142" i="12"/>
  <c r="Y147" i="12" s="1"/>
  <c r="X142" i="12"/>
  <c r="X147" i="12" s="1"/>
  <c r="W142" i="12"/>
  <c r="W147" i="12" s="1"/>
  <c r="V142" i="12"/>
  <c r="V147" i="12" s="1"/>
  <c r="U142" i="12"/>
  <c r="U147" i="12" s="1"/>
  <c r="S142" i="12"/>
  <c r="S147" i="12" s="1"/>
  <c r="R142" i="12"/>
  <c r="R147" i="12" s="1"/>
  <c r="Q142" i="12"/>
  <c r="Q147" i="12" s="1"/>
  <c r="P142" i="12"/>
  <c r="P147" i="12" s="1"/>
  <c r="O142" i="12"/>
  <c r="O147" i="12" s="1"/>
  <c r="N142" i="12"/>
  <c r="N147" i="12" s="1"/>
  <c r="M142" i="12"/>
  <c r="M147" i="12" s="1"/>
  <c r="L142" i="12"/>
  <c r="L147" i="12" s="1"/>
  <c r="J142" i="12"/>
  <c r="J147" i="12" s="1"/>
  <c r="H142" i="12"/>
  <c r="G142" i="12"/>
  <c r="G147" i="12" s="1"/>
  <c r="F142" i="12"/>
  <c r="F147" i="12" s="1"/>
  <c r="E142" i="12"/>
  <c r="BX128" i="12"/>
  <c r="BW128" i="12"/>
  <c r="BV128" i="12"/>
  <c r="BU128" i="12"/>
  <c r="BT128" i="12"/>
  <c r="BS128" i="12"/>
  <c r="BR128" i="12"/>
  <c r="BQ128" i="12"/>
  <c r="BP128" i="12"/>
  <c r="BO128" i="12"/>
  <c r="BN128" i="12"/>
  <c r="BM128" i="12"/>
  <c r="BL128" i="12"/>
  <c r="BK128" i="12"/>
  <c r="BJ128" i="12"/>
  <c r="BI128" i="12"/>
  <c r="BH128" i="12"/>
  <c r="BG128" i="12"/>
  <c r="BF128" i="12"/>
  <c r="BE128" i="12"/>
  <c r="BD128" i="12"/>
  <c r="BC128" i="12"/>
  <c r="BB128" i="12"/>
  <c r="BA128" i="12"/>
  <c r="AZ128" i="12"/>
  <c r="AY128" i="12"/>
  <c r="AX128" i="12"/>
  <c r="AW128" i="12"/>
  <c r="AV128" i="12"/>
  <c r="AU128" i="12"/>
  <c r="AT128" i="12"/>
  <c r="AS128" i="12"/>
  <c r="AR128" i="12"/>
  <c r="AQ128" i="12"/>
  <c r="AP128" i="12"/>
  <c r="AO128" i="12"/>
  <c r="AN128" i="12"/>
  <c r="AM128" i="12"/>
  <c r="AL128" i="12"/>
  <c r="AK128" i="12"/>
  <c r="AJ128" i="12"/>
  <c r="AI128" i="12"/>
  <c r="AH128" i="12"/>
  <c r="AG128" i="12"/>
  <c r="AF128" i="12"/>
  <c r="AE128" i="12"/>
  <c r="AD128" i="12"/>
  <c r="AC128" i="12"/>
  <c r="AB128" i="12"/>
  <c r="AA128" i="12"/>
  <c r="Z128" i="12"/>
  <c r="Y128" i="12"/>
  <c r="X128" i="12"/>
  <c r="W128" i="12"/>
  <c r="V128" i="12"/>
  <c r="U128" i="12"/>
  <c r="S128" i="12"/>
  <c r="R128" i="12"/>
  <c r="Q128" i="12"/>
  <c r="P128" i="12"/>
  <c r="O128" i="12"/>
  <c r="N128" i="12"/>
  <c r="M128" i="12"/>
  <c r="L128" i="12"/>
  <c r="K128" i="12"/>
  <c r="J128" i="12"/>
  <c r="I128" i="12"/>
  <c r="H128" i="12"/>
  <c r="G128" i="12"/>
  <c r="F128" i="12"/>
  <c r="E128" i="12"/>
  <c r="BX126" i="12"/>
  <c r="BW126" i="12"/>
  <c r="BW131" i="12" s="1"/>
  <c r="BV126" i="12"/>
  <c r="BV131" i="12" s="1"/>
  <c r="BU126" i="12"/>
  <c r="BU131" i="12" s="1"/>
  <c r="BT126" i="12"/>
  <c r="BT131" i="12" s="1"/>
  <c r="BS126" i="12"/>
  <c r="BS131" i="12" s="1"/>
  <c r="BR126" i="12"/>
  <c r="BR131" i="12" s="1"/>
  <c r="BQ126" i="12"/>
  <c r="BQ131" i="12" s="1"/>
  <c r="BP126" i="12"/>
  <c r="BP131" i="12" s="1"/>
  <c r="BO126" i="12"/>
  <c r="BO131" i="12" s="1"/>
  <c r="BN126" i="12"/>
  <c r="BN131" i="12" s="1"/>
  <c r="BM126" i="12"/>
  <c r="BM131" i="12" s="1"/>
  <c r="BL126" i="12"/>
  <c r="BL131" i="12" s="1"/>
  <c r="BK126" i="12"/>
  <c r="BK131" i="12" s="1"/>
  <c r="BJ126" i="12"/>
  <c r="BJ131" i="12" s="1"/>
  <c r="BI126" i="12"/>
  <c r="BI131" i="12" s="1"/>
  <c r="BH126" i="12"/>
  <c r="BH131" i="12" s="1"/>
  <c r="BG126" i="12"/>
  <c r="BG131" i="12" s="1"/>
  <c r="BF126" i="12"/>
  <c r="BF131" i="12" s="1"/>
  <c r="BE126" i="12"/>
  <c r="BE131" i="12" s="1"/>
  <c r="BD126" i="12"/>
  <c r="BD131" i="12" s="1"/>
  <c r="BC126" i="12"/>
  <c r="BC131" i="12" s="1"/>
  <c r="BB126" i="12"/>
  <c r="BB131" i="12" s="1"/>
  <c r="BA126" i="12"/>
  <c r="BA131" i="12" s="1"/>
  <c r="AZ126" i="12"/>
  <c r="AZ131" i="12" s="1"/>
  <c r="AY126" i="12"/>
  <c r="AY131" i="12" s="1"/>
  <c r="AX126" i="12"/>
  <c r="AX131" i="12" s="1"/>
  <c r="AW126" i="12"/>
  <c r="AW131" i="12" s="1"/>
  <c r="AV126" i="12"/>
  <c r="AV131" i="12" s="1"/>
  <c r="AU126" i="12"/>
  <c r="AU131" i="12" s="1"/>
  <c r="AT126" i="12"/>
  <c r="AT131" i="12" s="1"/>
  <c r="AS126" i="12"/>
  <c r="AS131" i="12" s="1"/>
  <c r="AR126" i="12"/>
  <c r="AR131" i="12" s="1"/>
  <c r="AQ126" i="12"/>
  <c r="AQ131" i="12" s="1"/>
  <c r="AP126" i="12"/>
  <c r="AP131" i="12" s="1"/>
  <c r="AO126" i="12"/>
  <c r="AO131" i="12" s="1"/>
  <c r="AN126" i="12"/>
  <c r="AN131" i="12" s="1"/>
  <c r="AM126" i="12"/>
  <c r="AM131" i="12" s="1"/>
  <c r="AL126" i="12"/>
  <c r="AL131" i="12" s="1"/>
  <c r="AK126" i="12"/>
  <c r="AK131" i="12" s="1"/>
  <c r="AJ126" i="12"/>
  <c r="AJ131" i="12" s="1"/>
  <c r="AI126" i="12"/>
  <c r="AI131" i="12" s="1"/>
  <c r="AH126" i="12"/>
  <c r="AH131" i="12" s="1"/>
  <c r="AG126" i="12"/>
  <c r="AG131" i="12" s="1"/>
  <c r="AF126" i="12"/>
  <c r="AF131" i="12" s="1"/>
  <c r="AE126" i="12"/>
  <c r="AE131" i="12" s="1"/>
  <c r="AD126" i="12"/>
  <c r="AD131" i="12" s="1"/>
  <c r="AC126" i="12"/>
  <c r="AC131" i="12" s="1"/>
  <c r="AB126" i="12"/>
  <c r="AB131" i="12" s="1"/>
  <c r="AA126" i="12"/>
  <c r="AA131" i="12" s="1"/>
  <c r="Z126" i="12"/>
  <c r="Z131" i="12" s="1"/>
  <c r="Y126" i="12"/>
  <c r="Y131" i="12" s="1"/>
  <c r="X126" i="12"/>
  <c r="X131" i="12" s="1"/>
  <c r="W126" i="12"/>
  <c r="W131" i="12" s="1"/>
  <c r="V126" i="12"/>
  <c r="V131" i="12" s="1"/>
  <c r="U126" i="12"/>
  <c r="U131" i="12" s="1"/>
  <c r="S126" i="12"/>
  <c r="S131" i="12" s="1"/>
  <c r="R126" i="12"/>
  <c r="R131" i="12" s="1"/>
  <c r="Q126" i="12"/>
  <c r="Q131" i="12" s="1"/>
  <c r="P126" i="12"/>
  <c r="P131" i="12" s="1"/>
  <c r="O126" i="12"/>
  <c r="O131" i="12" s="1"/>
  <c r="N126" i="12"/>
  <c r="N131" i="12" s="1"/>
  <c r="M126" i="12"/>
  <c r="M131" i="12" s="1"/>
  <c r="L126" i="12"/>
  <c r="L131" i="12" s="1"/>
  <c r="K126" i="12"/>
  <c r="K131" i="12" s="1"/>
  <c r="J126" i="12"/>
  <c r="J131" i="12" s="1"/>
  <c r="I126" i="12"/>
  <c r="I131" i="12" s="1"/>
  <c r="H126" i="12"/>
  <c r="H131" i="12" s="1"/>
  <c r="G126" i="12"/>
  <c r="G131" i="12" s="1"/>
  <c r="F126" i="12"/>
  <c r="F131" i="12" s="1"/>
  <c r="E126" i="12"/>
  <c r="E131" i="12" s="1"/>
  <c r="BX112" i="12"/>
  <c r="BW112" i="12"/>
  <c r="BV112" i="12"/>
  <c r="BU112" i="12"/>
  <c r="BT112" i="12"/>
  <c r="BS112" i="12"/>
  <c r="BR112" i="12"/>
  <c r="BQ112" i="12"/>
  <c r="BP112" i="12"/>
  <c r="BO112" i="12"/>
  <c r="BN112" i="12"/>
  <c r="BM112" i="12"/>
  <c r="BL112" i="12"/>
  <c r="BK112" i="12"/>
  <c r="BJ112" i="12"/>
  <c r="BI112" i="12"/>
  <c r="BH112" i="12"/>
  <c r="BG112" i="12"/>
  <c r="BF112" i="12"/>
  <c r="BE112" i="12"/>
  <c r="BD112" i="12"/>
  <c r="BC112" i="12"/>
  <c r="BB112" i="12"/>
  <c r="BA112" i="12"/>
  <c r="AZ112" i="12"/>
  <c r="AY112" i="12"/>
  <c r="AX112" i="12"/>
  <c r="AW112" i="12"/>
  <c r="AV112" i="12"/>
  <c r="AU112" i="12"/>
  <c r="AT112" i="12"/>
  <c r="AS112" i="12"/>
  <c r="AR112" i="12"/>
  <c r="AQ112" i="12"/>
  <c r="AP112" i="12"/>
  <c r="AO112" i="12"/>
  <c r="AN112" i="12"/>
  <c r="AM112" i="12"/>
  <c r="AL112" i="12"/>
  <c r="AK112" i="12"/>
  <c r="AJ112" i="12"/>
  <c r="AI112" i="12"/>
  <c r="AH112" i="12"/>
  <c r="AG112" i="12"/>
  <c r="AF112" i="12"/>
  <c r="AE112" i="12"/>
  <c r="AD112" i="12"/>
  <c r="AC112" i="12"/>
  <c r="AB112" i="12"/>
  <c r="AA112" i="12"/>
  <c r="Z112" i="12"/>
  <c r="Y112" i="12"/>
  <c r="X112" i="12"/>
  <c r="W112" i="12"/>
  <c r="V112" i="12"/>
  <c r="U112" i="12"/>
  <c r="S112" i="12"/>
  <c r="R112" i="12"/>
  <c r="Q112" i="12"/>
  <c r="P112" i="12"/>
  <c r="O112" i="12"/>
  <c r="N112" i="12"/>
  <c r="M112" i="12"/>
  <c r="L112" i="12"/>
  <c r="K112" i="12"/>
  <c r="J112" i="12"/>
  <c r="I112" i="12"/>
  <c r="H112" i="12"/>
  <c r="G112" i="12"/>
  <c r="F112" i="12"/>
  <c r="E112" i="12"/>
  <c r="H111" i="12"/>
  <c r="D119" i="12" s="1"/>
  <c r="BX110" i="12"/>
  <c r="BW110" i="12"/>
  <c r="BW116" i="12" s="1"/>
  <c r="BV110" i="12"/>
  <c r="BV116" i="12" s="1"/>
  <c r="BU110" i="12"/>
  <c r="BU116" i="12" s="1"/>
  <c r="BT110" i="12"/>
  <c r="BT116" i="12" s="1"/>
  <c r="BS110" i="12"/>
  <c r="BS116" i="12" s="1"/>
  <c r="BR110" i="12"/>
  <c r="BR116" i="12" s="1"/>
  <c r="BQ110" i="12"/>
  <c r="BQ116" i="12" s="1"/>
  <c r="BP110" i="12"/>
  <c r="BP116" i="12" s="1"/>
  <c r="BO110" i="12"/>
  <c r="BO116" i="12" s="1"/>
  <c r="BN110" i="12"/>
  <c r="BN116" i="12" s="1"/>
  <c r="BM110" i="12"/>
  <c r="BM116" i="12" s="1"/>
  <c r="BL110" i="12"/>
  <c r="BL116" i="12" s="1"/>
  <c r="BK110" i="12"/>
  <c r="BK116" i="12" s="1"/>
  <c r="BJ110" i="12"/>
  <c r="BJ116" i="12" s="1"/>
  <c r="BI110" i="12"/>
  <c r="BI116" i="12" s="1"/>
  <c r="BH110" i="12"/>
  <c r="BH116" i="12" s="1"/>
  <c r="BG110" i="12"/>
  <c r="BG116" i="12" s="1"/>
  <c r="BF110" i="12"/>
  <c r="BF116" i="12" s="1"/>
  <c r="BE110" i="12"/>
  <c r="BE116" i="12" s="1"/>
  <c r="BD110" i="12"/>
  <c r="BD116" i="12" s="1"/>
  <c r="BC110" i="12"/>
  <c r="BC116" i="12" s="1"/>
  <c r="BB110" i="12"/>
  <c r="BB116" i="12" s="1"/>
  <c r="BA110" i="12"/>
  <c r="BA116" i="12" s="1"/>
  <c r="AZ110" i="12"/>
  <c r="AZ116" i="12" s="1"/>
  <c r="AY110" i="12"/>
  <c r="AY116" i="12" s="1"/>
  <c r="AX110" i="12"/>
  <c r="AX116" i="12" s="1"/>
  <c r="AW110" i="12"/>
  <c r="AW116" i="12" s="1"/>
  <c r="AV110" i="12"/>
  <c r="AV116" i="12" s="1"/>
  <c r="AU110" i="12"/>
  <c r="AU116" i="12" s="1"/>
  <c r="AT110" i="12"/>
  <c r="AT116" i="12" s="1"/>
  <c r="AS110" i="12"/>
  <c r="AS116" i="12" s="1"/>
  <c r="AR110" i="12"/>
  <c r="AR116" i="12" s="1"/>
  <c r="AQ110" i="12"/>
  <c r="AQ116" i="12" s="1"/>
  <c r="AP110" i="12"/>
  <c r="AP116" i="12" s="1"/>
  <c r="AO110" i="12"/>
  <c r="AO116" i="12" s="1"/>
  <c r="AN110" i="12"/>
  <c r="AN116" i="12" s="1"/>
  <c r="AM110" i="12"/>
  <c r="AM116" i="12" s="1"/>
  <c r="AL110" i="12"/>
  <c r="AL116" i="12" s="1"/>
  <c r="AK110" i="12"/>
  <c r="AK116" i="12" s="1"/>
  <c r="AJ110" i="12"/>
  <c r="AJ116" i="12" s="1"/>
  <c r="AI110" i="12"/>
  <c r="AI116" i="12" s="1"/>
  <c r="AH110" i="12"/>
  <c r="AH116" i="12" s="1"/>
  <c r="AG110" i="12"/>
  <c r="AG116" i="12" s="1"/>
  <c r="AF110" i="12"/>
  <c r="AF116" i="12" s="1"/>
  <c r="AE110" i="12"/>
  <c r="AE116" i="12" s="1"/>
  <c r="AD110" i="12"/>
  <c r="AD116" i="12" s="1"/>
  <c r="AC110" i="12"/>
  <c r="AC116" i="12" s="1"/>
  <c r="AB110" i="12"/>
  <c r="AB116" i="12" s="1"/>
  <c r="AA110" i="12"/>
  <c r="AA116" i="12" s="1"/>
  <c r="Z110" i="12"/>
  <c r="Z116" i="12" s="1"/>
  <c r="Y110" i="12"/>
  <c r="Y116" i="12" s="1"/>
  <c r="X110" i="12"/>
  <c r="X116" i="12" s="1"/>
  <c r="W110" i="12"/>
  <c r="W116" i="12" s="1"/>
  <c r="V110" i="12"/>
  <c r="V116" i="12" s="1"/>
  <c r="U110" i="12"/>
  <c r="U116" i="12" s="1"/>
  <c r="S110" i="12"/>
  <c r="S116" i="12" s="1"/>
  <c r="R110" i="12"/>
  <c r="R116" i="12" s="1"/>
  <c r="Q110" i="12"/>
  <c r="Q116" i="12" s="1"/>
  <c r="P110" i="12"/>
  <c r="P116" i="12" s="1"/>
  <c r="O110" i="12"/>
  <c r="O116" i="12" s="1"/>
  <c r="N110" i="12"/>
  <c r="N116" i="12" s="1"/>
  <c r="M110" i="12"/>
  <c r="M116" i="12" s="1"/>
  <c r="L110" i="12"/>
  <c r="L116" i="12" s="1"/>
  <c r="K110" i="12"/>
  <c r="K116" i="12" s="1"/>
  <c r="J110" i="12"/>
  <c r="J116" i="12" s="1"/>
  <c r="I110" i="12"/>
  <c r="I116" i="12" s="1"/>
  <c r="G110" i="12"/>
  <c r="G116" i="12" s="1"/>
  <c r="F110" i="12"/>
  <c r="F116" i="12" s="1"/>
  <c r="E110" i="12"/>
  <c r="E116" i="12" s="1"/>
  <c r="BW102" i="12"/>
  <c r="BV102" i="12"/>
  <c r="BU102" i="12"/>
  <c r="BT102" i="12"/>
  <c r="BS102" i="12"/>
  <c r="BR102" i="12"/>
  <c r="BQ102" i="12"/>
  <c r="BP102" i="12"/>
  <c r="BO102" i="12"/>
  <c r="BN102" i="12"/>
  <c r="BM102" i="12"/>
  <c r="BL102" i="12"/>
  <c r="BK102" i="12"/>
  <c r="BJ102" i="12"/>
  <c r="BI102" i="12"/>
  <c r="BH102" i="12"/>
  <c r="BG102" i="12"/>
  <c r="BF102" i="12"/>
  <c r="BE102" i="12"/>
  <c r="BD102" i="12"/>
  <c r="BC102" i="12"/>
  <c r="BB102" i="12"/>
  <c r="BA102" i="12"/>
  <c r="AZ102" i="12"/>
  <c r="AY102" i="12"/>
  <c r="AX102" i="12"/>
  <c r="AW102" i="12"/>
  <c r="AV102" i="12"/>
  <c r="AU102" i="12"/>
  <c r="AT102" i="12"/>
  <c r="AS102" i="12"/>
  <c r="AR102" i="12"/>
  <c r="AQ102" i="12"/>
  <c r="AP102" i="12"/>
  <c r="AO102" i="12"/>
  <c r="AN102" i="12"/>
  <c r="AM102" i="12"/>
  <c r="AL102" i="12"/>
  <c r="AK102" i="12"/>
  <c r="AJ102" i="12"/>
  <c r="AI102" i="12"/>
  <c r="AH102" i="12"/>
  <c r="AG102" i="12"/>
  <c r="AF102" i="12"/>
  <c r="AE102" i="12"/>
  <c r="AD102" i="12"/>
  <c r="AC102" i="12"/>
  <c r="AB102" i="12"/>
  <c r="AA102" i="12"/>
  <c r="Z102" i="12"/>
  <c r="Y102" i="12"/>
  <c r="X102" i="12"/>
  <c r="W102" i="12"/>
  <c r="V102" i="12"/>
  <c r="U102" i="12"/>
  <c r="S102" i="12"/>
  <c r="R102" i="12"/>
  <c r="Q102" i="12"/>
  <c r="P102" i="12"/>
  <c r="O102" i="12"/>
  <c r="N102" i="12"/>
  <c r="M102" i="12"/>
  <c r="L102" i="12"/>
  <c r="K102" i="12"/>
  <c r="J102" i="12"/>
  <c r="I102" i="12"/>
  <c r="G102" i="12"/>
  <c r="F102" i="12"/>
  <c r="E102" i="12"/>
  <c r="G98" i="12"/>
  <c r="BY94" i="12"/>
  <c r="BY93" i="12"/>
  <c r="BY92" i="12"/>
  <c r="BY91" i="12"/>
  <c r="BX88" i="12"/>
  <c r="BW88" i="12"/>
  <c r="BV88" i="12"/>
  <c r="BU88" i="12"/>
  <c r="BT88" i="12"/>
  <c r="BS88" i="12"/>
  <c r="BR88" i="12"/>
  <c r="BQ88" i="12"/>
  <c r="BP88" i="12"/>
  <c r="BO88" i="12"/>
  <c r="BN88" i="12"/>
  <c r="BM88" i="12"/>
  <c r="BL88" i="12"/>
  <c r="BK88" i="12"/>
  <c r="BJ88" i="12"/>
  <c r="BI88" i="12"/>
  <c r="BH88" i="12"/>
  <c r="BG88" i="12"/>
  <c r="BF88" i="12"/>
  <c r="BE88" i="12"/>
  <c r="BD88" i="12"/>
  <c r="BC88" i="12"/>
  <c r="BB88" i="12"/>
  <c r="BA88" i="12"/>
  <c r="AZ88" i="12"/>
  <c r="AY88" i="12"/>
  <c r="AX88" i="12"/>
  <c r="AW88" i="12"/>
  <c r="AV88" i="12"/>
  <c r="AU88" i="12"/>
  <c r="AT88" i="12"/>
  <c r="AS88" i="12"/>
  <c r="AR88" i="12"/>
  <c r="AQ88" i="12"/>
  <c r="AP88" i="12"/>
  <c r="AO88" i="12"/>
  <c r="AN88" i="12"/>
  <c r="AM88" i="12"/>
  <c r="AL88" i="12"/>
  <c r="AK88" i="12"/>
  <c r="AJ88" i="12"/>
  <c r="AI88" i="12"/>
  <c r="AH88" i="12"/>
  <c r="AG88" i="12"/>
  <c r="AF88" i="12"/>
  <c r="AE88" i="12"/>
  <c r="AD88" i="12"/>
  <c r="AC88" i="12"/>
  <c r="AB88" i="12"/>
  <c r="AA88" i="12"/>
  <c r="Z88" i="12"/>
  <c r="Y88" i="12"/>
  <c r="X88" i="12"/>
  <c r="W88" i="12"/>
  <c r="V88" i="12"/>
  <c r="U88" i="12"/>
  <c r="O88" i="12"/>
  <c r="N88" i="12"/>
  <c r="M88" i="12"/>
  <c r="L88" i="12"/>
  <c r="K88" i="12"/>
  <c r="J88" i="12"/>
  <c r="I88" i="12"/>
  <c r="H88" i="12"/>
  <c r="G88" i="12"/>
  <c r="F88" i="12"/>
  <c r="E88" i="12"/>
  <c r="BY87" i="12"/>
  <c r="BY86" i="12"/>
  <c r="BY85" i="12" s="1"/>
  <c r="BX85" i="12"/>
  <c r="BW85" i="12"/>
  <c r="BV85" i="12"/>
  <c r="BU85" i="12"/>
  <c r="BT85" i="12"/>
  <c r="BS85" i="12"/>
  <c r="BR85" i="12"/>
  <c r="BQ85" i="12"/>
  <c r="BP85" i="12"/>
  <c r="BO85" i="12"/>
  <c r="BN85" i="12"/>
  <c r="BM85" i="12"/>
  <c r="BL85" i="12"/>
  <c r="BK85" i="12"/>
  <c r="BJ85" i="12"/>
  <c r="BI85" i="12"/>
  <c r="BH85" i="12"/>
  <c r="BG85" i="12"/>
  <c r="BF85" i="12"/>
  <c r="BE85" i="12"/>
  <c r="BD85" i="12"/>
  <c r="BC85" i="12"/>
  <c r="BB85" i="12"/>
  <c r="BA85" i="12"/>
  <c r="AZ85" i="12"/>
  <c r="AY85" i="12"/>
  <c r="AX85" i="12"/>
  <c r="AW85" i="12"/>
  <c r="AV85" i="12"/>
  <c r="AU85" i="12"/>
  <c r="AT85" i="12"/>
  <c r="AS85" i="12"/>
  <c r="AR85" i="12"/>
  <c r="AQ85" i="12"/>
  <c r="AP85" i="12"/>
  <c r="AO85" i="12"/>
  <c r="AN85" i="12"/>
  <c r="AM85" i="12"/>
  <c r="AL85" i="12"/>
  <c r="AK85" i="12"/>
  <c r="AJ85" i="12"/>
  <c r="AI85" i="12"/>
  <c r="AH85" i="12"/>
  <c r="AG85" i="12"/>
  <c r="AF85" i="12"/>
  <c r="AE85" i="12"/>
  <c r="AD85" i="12"/>
  <c r="AC85" i="12"/>
  <c r="AB85" i="12"/>
  <c r="AA85" i="12"/>
  <c r="Z85" i="12"/>
  <c r="Y85" i="12"/>
  <c r="X85" i="12"/>
  <c r="W85" i="12"/>
  <c r="V85" i="12"/>
  <c r="U85" i="12"/>
  <c r="T85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BY84" i="12"/>
  <c r="BY83" i="12"/>
  <c r="BY82" i="12"/>
  <c r="BY81" i="12"/>
  <c r="BY79" i="12"/>
  <c r="BY78" i="12"/>
  <c r="BY77" i="12"/>
  <c r="BY76" i="12"/>
  <c r="BY75" i="12"/>
  <c r="BY74" i="12"/>
  <c r="BY73" i="12"/>
  <c r="BY72" i="12"/>
  <c r="BY71" i="12"/>
  <c r="BY70" i="12"/>
  <c r="BY69" i="12"/>
  <c r="BY68" i="12"/>
  <c r="BY67" i="12"/>
  <c r="BY66" i="12"/>
  <c r="BY65" i="12"/>
  <c r="BY64" i="12"/>
  <c r="BY63" i="12"/>
  <c r="BY62" i="12"/>
  <c r="BX61" i="12"/>
  <c r="BW61" i="12"/>
  <c r="BV61" i="12"/>
  <c r="BU61" i="12"/>
  <c r="BT61" i="12"/>
  <c r="BS61" i="12"/>
  <c r="BR61" i="12"/>
  <c r="BQ61" i="12"/>
  <c r="BP61" i="12"/>
  <c r="BO61" i="12"/>
  <c r="BN61" i="12"/>
  <c r="BM61" i="12"/>
  <c r="BL61" i="12"/>
  <c r="BK61" i="12"/>
  <c r="BJ61" i="12"/>
  <c r="BI61" i="12"/>
  <c r="BH61" i="12"/>
  <c r="BG61" i="12"/>
  <c r="BF61" i="12"/>
  <c r="BE61" i="12"/>
  <c r="BD61" i="12"/>
  <c r="BC61" i="12"/>
  <c r="BB61" i="12"/>
  <c r="BA61" i="12"/>
  <c r="AZ61" i="12"/>
  <c r="AY61" i="12"/>
  <c r="AX61" i="12"/>
  <c r="AW61" i="12"/>
  <c r="AV61" i="12"/>
  <c r="AU61" i="12"/>
  <c r="AT61" i="12"/>
  <c r="AS61" i="12"/>
  <c r="AR61" i="12"/>
  <c r="AQ61" i="12"/>
  <c r="AP61" i="12"/>
  <c r="AO61" i="12"/>
  <c r="AN61" i="12"/>
  <c r="AM61" i="12"/>
  <c r="AL61" i="12"/>
  <c r="AK61" i="12"/>
  <c r="AJ61" i="12"/>
  <c r="AI61" i="12"/>
  <c r="AH61" i="12"/>
  <c r="AG61" i="12"/>
  <c r="AF61" i="12"/>
  <c r="AE61" i="12"/>
  <c r="AD61" i="12"/>
  <c r="AC61" i="12"/>
  <c r="AB61" i="12"/>
  <c r="AA61" i="12"/>
  <c r="Z61" i="12"/>
  <c r="Y61" i="12"/>
  <c r="X61" i="12"/>
  <c r="W61" i="12"/>
  <c r="V61" i="12"/>
  <c r="U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BY59" i="12"/>
  <c r="D59" i="12"/>
  <c r="J58" i="12"/>
  <c r="BY58" i="12" s="1"/>
  <c r="BY57" i="12"/>
  <c r="BY56" i="12"/>
  <c r="BY54" i="12"/>
  <c r="BX53" i="12"/>
  <c r="BW53" i="12"/>
  <c r="BV53" i="12"/>
  <c r="BU53" i="12"/>
  <c r="BT53" i="12"/>
  <c r="BS53" i="12"/>
  <c r="BR53" i="12"/>
  <c r="BQ53" i="12"/>
  <c r="BP53" i="12"/>
  <c r="BO53" i="12"/>
  <c r="BN53" i="12"/>
  <c r="BM53" i="12"/>
  <c r="BL53" i="12"/>
  <c r="BK53" i="12"/>
  <c r="BJ53" i="12"/>
  <c r="BI53" i="12"/>
  <c r="BH53" i="12"/>
  <c r="BG53" i="12"/>
  <c r="BF53" i="12"/>
  <c r="BE53" i="12"/>
  <c r="BD53" i="12"/>
  <c r="BC53" i="12"/>
  <c r="BB53" i="12"/>
  <c r="BA53" i="12"/>
  <c r="AZ53" i="12"/>
  <c r="AY53" i="12"/>
  <c r="AX53" i="12"/>
  <c r="AW53" i="12"/>
  <c r="AV53" i="12"/>
  <c r="AU53" i="12"/>
  <c r="AT53" i="12"/>
  <c r="AS53" i="12"/>
  <c r="AR53" i="12"/>
  <c r="AQ53" i="12"/>
  <c r="AP53" i="12"/>
  <c r="AO53" i="12"/>
  <c r="AN53" i="12"/>
  <c r="AM53" i="12"/>
  <c r="AL53" i="12"/>
  <c r="AK53" i="12"/>
  <c r="AJ53" i="12"/>
  <c r="AI53" i="12"/>
  <c r="AH53" i="12"/>
  <c r="AG53" i="12"/>
  <c r="AF53" i="12"/>
  <c r="AE53" i="12"/>
  <c r="AD53" i="12"/>
  <c r="AC53" i="12"/>
  <c r="AB53" i="12"/>
  <c r="AA53" i="12"/>
  <c r="Z53" i="12"/>
  <c r="Y53" i="12"/>
  <c r="X53" i="12"/>
  <c r="W53" i="12"/>
  <c r="V53" i="12"/>
  <c r="U53" i="12"/>
  <c r="J53" i="12"/>
  <c r="I53" i="12"/>
  <c r="H53" i="12"/>
  <c r="G53" i="12"/>
  <c r="F53" i="12"/>
  <c r="E53" i="12"/>
  <c r="BY52" i="12"/>
  <c r="H51" i="12"/>
  <c r="H47" i="12" s="1"/>
  <c r="BY50" i="12"/>
  <c r="BY49" i="12"/>
  <c r="K48" i="12"/>
  <c r="BY48" i="12" s="1"/>
  <c r="BX47" i="12"/>
  <c r="BW47" i="12"/>
  <c r="BV47" i="12"/>
  <c r="BU47" i="12"/>
  <c r="BT47" i="12"/>
  <c r="BS47" i="12"/>
  <c r="BR47" i="12"/>
  <c r="BQ47" i="12"/>
  <c r="BP47" i="12"/>
  <c r="BO47" i="12"/>
  <c r="BN47" i="12"/>
  <c r="BM47" i="12"/>
  <c r="BL47" i="12"/>
  <c r="BK47" i="12"/>
  <c r="BJ47" i="12"/>
  <c r="BI47" i="12"/>
  <c r="BH47" i="12"/>
  <c r="BG47" i="12"/>
  <c r="BF47" i="12"/>
  <c r="BE47" i="12"/>
  <c r="BD47" i="12"/>
  <c r="BC47" i="12"/>
  <c r="BB47" i="12"/>
  <c r="BA47" i="12"/>
  <c r="AZ47" i="12"/>
  <c r="AY47" i="12"/>
  <c r="AX47" i="12"/>
  <c r="AW47" i="12"/>
  <c r="AV47" i="12"/>
  <c r="AU47" i="12"/>
  <c r="AT47" i="12"/>
  <c r="AS47" i="12"/>
  <c r="AR47" i="12"/>
  <c r="AQ47" i="12"/>
  <c r="AP47" i="12"/>
  <c r="AO47" i="12"/>
  <c r="AN47" i="12"/>
  <c r="AM47" i="12"/>
  <c r="AL47" i="12"/>
  <c r="AK47" i="12"/>
  <c r="AJ47" i="12"/>
  <c r="AI47" i="12"/>
  <c r="AH47" i="12"/>
  <c r="AG47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G47" i="12"/>
  <c r="F47" i="12"/>
  <c r="E47" i="12"/>
  <c r="BY45" i="12"/>
  <c r="H44" i="12"/>
  <c r="CB43" i="12"/>
  <c r="H43" i="12"/>
  <c r="CB42" i="12"/>
  <c r="CB84" i="12" s="1" a="1"/>
  <c r="CB84" i="12" s="1"/>
  <c r="H42" i="12"/>
  <c r="CB40" i="12"/>
  <c r="CB83" i="12" s="1"/>
  <c r="CB39" i="12"/>
  <c r="CB82" i="12" s="1"/>
  <c r="CB38" i="12"/>
  <c r="CB81" i="12" s="1"/>
  <c r="K38" i="12"/>
  <c r="J38" i="12"/>
  <c r="I38" i="12"/>
  <c r="BY38" i="12" s="1"/>
  <c r="BX37" i="12"/>
  <c r="BW37" i="12"/>
  <c r="BV37" i="12"/>
  <c r="BU37" i="12"/>
  <c r="BT37" i="12"/>
  <c r="BS37" i="12"/>
  <c r="BR37" i="12"/>
  <c r="BQ37" i="12"/>
  <c r="BP37" i="12"/>
  <c r="BO37" i="12"/>
  <c r="BN37" i="12"/>
  <c r="BM37" i="12"/>
  <c r="BL37" i="12"/>
  <c r="BK37" i="12"/>
  <c r="BJ37" i="12"/>
  <c r="BI37" i="12"/>
  <c r="BH37" i="12"/>
  <c r="BG37" i="12"/>
  <c r="BF37" i="12"/>
  <c r="BE37" i="12"/>
  <c r="BD37" i="12"/>
  <c r="BC37" i="12"/>
  <c r="BB37" i="12"/>
  <c r="BA37" i="12"/>
  <c r="AZ37" i="12"/>
  <c r="AY37" i="12"/>
  <c r="AX37" i="12"/>
  <c r="AW37" i="12"/>
  <c r="AV37" i="12"/>
  <c r="AU37" i="12"/>
  <c r="AT37" i="12"/>
  <c r="AS37" i="12"/>
  <c r="AR37" i="12"/>
  <c r="AQ37" i="12"/>
  <c r="AP37" i="12"/>
  <c r="AO37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G37" i="12"/>
  <c r="F37" i="12"/>
  <c r="E37" i="12"/>
  <c r="CB36" i="12"/>
  <c r="CB79" i="12" s="1"/>
  <c r="BY36" i="12"/>
  <c r="CB35" i="12"/>
  <c r="CB78" i="12" s="1"/>
  <c r="BY35" i="12"/>
  <c r="BX34" i="12"/>
  <c r="BW34" i="12"/>
  <c r="BV34" i="12"/>
  <c r="BU34" i="12"/>
  <c r="BT34" i="12"/>
  <c r="BS34" i="12"/>
  <c r="BR34" i="12"/>
  <c r="BQ34" i="12"/>
  <c r="BP34" i="12"/>
  <c r="BO34" i="12"/>
  <c r="BN34" i="12"/>
  <c r="BM34" i="12"/>
  <c r="BL34" i="12"/>
  <c r="BK34" i="12"/>
  <c r="BJ34" i="12"/>
  <c r="BI34" i="12"/>
  <c r="BH34" i="12"/>
  <c r="BG34" i="12"/>
  <c r="BF34" i="12"/>
  <c r="BE34" i="12"/>
  <c r="BD34" i="12"/>
  <c r="BC34" i="12"/>
  <c r="BB34" i="12"/>
  <c r="BA34" i="12"/>
  <c r="AZ34" i="12"/>
  <c r="AY34" i="12"/>
  <c r="AX34" i="12"/>
  <c r="AW34" i="12"/>
  <c r="AV34" i="12"/>
  <c r="AU34" i="12"/>
  <c r="AT34" i="12"/>
  <c r="AS34" i="12"/>
  <c r="AR34" i="12"/>
  <c r="AQ34" i="12"/>
  <c r="AP34" i="12"/>
  <c r="AO34" i="12"/>
  <c r="AN34" i="12"/>
  <c r="AM34" i="12"/>
  <c r="AL34" i="12"/>
  <c r="AK34" i="12"/>
  <c r="AJ34" i="12"/>
  <c r="AI34" i="12"/>
  <c r="AH34" i="12"/>
  <c r="AG34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CB33" i="12"/>
  <c r="CB76" i="12" s="1"/>
  <c r="BY33" i="12"/>
  <c r="CB32" i="12"/>
  <c r="CB75" i="12" s="1"/>
  <c r="CB31" i="12"/>
  <c r="CB74" i="12" s="1"/>
  <c r="H31" i="12"/>
  <c r="BY31" i="12" s="1"/>
  <c r="CB30" i="12"/>
  <c r="CB73" i="12" s="1"/>
  <c r="BY30" i="12"/>
  <c r="CB29" i="12"/>
  <c r="CB72" i="12" s="1"/>
  <c r="BY29" i="12"/>
  <c r="CB28" i="12"/>
  <c r="CB71" i="12" s="1"/>
  <c r="BY28" i="12"/>
  <c r="CB27" i="12"/>
  <c r="CB70" i="12" s="1"/>
  <c r="P27" i="12"/>
  <c r="O27" i="12"/>
  <c r="N27" i="12"/>
  <c r="M27" i="12"/>
  <c r="L27" i="12"/>
  <c r="K27" i="12"/>
  <c r="BX26" i="12"/>
  <c r="BW26" i="12"/>
  <c r="BV26" i="12"/>
  <c r="BU26" i="12"/>
  <c r="BT26" i="12"/>
  <c r="BS26" i="12"/>
  <c r="BR26" i="12"/>
  <c r="BQ26" i="12"/>
  <c r="BP26" i="12"/>
  <c r="BO26" i="12"/>
  <c r="BN26" i="12"/>
  <c r="BM26" i="12"/>
  <c r="BL26" i="12"/>
  <c r="BK26" i="12"/>
  <c r="BJ26" i="12"/>
  <c r="BI26" i="12"/>
  <c r="BH26" i="12"/>
  <c r="BG26" i="12"/>
  <c r="BF26" i="12"/>
  <c r="BE26" i="12"/>
  <c r="BD26" i="12"/>
  <c r="BC26" i="12"/>
  <c r="BB26" i="12"/>
  <c r="BA26" i="12"/>
  <c r="AZ26" i="12"/>
  <c r="AY26" i="12"/>
  <c r="AX26" i="12"/>
  <c r="AW26" i="12"/>
  <c r="AV26" i="12"/>
  <c r="AU26" i="12"/>
  <c r="AT26" i="12"/>
  <c r="AS26" i="12"/>
  <c r="AR26" i="12"/>
  <c r="AQ26" i="12"/>
  <c r="AP26" i="12"/>
  <c r="AO26" i="12"/>
  <c r="AN26" i="12"/>
  <c r="AM26" i="12"/>
  <c r="AL26" i="12"/>
  <c r="AK26" i="12"/>
  <c r="AJ26" i="12"/>
  <c r="AI26" i="12"/>
  <c r="AH26" i="12"/>
  <c r="AG26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G26" i="12"/>
  <c r="F26" i="12"/>
  <c r="E26" i="12"/>
  <c r="CB25" i="12"/>
  <c r="CB68" i="12" s="1"/>
  <c r="K25" i="12"/>
  <c r="BY25" i="12" s="1"/>
  <c r="CB24" i="12"/>
  <c r="CB67" i="12" s="1"/>
  <c r="K24" i="12"/>
  <c r="I24" i="12"/>
  <c r="BY24" i="12" s="1"/>
  <c r="BX23" i="12"/>
  <c r="BW23" i="12"/>
  <c r="BV23" i="12"/>
  <c r="BU23" i="12"/>
  <c r="BT23" i="12"/>
  <c r="BS23" i="12"/>
  <c r="BR23" i="12"/>
  <c r="BQ23" i="12"/>
  <c r="BP23" i="12"/>
  <c r="BO23" i="12"/>
  <c r="BN23" i="12"/>
  <c r="BM23" i="12"/>
  <c r="BL23" i="12"/>
  <c r="BK23" i="12"/>
  <c r="BJ23" i="12"/>
  <c r="BI23" i="12"/>
  <c r="BH23" i="12"/>
  <c r="BG23" i="12"/>
  <c r="BF23" i="12"/>
  <c r="BE23" i="12"/>
  <c r="BD23" i="12"/>
  <c r="BC23" i="12"/>
  <c r="BB23" i="12"/>
  <c r="BA23" i="12"/>
  <c r="AZ23" i="12"/>
  <c r="AY23" i="12"/>
  <c r="AX23" i="12"/>
  <c r="AW23" i="12"/>
  <c r="AV23" i="12"/>
  <c r="AU23" i="12"/>
  <c r="AT23" i="12"/>
  <c r="AS23" i="12"/>
  <c r="AR23" i="12"/>
  <c r="AQ23" i="12"/>
  <c r="AP23" i="12"/>
  <c r="AO23" i="12"/>
  <c r="AN23" i="12"/>
  <c r="AM23" i="12"/>
  <c r="AL23" i="12"/>
  <c r="AK23" i="12"/>
  <c r="AJ23" i="12"/>
  <c r="AI23" i="12"/>
  <c r="AH23" i="12"/>
  <c r="AG23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J23" i="12"/>
  <c r="H23" i="12"/>
  <c r="G23" i="12"/>
  <c r="F23" i="12"/>
  <c r="E23" i="12"/>
  <c r="BY22" i="12"/>
  <c r="BY21" i="12"/>
  <c r="BY20" i="12"/>
  <c r="BY19" i="12"/>
  <c r="I18" i="12"/>
  <c r="H18" i="12"/>
  <c r="BY18" i="12" s="1"/>
  <c r="BY17" i="12" s="1"/>
  <c r="BX17" i="12"/>
  <c r="BW17" i="12"/>
  <c r="BV17" i="12"/>
  <c r="BU17" i="12"/>
  <c r="BT17" i="12"/>
  <c r="BS17" i="12"/>
  <c r="BR17" i="12"/>
  <c r="BQ17" i="12"/>
  <c r="BP17" i="12"/>
  <c r="BO17" i="12"/>
  <c r="BN17" i="12"/>
  <c r="BM17" i="12"/>
  <c r="BL17" i="12"/>
  <c r="BK17" i="12"/>
  <c r="BJ17" i="12"/>
  <c r="BI17" i="12"/>
  <c r="BH17" i="12"/>
  <c r="BG17" i="12"/>
  <c r="BF17" i="12"/>
  <c r="BE17" i="12"/>
  <c r="BD17" i="12"/>
  <c r="BC17" i="12"/>
  <c r="BB17" i="12"/>
  <c r="BA17" i="12"/>
  <c r="AZ17" i="12"/>
  <c r="AY17" i="12"/>
  <c r="AX17" i="12"/>
  <c r="AW17" i="12"/>
  <c r="AV17" i="12"/>
  <c r="AU17" i="12"/>
  <c r="AT17" i="12"/>
  <c r="AS17" i="12"/>
  <c r="AR17" i="12"/>
  <c r="AQ17" i="12"/>
  <c r="AP17" i="12"/>
  <c r="AO17" i="12"/>
  <c r="AN17" i="12"/>
  <c r="AM17" i="12"/>
  <c r="AL17" i="12"/>
  <c r="AK17" i="12"/>
  <c r="AJ17" i="12"/>
  <c r="AI17" i="12"/>
  <c r="AH17" i="12"/>
  <c r="AG17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G17" i="12"/>
  <c r="F17" i="12"/>
  <c r="E17" i="12"/>
  <c r="BX16" i="12"/>
  <c r="BW16" i="12"/>
  <c r="BV16" i="12"/>
  <c r="BU16" i="12"/>
  <c r="BT16" i="12"/>
  <c r="BS16" i="12"/>
  <c r="BR16" i="12"/>
  <c r="BQ16" i="12"/>
  <c r="BP16" i="12"/>
  <c r="BO16" i="12"/>
  <c r="BN16" i="12"/>
  <c r="BM16" i="12"/>
  <c r="BL16" i="12"/>
  <c r="BK16" i="12"/>
  <c r="BJ16" i="12"/>
  <c r="BI16" i="12"/>
  <c r="BH16" i="12"/>
  <c r="BG16" i="12"/>
  <c r="BF16" i="12"/>
  <c r="BE16" i="12"/>
  <c r="BD16" i="12"/>
  <c r="BC16" i="12"/>
  <c r="BB16" i="12"/>
  <c r="BA16" i="12"/>
  <c r="AZ16" i="12"/>
  <c r="AY16" i="12"/>
  <c r="AX16" i="12"/>
  <c r="AW16" i="12"/>
  <c r="AV16" i="12"/>
  <c r="AU16" i="12"/>
  <c r="AT16" i="12"/>
  <c r="AS16" i="12"/>
  <c r="AR16" i="12"/>
  <c r="AQ16" i="12"/>
  <c r="AP16" i="12"/>
  <c r="AO16" i="12"/>
  <c r="AN16" i="12"/>
  <c r="AM16" i="12"/>
  <c r="AL16" i="12"/>
  <c r="AK16" i="12"/>
  <c r="AJ16" i="12"/>
  <c r="AI16" i="12"/>
  <c r="AH16" i="12"/>
  <c r="AG16" i="12"/>
  <c r="AF16" i="12"/>
  <c r="AE16" i="12"/>
  <c r="AD16" i="12"/>
  <c r="AC16" i="12"/>
  <c r="AB16" i="12"/>
  <c r="AA16" i="12"/>
  <c r="Z16" i="12"/>
  <c r="Y16" i="12"/>
  <c r="X16" i="12"/>
  <c r="W16" i="12"/>
  <c r="V16" i="12"/>
  <c r="U16" i="12"/>
  <c r="J16" i="12"/>
  <c r="I16" i="12"/>
  <c r="G16" i="12"/>
  <c r="F16" i="12"/>
  <c r="E16" i="12"/>
  <c r="O15" i="12"/>
  <c r="K11" i="12"/>
  <c r="BY10" i="12"/>
  <c r="CB10" i="12" s="1"/>
  <c r="BY9" i="12"/>
  <c r="BY8" i="12"/>
  <c r="CB8" i="12" s="1"/>
  <c r="CB51" i="12" s="1"/>
  <c r="CA7" i="12"/>
  <c r="M11" i="12" s="1"/>
  <c r="BY7" i="12"/>
  <c r="CB7" i="12" s="1"/>
  <c r="CB50" i="12" s="1"/>
  <c r="CA6" i="12"/>
  <c r="BY6" i="12"/>
  <c r="H5" i="12"/>
  <c r="C128" i="11"/>
  <c r="F103" i="11"/>
  <c r="B103" i="11"/>
  <c r="B102" i="11"/>
  <c r="B99" i="11"/>
  <c r="F88" i="11"/>
  <c r="F87" i="11"/>
  <c r="F82" i="11"/>
  <c r="F79" i="11"/>
  <c r="B71" i="11"/>
  <c r="B70" i="11"/>
  <c r="B69" i="11"/>
  <c r="B68" i="11"/>
  <c r="B67" i="11"/>
  <c r="B66" i="11"/>
  <c r="B65" i="11"/>
  <c r="B63" i="11"/>
  <c r="B62" i="11"/>
  <c r="F59" i="11"/>
  <c r="F58" i="11"/>
  <c r="B58" i="11"/>
  <c r="B57" i="11"/>
  <c r="B55" i="11"/>
  <c r="B50" i="11"/>
  <c r="R49" i="11"/>
  <c r="R50" i="11" s="1"/>
  <c r="R51" i="11" s="1"/>
  <c r="R52" i="11" s="1"/>
  <c r="B49" i="11"/>
  <c r="B47" i="11"/>
  <c r="F42" i="11"/>
  <c r="B41" i="11"/>
  <c r="B38" i="11"/>
  <c r="F37" i="11"/>
  <c r="B37" i="11"/>
  <c r="F36" i="11"/>
  <c r="F35" i="11"/>
  <c r="B35" i="11"/>
  <c r="B29" i="11"/>
  <c r="B27" i="11"/>
  <c r="J22" i="11"/>
  <c r="J23" i="11" s="1"/>
  <c r="B22" i="11"/>
  <c r="F19" i="11"/>
  <c r="C23" i="11" s="1"/>
  <c r="B19" i="11"/>
  <c r="B17" i="11"/>
  <c r="Q39" i="11" s="1"/>
  <c r="M16" i="11"/>
  <c r="K16" i="11"/>
  <c r="J16" i="11"/>
  <c r="I16" i="11"/>
  <c r="M15" i="11"/>
  <c r="K15" i="11"/>
  <c r="J15" i="11"/>
  <c r="I15" i="11"/>
  <c r="R14" i="11"/>
  <c r="K14" i="11"/>
  <c r="J14" i="11"/>
  <c r="I14" i="11"/>
  <c r="K13" i="11"/>
  <c r="J13" i="11"/>
  <c r="I13" i="11"/>
  <c r="B13" i="11"/>
  <c r="K12" i="11"/>
  <c r="J12" i="11"/>
  <c r="I12" i="11"/>
  <c r="B12" i="11"/>
  <c r="K11" i="11"/>
  <c r="J11" i="11"/>
  <c r="F31" i="11" s="1"/>
  <c r="I11" i="11"/>
  <c r="B11" i="11"/>
  <c r="M10" i="11"/>
  <c r="K10" i="11"/>
  <c r="J10" i="11"/>
  <c r="I10" i="11"/>
  <c r="F10" i="11"/>
  <c r="B10" i="11"/>
  <c r="M9" i="11"/>
  <c r="L9" i="11"/>
  <c r="K9" i="11"/>
  <c r="F49" i="11" s="1"/>
  <c r="J9" i="11"/>
  <c r="I9" i="11"/>
  <c r="F9" i="11"/>
  <c r="M8" i="11"/>
  <c r="K8" i="11"/>
  <c r="J8" i="11"/>
  <c r="J17" i="11" s="1"/>
  <c r="I8" i="11"/>
  <c r="F8" i="11"/>
  <c r="B8" i="11"/>
  <c r="Q36" i="11" s="1"/>
  <c r="H21" i="10"/>
  <c r="H20" i="10"/>
  <c r="H19" i="10"/>
  <c r="H18" i="10"/>
  <c r="G17" i="10"/>
  <c r="G16" i="10"/>
  <c r="G15" i="10"/>
  <c r="H14" i="10"/>
  <c r="G13" i="10"/>
  <c r="H13" i="10" s="1"/>
  <c r="G12" i="10"/>
  <c r="H12" i="10" s="1"/>
  <c r="G11" i="10"/>
  <c r="H11" i="10" s="1"/>
  <c r="G10" i="10"/>
  <c r="G38" i="9"/>
  <c r="E37" i="9"/>
  <c r="G30" i="9"/>
  <c r="G26" i="9"/>
  <c r="F24" i="9"/>
  <c r="E21" i="9"/>
  <c r="E18" i="9"/>
  <c r="R15" i="9"/>
  <c r="Q15" i="9"/>
  <c r="Q20" i="9" s="1"/>
  <c r="P15" i="9"/>
  <c r="U17" i="9" s="1"/>
  <c r="O15" i="9"/>
  <c r="N15" i="9"/>
  <c r="M15" i="9"/>
  <c r="K15" i="9"/>
  <c r="J15" i="9"/>
  <c r="R8" i="8" a="1"/>
  <c r="R8" i="8"/>
  <c r="S8" i="8" s="1"/>
  <c r="C8" i="8" a="1"/>
  <c r="C8" i="8"/>
  <c r="D8" i="8" s="1"/>
  <c r="W205" i="7"/>
  <c r="V205" i="7"/>
  <c r="U205" i="7"/>
  <c r="T205" i="7"/>
  <c r="S205" i="7"/>
  <c r="D193" i="7"/>
  <c r="BX186" i="7"/>
  <c r="BW186" i="7"/>
  <c r="BV186" i="7"/>
  <c r="BU186" i="7"/>
  <c r="BT186" i="7"/>
  <c r="BS186" i="7"/>
  <c r="BR186" i="7"/>
  <c r="BQ186" i="7"/>
  <c r="BP186" i="7"/>
  <c r="BO186" i="7"/>
  <c r="BN186" i="7"/>
  <c r="BM186" i="7"/>
  <c r="BL186" i="7"/>
  <c r="BK186" i="7"/>
  <c r="BJ186" i="7"/>
  <c r="BI186" i="7"/>
  <c r="BH186" i="7"/>
  <c r="BG186" i="7"/>
  <c r="BF186" i="7"/>
  <c r="BE186" i="7"/>
  <c r="BD186" i="7"/>
  <c r="BC186" i="7"/>
  <c r="BB186" i="7"/>
  <c r="BA186" i="7"/>
  <c r="AZ186" i="7"/>
  <c r="AY186" i="7"/>
  <c r="AX186" i="7"/>
  <c r="AW186" i="7"/>
  <c r="AV186" i="7"/>
  <c r="AU186" i="7"/>
  <c r="AT186" i="7"/>
  <c r="AS186" i="7"/>
  <c r="AR186" i="7"/>
  <c r="AQ186" i="7"/>
  <c r="AP186" i="7"/>
  <c r="AO186" i="7"/>
  <c r="AN186" i="7"/>
  <c r="AM186" i="7"/>
  <c r="AL186" i="7"/>
  <c r="AK186" i="7"/>
  <c r="AE186" i="7"/>
  <c r="AD186" i="7"/>
  <c r="AC186" i="7"/>
  <c r="AB186" i="7"/>
  <c r="Z186" i="7"/>
  <c r="Y186" i="7"/>
  <c r="X186" i="7"/>
  <c r="W186" i="7"/>
  <c r="V186" i="7"/>
  <c r="U186" i="7"/>
  <c r="T186" i="7"/>
  <c r="S186" i="7"/>
  <c r="S189" i="7" s="1"/>
  <c r="R186" i="7"/>
  <c r="R189" i="7" s="1"/>
  <c r="Q186" i="7"/>
  <c r="Q189" i="7" s="1"/>
  <c r="P186" i="7"/>
  <c r="P189" i="7" s="1"/>
  <c r="O186" i="7"/>
  <c r="O189" i="7" s="1"/>
  <c r="N186" i="7"/>
  <c r="N189" i="7" s="1"/>
  <c r="M186" i="7"/>
  <c r="M189" i="7" s="1"/>
  <c r="L186" i="7"/>
  <c r="L189" i="7" s="1"/>
  <c r="K186" i="7"/>
  <c r="K189" i="7" s="1"/>
  <c r="J186" i="7"/>
  <c r="J189" i="7" s="1"/>
  <c r="I186" i="7"/>
  <c r="I189" i="7" s="1"/>
  <c r="H186" i="7"/>
  <c r="G186" i="7"/>
  <c r="F186" i="7"/>
  <c r="E186" i="7"/>
  <c r="BX184" i="7"/>
  <c r="BW184" i="7"/>
  <c r="BW189" i="7" s="1"/>
  <c r="BV184" i="7"/>
  <c r="BU184" i="7"/>
  <c r="BT184" i="7"/>
  <c r="BT189" i="7" s="1"/>
  <c r="BS184" i="7"/>
  <c r="BS189" i="7" s="1"/>
  <c r="BR184" i="7"/>
  <c r="BR189" i="7" s="1"/>
  <c r="BQ184" i="7"/>
  <c r="BQ189" i="7" s="1"/>
  <c r="BP184" i="7"/>
  <c r="BO184" i="7"/>
  <c r="BO189" i="7" s="1"/>
  <c r="BN184" i="7"/>
  <c r="BM184" i="7"/>
  <c r="BL184" i="7"/>
  <c r="BL189" i="7" s="1"/>
  <c r="BK184" i="7"/>
  <c r="BK189" i="7" s="1"/>
  <c r="BJ184" i="7"/>
  <c r="BJ189" i="7" s="1"/>
  <c r="BI184" i="7"/>
  <c r="BI189" i="7" s="1"/>
  <c r="BH184" i="7"/>
  <c r="BG184" i="7"/>
  <c r="BG189" i="7" s="1"/>
  <c r="BF184" i="7"/>
  <c r="BE184" i="7"/>
  <c r="BD184" i="7"/>
  <c r="BD189" i="7" s="1"/>
  <c r="BC184" i="7"/>
  <c r="BC189" i="7" s="1"/>
  <c r="BB184" i="7"/>
  <c r="BB189" i="7" s="1"/>
  <c r="BA184" i="7"/>
  <c r="BA189" i="7" s="1"/>
  <c r="AZ184" i="7"/>
  <c r="AY184" i="7"/>
  <c r="AY189" i="7" s="1"/>
  <c r="AX184" i="7"/>
  <c r="AW184" i="7"/>
  <c r="AV184" i="7"/>
  <c r="AV189" i="7" s="1"/>
  <c r="AU184" i="7"/>
  <c r="AU189" i="7" s="1"/>
  <c r="AT184" i="7"/>
  <c r="AT189" i="7" s="1"/>
  <c r="AS184" i="7"/>
  <c r="AS189" i="7" s="1"/>
  <c r="AR184" i="7"/>
  <c r="AQ184" i="7"/>
  <c r="AQ189" i="7" s="1"/>
  <c r="AP184" i="7"/>
  <c r="AO184" i="7"/>
  <c r="AN184" i="7"/>
  <c r="AN189" i="7" s="1"/>
  <c r="AM184" i="7"/>
  <c r="AM189" i="7" s="1"/>
  <c r="AL184" i="7"/>
  <c r="AL189" i="7" s="1"/>
  <c r="AK184" i="7"/>
  <c r="AK189" i="7" s="1"/>
  <c r="AK190" i="7" s="1"/>
  <c r="AE184" i="7"/>
  <c r="AD184" i="7"/>
  <c r="AD189" i="7" s="1"/>
  <c r="AC184" i="7"/>
  <c r="AB184" i="7"/>
  <c r="Z184" i="7"/>
  <c r="Z189" i="7" s="1"/>
  <c r="Y184" i="7"/>
  <c r="Y189" i="7" s="1"/>
  <c r="X184" i="7"/>
  <c r="X189" i="7" s="1"/>
  <c r="W184" i="7"/>
  <c r="W189" i="7" s="1"/>
  <c r="V184" i="7"/>
  <c r="U184" i="7"/>
  <c r="U189" i="7" s="1"/>
  <c r="T184" i="7"/>
  <c r="H184" i="7"/>
  <c r="H189" i="7" s="1"/>
  <c r="G184" i="7"/>
  <c r="G189" i="7" s="1"/>
  <c r="F184" i="7"/>
  <c r="E184" i="7"/>
  <c r="E189" i="7" s="1"/>
  <c r="D177" i="7"/>
  <c r="BX170" i="7"/>
  <c r="BW170" i="7"/>
  <c r="BV170" i="7"/>
  <c r="BU170" i="7"/>
  <c r="BT170" i="7"/>
  <c r="BS170" i="7"/>
  <c r="BR170" i="7"/>
  <c r="BQ170" i="7"/>
  <c r="BP170" i="7"/>
  <c r="BO170" i="7"/>
  <c r="BN170" i="7"/>
  <c r="BM170" i="7"/>
  <c r="BL170" i="7"/>
  <c r="BK170" i="7"/>
  <c r="BJ170" i="7"/>
  <c r="BI170" i="7"/>
  <c r="BH170" i="7"/>
  <c r="BG170" i="7"/>
  <c r="BF170" i="7"/>
  <c r="BE170" i="7"/>
  <c r="BD170" i="7"/>
  <c r="BC170" i="7"/>
  <c r="BB170" i="7"/>
  <c r="BA170" i="7"/>
  <c r="AZ170" i="7"/>
  <c r="AY170" i="7"/>
  <c r="AX170" i="7"/>
  <c r="AW170" i="7"/>
  <c r="AV170" i="7"/>
  <c r="AU170" i="7"/>
  <c r="AT170" i="7"/>
  <c r="AS170" i="7"/>
  <c r="AR170" i="7"/>
  <c r="AQ170" i="7"/>
  <c r="AP170" i="7"/>
  <c r="AO170" i="7"/>
  <c r="AN170" i="7"/>
  <c r="AM170" i="7"/>
  <c r="AL170" i="7"/>
  <c r="AK170" i="7"/>
  <c r="AE170" i="7"/>
  <c r="AD170" i="7"/>
  <c r="AC170" i="7"/>
  <c r="AB170" i="7"/>
  <c r="Z170" i="7"/>
  <c r="Y170" i="7"/>
  <c r="X170" i="7"/>
  <c r="W170" i="7"/>
  <c r="V170" i="7"/>
  <c r="U170" i="7"/>
  <c r="T170" i="7"/>
  <c r="S170" i="7"/>
  <c r="R170" i="7"/>
  <c r="Q170" i="7"/>
  <c r="P170" i="7"/>
  <c r="O170" i="7"/>
  <c r="N170" i="7"/>
  <c r="M170" i="7"/>
  <c r="L170" i="7"/>
  <c r="K170" i="7"/>
  <c r="J170" i="7"/>
  <c r="I170" i="7"/>
  <c r="H170" i="7"/>
  <c r="G170" i="7"/>
  <c r="F170" i="7"/>
  <c r="E170" i="7"/>
  <c r="BX168" i="7"/>
  <c r="BW168" i="7"/>
  <c r="BV168" i="7"/>
  <c r="BV173" i="7" s="1"/>
  <c r="BU168" i="7"/>
  <c r="BU173" i="7" s="1"/>
  <c r="BT168" i="7"/>
  <c r="BT173" i="7" s="1"/>
  <c r="BS168" i="7"/>
  <c r="BS173" i="7" s="1"/>
  <c r="BR168" i="7"/>
  <c r="BQ168" i="7"/>
  <c r="BQ173" i="7" s="1"/>
  <c r="BP168" i="7"/>
  <c r="BO168" i="7"/>
  <c r="BN168" i="7"/>
  <c r="BN173" i="7" s="1"/>
  <c r="BM168" i="7"/>
  <c r="BM173" i="7" s="1"/>
  <c r="BL168" i="7"/>
  <c r="BL173" i="7" s="1"/>
  <c r="BK168" i="7"/>
  <c r="BK173" i="7" s="1"/>
  <c r="BJ168" i="7"/>
  <c r="BI168" i="7"/>
  <c r="BI173" i="7" s="1"/>
  <c r="BH168" i="7"/>
  <c r="BG168" i="7"/>
  <c r="BF168" i="7"/>
  <c r="BF173" i="7" s="1"/>
  <c r="BE168" i="7"/>
  <c r="BE173" i="7" s="1"/>
  <c r="BD168" i="7"/>
  <c r="BD173" i="7" s="1"/>
  <c r="BC168" i="7"/>
  <c r="BC173" i="7" s="1"/>
  <c r="BB168" i="7"/>
  <c r="BA168" i="7"/>
  <c r="BA173" i="7" s="1"/>
  <c r="AZ168" i="7"/>
  <c r="AY168" i="7"/>
  <c r="AX168" i="7"/>
  <c r="AX173" i="7" s="1"/>
  <c r="AW168" i="7"/>
  <c r="AW173" i="7" s="1"/>
  <c r="AV168" i="7"/>
  <c r="AV173" i="7" s="1"/>
  <c r="AU168" i="7"/>
  <c r="AU173" i="7" s="1"/>
  <c r="AT168" i="7"/>
  <c r="AS168" i="7"/>
  <c r="AS173" i="7" s="1"/>
  <c r="AR168" i="7"/>
  <c r="AQ168" i="7"/>
  <c r="AP168" i="7"/>
  <c r="AP173" i="7" s="1"/>
  <c r="AO168" i="7"/>
  <c r="AO173" i="7" s="1"/>
  <c r="AN168" i="7"/>
  <c r="AN173" i="7" s="1"/>
  <c r="AM168" i="7"/>
  <c r="AM173" i="7" s="1"/>
  <c r="AL168" i="7"/>
  <c r="AK168" i="7"/>
  <c r="AK173" i="7" s="1"/>
  <c r="AK174" i="7" s="1"/>
  <c r="AE168" i="7"/>
  <c r="AD168" i="7"/>
  <c r="AC168" i="7"/>
  <c r="AC173" i="7" s="1"/>
  <c r="AB168" i="7"/>
  <c r="AB173" i="7" s="1"/>
  <c r="AB174" i="7" s="1"/>
  <c r="AC174" i="7" s="1"/>
  <c r="Z168" i="7"/>
  <c r="Z173" i="7" s="1"/>
  <c r="Y168" i="7"/>
  <c r="Y173" i="7" s="1"/>
  <c r="X168" i="7"/>
  <c r="W168" i="7"/>
  <c r="W173" i="7" s="1"/>
  <c r="V168" i="7"/>
  <c r="U168" i="7"/>
  <c r="T168" i="7"/>
  <c r="S168" i="7"/>
  <c r="S173" i="7" s="1"/>
  <c r="R168" i="7"/>
  <c r="R173" i="7" s="1"/>
  <c r="Q168" i="7"/>
  <c r="Q173" i="7" s="1"/>
  <c r="P168" i="7"/>
  <c r="O168" i="7"/>
  <c r="O173" i="7" s="1"/>
  <c r="N168" i="7"/>
  <c r="M168" i="7"/>
  <c r="L168" i="7"/>
  <c r="L173" i="7" s="1"/>
  <c r="K168" i="7"/>
  <c r="K173" i="7" s="1"/>
  <c r="J168" i="7"/>
  <c r="J173" i="7" s="1"/>
  <c r="I168" i="7"/>
  <c r="I173" i="7" s="1"/>
  <c r="H168" i="7"/>
  <c r="G168" i="7"/>
  <c r="G173" i="7" s="1"/>
  <c r="F168" i="7"/>
  <c r="E168" i="7"/>
  <c r="D161" i="7"/>
  <c r="T155" i="7"/>
  <c r="BX154" i="7"/>
  <c r="BW154" i="7"/>
  <c r="BV154" i="7"/>
  <c r="BU154" i="7"/>
  <c r="BT154" i="7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E154" i="7"/>
  <c r="AD154" i="7"/>
  <c r="AC154" i="7"/>
  <c r="AB154" i="7"/>
  <c r="Z154" i="7"/>
  <c r="Y154" i="7"/>
  <c r="X154" i="7"/>
  <c r="W154" i="7"/>
  <c r="V154" i="7"/>
  <c r="U154" i="7"/>
  <c r="T154" i="7"/>
  <c r="S154" i="7"/>
  <c r="R154" i="7"/>
  <c r="Q154" i="7"/>
  <c r="P154" i="7"/>
  <c r="O154" i="7"/>
  <c r="N154" i="7"/>
  <c r="M154" i="7"/>
  <c r="L154" i="7"/>
  <c r="K154" i="7"/>
  <c r="K157" i="7" s="1"/>
  <c r="J154" i="7"/>
  <c r="I154" i="7"/>
  <c r="I157" i="7" s="1"/>
  <c r="H154" i="7"/>
  <c r="G154" i="7"/>
  <c r="F154" i="7"/>
  <c r="E154" i="7"/>
  <c r="BX152" i="7"/>
  <c r="BW152" i="7"/>
  <c r="BV152" i="7"/>
  <c r="BU152" i="7"/>
  <c r="BT152" i="7"/>
  <c r="BT157" i="7" s="1"/>
  <c r="BS152" i="7"/>
  <c r="BS157" i="7" s="1"/>
  <c r="BR152" i="7"/>
  <c r="BR157" i="7" s="1"/>
  <c r="BQ152" i="7"/>
  <c r="BQ157" i="7" s="1"/>
  <c r="BP152" i="7"/>
  <c r="BO152" i="7"/>
  <c r="BN152" i="7"/>
  <c r="BM152" i="7"/>
  <c r="BL152" i="7"/>
  <c r="BL157" i="7" s="1"/>
  <c r="BK152" i="7"/>
  <c r="BK157" i="7" s="1"/>
  <c r="BJ152" i="7"/>
  <c r="BJ157" i="7" s="1"/>
  <c r="BI152" i="7"/>
  <c r="BI157" i="7" s="1"/>
  <c r="BH152" i="7"/>
  <c r="BG152" i="7"/>
  <c r="BF152" i="7"/>
  <c r="BE152" i="7"/>
  <c r="BD152" i="7"/>
  <c r="BD157" i="7" s="1"/>
  <c r="BC152" i="7"/>
  <c r="BC157" i="7" s="1"/>
  <c r="BB152" i="7"/>
  <c r="BB157" i="7" s="1"/>
  <c r="BA152" i="7"/>
  <c r="BA157" i="7" s="1"/>
  <c r="AZ152" i="7"/>
  <c r="AY152" i="7"/>
  <c r="AX152" i="7"/>
  <c r="AW152" i="7"/>
  <c r="AV152" i="7"/>
  <c r="AV157" i="7" s="1"/>
  <c r="AU152" i="7"/>
  <c r="AU157" i="7" s="1"/>
  <c r="AT152" i="7"/>
  <c r="AT157" i="7" s="1"/>
  <c r="AS152" i="7"/>
  <c r="AS157" i="7" s="1"/>
  <c r="AR152" i="7"/>
  <c r="AQ152" i="7"/>
  <c r="AP152" i="7"/>
  <c r="AO152" i="7"/>
  <c r="AN152" i="7"/>
  <c r="AN157" i="7" s="1"/>
  <c r="AM152" i="7"/>
  <c r="AM157" i="7" s="1"/>
  <c r="AL152" i="7"/>
  <c r="AL157" i="7" s="1"/>
  <c r="AK152" i="7"/>
  <c r="AK157" i="7" s="1"/>
  <c r="AK158" i="7" s="1"/>
  <c r="AL158" i="7" s="1"/>
  <c r="AE152" i="7"/>
  <c r="AD152" i="7"/>
  <c r="AC152" i="7"/>
  <c r="AB152" i="7"/>
  <c r="Z152" i="7"/>
  <c r="Z157" i="7" s="1"/>
  <c r="Y152" i="7"/>
  <c r="Y157" i="7" s="1"/>
  <c r="X152" i="7"/>
  <c r="X157" i="7" s="1"/>
  <c r="W152" i="7"/>
  <c r="W157" i="7" s="1"/>
  <c r="V152" i="7"/>
  <c r="S152" i="7"/>
  <c r="S157" i="7" s="1"/>
  <c r="P152" i="7"/>
  <c r="O152" i="7"/>
  <c r="O157" i="7" s="1"/>
  <c r="N152" i="7"/>
  <c r="M152" i="7"/>
  <c r="J152" i="7"/>
  <c r="J157" i="7" s="1"/>
  <c r="H152" i="7"/>
  <c r="G152" i="7"/>
  <c r="G157" i="7" s="1"/>
  <c r="F152" i="7"/>
  <c r="F157" i="7" s="1"/>
  <c r="E152" i="7"/>
  <c r="D145" i="7"/>
  <c r="BX138" i="7"/>
  <c r="BW138" i="7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C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J138" i="7"/>
  <c r="I138" i="7"/>
  <c r="H138" i="7"/>
  <c r="G138" i="7"/>
  <c r="F138" i="7"/>
  <c r="E138" i="7"/>
  <c r="BX136" i="7"/>
  <c r="BW136" i="7"/>
  <c r="BW141" i="7" s="1"/>
  <c r="BV136" i="7"/>
  <c r="BU136" i="7"/>
  <c r="BT136" i="7"/>
  <c r="BT141" i="7" s="1"/>
  <c r="BS136" i="7"/>
  <c r="BR136" i="7"/>
  <c r="BR141" i="7" s="1"/>
  <c r="BQ136" i="7"/>
  <c r="BP136" i="7"/>
  <c r="BP141" i="7" s="1"/>
  <c r="BO136" i="7"/>
  <c r="BO141" i="7" s="1"/>
  <c r="BN136" i="7"/>
  <c r="BM136" i="7"/>
  <c r="BL136" i="7"/>
  <c r="BL141" i="7" s="1"/>
  <c r="BK136" i="7"/>
  <c r="BJ136" i="7"/>
  <c r="BJ141" i="7" s="1"/>
  <c r="BI136" i="7"/>
  <c r="BH136" i="7"/>
  <c r="BH141" i="7" s="1"/>
  <c r="BG136" i="7"/>
  <c r="BG141" i="7" s="1"/>
  <c r="BF136" i="7"/>
  <c r="BE136" i="7"/>
  <c r="BD136" i="7"/>
  <c r="BD141" i="7" s="1"/>
  <c r="BC136" i="7"/>
  <c r="BB136" i="7"/>
  <c r="BB141" i="7" s="1"/>
  <c r="BA136" i="7"/>
  <c r="AZ136" i="7"/>
  <c r="AZ141" i="7" s="1"/>
  <c r="AY136" i="7"/>
  <c r="AY141" i="7" s="1"/>
  <c r="AX136" i="7"/>
  <c r="AW136" i="7"/>
  <c r="AV136" i="7"/>
  <c r="AV141" i="7" s="1"/>
  <c r="AU136" i="7"/>
  <c r="AT136" i="7"/>
  <c r="AT141" i="7" s="1"/>
  <c r="AS136" i="7"/>
  <c r="AR136" i="7"/>
  <c r="AR141" i="7" s="1"/>
  <c r="AQ136" i="7"/>
  <c r="AQ141" i="7" s="1"/>
  <c r="AP136" i="7"/>
  <c r="AO136" i="7"/>
  <c r="AN136" i="7"/>
  <c r="AN141" i="7" s="1"/>
  <c r="AM136" i="7"/>
  <c r="AL136" i="7"/>
  <c r="AL141" i="7" s="1"/>
  <c r="AK136" i="7"/>
  <c r="AE136" i="7"/>
  <c r="AC136" i="7"/>
  <c r="AC141" i="7" s="1"/>
  <c r="Z136" i="7"/>
  <c r="Z141" i="7" s="1"/>
  <c r="Y136" i="7"/>
  <c r="Y141" i="7" s="1"/>
  <c r="X136" i="7"/>
  <c r="X141" i="7" s="1"/>
  <c r="W136" i="7"/>
  <c r="W141" i="7" s="1"/>
  <c r="U136" i="7"/>
  <c r="U141" i="7" s="1"/>
  <c r="T136" i="7"/>
  <c r="S136" i="7"/>
  <c r="S141" i="7" s="1"/>
  <c r="Q136" i="7"/>
  <c r="P136" i="7"/>
  <c r="N136" i="7"/>
  <c r="K136" i="7"/>
  <c r="K141" i="7" s="1"/>
  <c r="J136" i="7"/>
  <c r="J141" i="7" s="1"/>
  <c r="I136" i="7"/>
  <c r="I141" i="7" s="1"/>
  <c r="H136" i="7"/>
  <c r="G136" i="7"/>
  <c r="F136" i="7"/>
  <c r="E136" i="7"/>
  <c r="Z133" i="7"/>
  <c r="Y133" i="7"/>
  <c r="X133" i="7"/>
  <c r="W133" i="7"/>
  <c r="U133" i="7"/>
  <c r="T133" i="7"/>
  <c r="S133" i="7"/>
  <c r="Q133" i="7"/>
  <c r="P133" i="7"/>
  <c r="N133" i="7"/>
  <c r="K133" i="7"/>
  <c r="J133" i="7"/>
  <c r="I133" i="7"/>
  <c r="BX120" i="7"/>
  <c r="BW120" i="7"/>
  <c r="BV120" i="7"/>
  <c r="BU120" i="7"/>
  <c r="BT120" i="7"/>
  <c r="BS120" i="7"/>
  <c r="BR120" i="7"/>
  <c r="BQ120" i="7"/>
  <c r="BP120" i="7"/>
  <c r="BO120" i="7"/>
  <c r="BN120" i="7"/>
  <c r="BM120" i="7"/>
  <c r="BL120" i="7"/>
  <c r="BK120" i="7"/>
  <c r="BJ120" i="7"/>
  <c r="BI120" i="7"/>
  <c r="BH120" i="7"/>
  <c r="BG120" i="7"/>
  <c r="BF120" i="7"/>
  <c r="BE120" i="7"/>
  <c r="BD120" i="7"/>
  <c r="BC120" i="7"/>
  <c r="BB120" i="7"/>
  <c r="BA120" i="7"/>
  <c r="AZ120" i="7"/>
  <c r="AY120" i="7"/>
  <c r="AX120" i="7"/>
  <c r="AW120" i="7"/>
  <c r="AV120" i="7"/>
  <c r="AU120" i="7"/>
  <c r="AT120" i="7"/>
  <c r="AS120" i="7"/>
  <c r="AR120" i="7"/>
  <c r="AQ120" i="7"/>
  <c r="AP120" i="7"/>
  <c r="AO120" i="7"/>
  <c r="AN120" i="7"/>
  <c r="AM120" i="7"/>
  <c r="AL120" i="7"/>
  <c r="AK120" i="7"/>
  <c r="AJ120" i="7"/>
  <c r="AI120" i="7"/>
  <c r="AH120" i="7"/>
  <c r="AF120" i="7"/>
  <c r="AC120" i="7"/>
  <c r="AA120" i="7"/>
  <c r="Z120" i="7"/>
  <c r="Y120" i="7"/>
  <c r="X120" i="7"/>
  <c r="W120" i="7"/>
  <c r="V120" i="7"/>
  <c r="U120" i="7"/>
  <c r="T120" i="7"/>
  <c r="S120" i="7"/>
  <c r="R120" i="7"/>
  <c r="Q120" i="7"/>
  <c r="P120" i="7"/>
  <c r="O120" i="7"/>
  <c r="N120" i="7"/>
  <c r="M120" i="7"/>
  <c r="L120" i="7"/>
  <c r="K120" i="7"/>
  <c r="J120" i="7"/>
  <c r="I120" i="7"/>
  <c r="H120" i="7"/>
  <c r="G120" i="7"/>
  <c r="F120" i="7"/>
  <c r="E120" i="7"/>
  <c r="BX118" i="7"/>
  <c r="BW118" i="7"/>
  <c r="BW124" i="7" s="1"/>
  <c r="BV118" i="7"/>
  <c r="BV124" i="7" s="1"/>
  <c r="BU118" i="7"/>
  <c r="BT118" i="7"/>
  <c r="BS118" i="7"/>
  <c r="BR118" i="7"/>
  <c r="BQ118" i="7"/>
  <c r="BQ124" i="7" s="1"/>
  <c r="BP118" i="7"/>
  <c r="BP124" i="7" s="1"/>
  <c r="BO118" i="7"/>
  <c r="BO124" i="7" s="1"/>
  <c r="BN118" i="7"/>
  <c r="BN124" i="7" s="1"/>
  <c r="BM118" i="7"/>
  <c r="BL118" i="7"/>
  <c r="BK118" i="7"/>
  <c r="BJ118" i="7"/>
  <c r="BI118" i="7"/>
  <c r="BI124" i="7" s="1"/>
  <c r="BH118" i="7"/>
  <c r="BH124" i="7" s="1"/>
  <c r="BG118" i="7"/>
  <c r="BG124" i="7" s="1"/>
  <c r="BF118" i="7"/>
  <c r="BF124" i="7" s="1"/>
  <c r="BE118" i="7"/>
  <c r="BD118" i="7"/>
  <c r="BC118" i="7"/>
  <c r="BB118" i="7"/>
  <c r="BA118" i="7"/>
  <c r="BA124" i="7" s="1"/>
  <c r="AZ118" i="7"/>
  <c r="AZ124" i="7" s="1"/>
  <c r="AY118" i="7"/>
  <c r="AY124" i="7" s="1"/>
  <c r="AX118" i="7"/>
  <c r="AX124" i="7" s="1"/>
  <c r="AW118" i="7"/>
  <c r="AV118" i="7"/>
  <c r="AV110" i="7" s="1"/>
  <c r="AU118" i="7"/>
  <c r="AT118" i="7"/>
  <c r="AS118" i="7"/>
  <c r="AS124" i="7" s="1"/>
  <c r="AR118" i="7"/>
  <c r="AR124" i="7" s="1"/>
  <c r="AQ118" i="7"/>
  <c r="AQ124" i="7" s="1"/>
  <c r="AP118" i="7"/>
  <c r="AP124" i="7" s="1"/>
  <c r="AO118" i="7"/>
  <c r="AN118" i="7"/>
  <c r="AM118" i="7"/>
  <c r="AL118" i="7"/>
  <c r="AK118" i="7"/>
  <c r="AK124" i="7" s="1"/>
  <c r="AJ118" i="7"/>
  <c r="AJ124" i="7" s="1"/>
  <c r="AI118" i="7"/>
  <c r="AI124" i="7" s="1"/>
  <c r="AH118" i="7"/>
  <c r="AH124" i="7" s="1"/>
  <c r="AF118" i="7"/>
  <c r="AE118" i="7"/>
  <c r="AC118" i="7"/>
  <c r="AC110" i="7" s="1"/>
  <c r="AA118" i="7"/>
  <c r="Z118" i="7"/>
  <c r="Z124" i="7" s="1"/>
  <c r="Y118" i="7"/>
  <c r="Y124" i="7" s="1"/>
  <c r="X118" i="7"/>
  <c r="X124" i="7" s="1"/>
  <c r="W118" i="7"/>
  <c r="U118" i="7"/>
  <c r="T118" i="7"/>
  <c r="S118" i="7"/>
  <c r="Q118" i="7"/>
  <c r="Q124" i="7" s="1"/>
  <c r="P118" i="7"/>
  <c r="P124" i="7" s="1"/>
  <c r="N118" i="7"/>
  <c r="N124" i="7" s="1"/>
  <c r="K118" i="7"/>
  <c r="K124" i="7" s="1"/>
  <c r="J118" i="7"/>
  <c r="I118" i="7"/>
  <c r="I124" i="7" s="1"/>
  <c r="H118" i="7"/>
  <c r="G118" i="7"/>
  <c r="G124" i="7" s="1"/>
  <c r="F118" i="7"/>
  <c r="F124" i="7" s="1"/>
  <c r="E118" i="7"/>
  <c r="E124" i="7" s="1"/>
  <c r="BV110" i="7"/>
  <c r="BT110" i="7"/>
  <c r="BL110" i="7"/>
  <c r="BD110" i="7"/>
  <c r="BA110" i="7"/>
  <c r="AX110" i="7"/>
  <c r="AN110" i="7"/>
  <c r="AK110" i="7"/>
  <c r="AI110" i="7"/>
  <c r="AH110" i="7"/>
  <c r="AF110" i="7"/>
  <c r="T110" i="7"/>
  <c r="S110" i="7"/>
  <c r="N110" i="7"/>
  <c r="J110" i="7"/>
  <c r="H110" i="7"/>
  <c r="G101" i="7"/>
  <c r="T97" i="7"/>
  <c r="Q97" i="7"/>
  <c r="BY95" i="7"/>
  <c r="BY94" i="7"/>
  <c r="BY93" i="7"/>
  <c r="BX90" i="7"/>
  <c r="BW90" i="7"/>
  <c r="BV90" i="7"/>
  <c r="BU90" i="7"/>
  <c r="BT90" i="7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F90" i="7"/>
  <c r="AC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J90" i="7"/>
  <c r="I90" i="7"/>
  <c r="H90" i="7"/>
  <c r="G90" i="7"/>
  <c r="F90" i="7"/>
  <c r="E90" i="7"/>
  <c r="BY89" i="7"/>
  <c r="BY87" i="7" s="1"/>
  <c r="BY88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L87" i="7"/>
  <c r="K87" i="7"/>
  <c r="J87" i="7"/>
  <c r="I87" i="7"/>
  <c r="H87" i="7"/>
  <c r="G87" i="7"/>
  <c r="F87" i="7"/>
  <c r="E87" i="7"/>
  <c r="BY85" i="7"/>
  <c r="BY84" i="7"/>
  <c r="BY83" i="7"/>
  <c r="BY82" i="7"/>
  <c r="BY81" i="7"/>
  <c r="T80" i="7"/>
  <c r="S80" i="7"/>
  <c r="S63" i="7" s="1"/>
  <c r="BY79" i="7"/>
  <c r="BY78" i="7"/>
  <c r="BY77" i="7"/>
  <c r="BY76" i="7"/>
  <c r="BY75" i="7"/>
  <c r="BY74" i="7"/>
  <c r="BY73" i="7"/>
  <c r="BY72" i="7"/>
  <c r="BY71" i="7"/>
  <c r="BY70" i="7"/>
  <c r="BY69" i="7"/>
  <c r="BY68" i="7"/>
  <c r="BY67" i="7"/>
  <c r="BY66" i="7"/>
  <c r="BY65" i="7"/>
  <c r="BY64" i="7"/>
  <c r="BX63" i="7"/>
  <c r="BW63" i="7"/>
  <c r="BV63" i="7"/>
  <c r="BU63" i="7"/>
  <c r="BT63" i="7"/>
  <c r="BS63" i="7"/>
  <c r="BR63" i="7"/>
  <c r="BQ63" i="7"/>
  <c r="BP63" i="7"/>
  <c r="BO63" i="7"/>
  <c r="BN63" i="7"/>
  <c r="BM63" i="7"/>
  <c r="BL63" i="7"/>
  <c r="BK63" i="7"/>
  <c r="BJ63" i="7"/>
  <c r="BI63" i="7"/>
  <c r="BH63" i="7"/>
  <c r="BG63" i="7"/>
  <c r="BF63" i="7"/>
  <c r="BE63" i="7"/>
  <c r="BD63" i="7"/>
  <c r="BC63" i="7"/>
  <c r="BB63" i="7"/>
  <c r="BA63" i="7"/>
  <c r="AZ63" i="7"/>
  <c r="AY63" i="7"/>
  <c r="AX63" i="7"/>
  <c r="AW63" i="7"/>
  <c r="AV63" i="7"/>
  <c r="AU63" i="7"/>
  <c r="AT63" i="7"/>
  <c r="AS63" i="7"/>
  <c r="AR63" i="7"/>
  <c r="AQ63" i="7"/>
  <c r="AP63" i="7"/>
  <c r="AO63" i="7"/>
  <c r="AN63" i="7"/>
  <c r="AM63" i="7"/>
  <c r="AL63" i="7"/>
  <c r="AK63" i="7"/>
  <c r="AJ63" i="7"/>
  <c r="AI63" i="7"/>
  <c r="AH63" i="7"/>
  <c r="AG63" i="7"/>
  <c r="AF63" i="7"/>
  <c r="AC63" i="7"/>
  <c r="W63" i="7"/>
  <c r="T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T62" i="7"/>
  <c r="T55" i="7" s="1"/>
  <c r="S62" i="7"/>
  <c r="R62" i="7"/>
  <c r="R55" i="7" s="1"/>
  <c r="Q62" i="7"/>
  <c r="Q55" i="7" s="1"/>
  <c r="P62" i="7"/>
  <c r="P55" i="7" s="1"/>
  <c r="O62" i="7"/>
  <c r="N62" i="7"/>
  <c r="M62" i="7"/>
  <c r="X55" i="7"/>
  <c r="W61" i="7"/>
  <c r="V9" i="7"/>
  <c r="BY60" i="7"/>
  <c r="BY59" i="7"/>
  <c r="BY58" i="7"/>
  <c r="BX55" i="7"/>
  <c r="BW55" i="7"/>
  <c r="BV55" i="7"/>
  <c r="BU55" i="7"/>
  <c r="BT55" i="7"/>
  <c r="BS55" i="7"/>
  <c r="BR55" i="7"/>
  <c r="BQ55" i="7"/>
  <c r="BP55" i="7"/>
  <c r="BO55" i="7"/>
  <c r="BN55" i="7"/>
  <c r="BM55" i="7"/>
  <c r="BL55" i="7"/>
  <c r="BK55" i="7"/>
  <c r="BJ55" i="7"/>
  <c r="BI55" i="7"/>
  <c r="BH55" i="7"/>
  <c r="BG55" i="7"/>
  <c r="BF55" i="7"/>
  <c r="BE55" i="7"/>
  <c r="BD55" i="7"/>
  <c r="BC55" i="7"/>
  <c r="BB55" i="7"/>
  <c r="BA55" i="7"/>
  <c r="AZ55" i="7"/>
  <c r="AY55" i="7"/>
  <c r="AX55" i="7"/>
  <c r="AW55" i="7"/>
  <c r="AV55" i="7"/>
  <c r="AU55" i="7"/>
  <c r="AT55" i="7"/>
  <c r="AS55" i="7"/>
  <c r="AR55" i="7"/>
  <c r="AQ55" i="7"/>
  <c r="AP55" i="7"/>
  <c r="AO55" i="7"/>
  <c r="AN55" i="7"/>
  <c r="AM55" i="7"/>
  <c r="AL55" i="7"/>
  <c r="AK55" i="7"/>
  <c r="AJ55" i="7"/>
  <c r="AI55" i="7"/>
  <c r="AH55" i="7"/>
  <c r="AF55" i="7"/>
  <c r="AC55" i="7"/>
  <c r="W55" i="7"/>
  <c r="V55" i="7"/>
  <c r="U55" i="7"/>
  <c r="S55" i="7"/>
  <c r="O55" i="7"/>
  <c r="N55" i="7"/>
  <c r="M55" i="7"/>
  <c r="L55" i="7"/>
  <c r="K55" i="7"/>
  <c r="J55" i="7"/>
  <c r="I55" i="7"/>
  <c r="H55" i="7"/>
  <c r="G55" i="7"/>
  <c r="F55" i="7"/>
  <c r="E55" i="7"/>
  <c r="T54" i="7"/>
  <c r="O54" i="7"/>
  <c r="I54" i="7"/>
  <c r="T53" i="7"/>
  <c r="S53" i="7"/>
  <c r="S49" i="7" s="1"/>
  <c r="R53" i="7"/>
  <c r="R49" i="7" s="1"/>
  <c r="Q53" i="7"/>
  <c r="Q49" i="7" s="1"/>
  <c r="P53" i="7"/>
  <c r="N53" i="7"/>
  <c r="M53" i="7"/>
  <c r="L53" i="7"/>
  <c r="K53" i="7"/>
  <c r="J53" i="7"/>
  <c r="I53" i="7"/>
  <c r="H53" i="7"/>
  <c r="BY53" i="7" s="1"/>
  <c r="BY52" i="7"/>
  <c r="BY51" i="7"/>
  <c r="BY50" i="7"/>
  <c r="BX49" i="7"/>
  <c r="BW49" i="7"/>
  <c r="BV49" i="7"/>
  <c r="BU49" i="7"/>
  <c r="BT49" i="7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AF49" i="7"/>
  <c r="AE49" i="7"/>
  <c r="AC49" i="7"/>
  <c r="AB49" i="7"/>
  <c r="Z49" i="7"/>
  <c r="Y49" i="7"/>
  <c r="X49" i="7"/>
  <c r="W49" i="7"/>
  <c r="V49" i="7"/>
  <c r="U49" i="7"/>
  <c r="T49" i="7"/>
  <c r="P49" i="7"/>
  <c r="O49" i="7"/>
  <c r="N49" i="7"/>
  <c r="M49" i="7"/>
  <c r="L49" i="7"/>
  <c r="K49" i="7"/>
  <c r="J49" i="7"/>
  <c r="I49" i="7"/>
  <c r="H49" i="7"/>
  <c r="G49" i="7"/>
  <c r="F49" i="7"/>
  <c r="E49" i="7"/>
  <c r="Q48" i="7"/>
  <c r="K48" i="7"/>
  <c r="AA47" i="7"/>
  <c r="BY47" i="7"/>
  <c r="P46" i="7"/>
  <c r="K46" i="7"/>
  <c r="I46" i="7"/>
  <c r="H46" i="7"/>
  <c r="T45" i="7"/>
  <c r="S45" i="7"/>
  <c r="R45" i="7"/>
  <c r="Q45" i="7"/>
  <c r="P45" i="7"/>
  <c r="O45" i="7"/>
  <c r="N45" i="7"/>
  <c r="M45" i="7"/>
  <c r="L45" i="7"/>
  <c r="K45" i="7"/>
  <c r="J45" i="7"/>
  <c r="H45" i="7"/>
  <c r="R44" i="7"/>
  <c r="R42" i="7" s="1"/>
  <c r="J44" i="7"/>
  <c r="H44" i="7"/>
  <c r="W43" i="7"/>
  <c r="T43" i="7"/>
  <c r="T42" i="7" s="1"/>
  <c r="T37" i="7" s="1"/>
  <c r="S43" i="7"/>
  <c r="R43" i="7"/>
  <c r="Q43" i="7"/>
  <c r="P43" i="7"/>
  <c r="P42" i="7" s="1"/>
  <c r="P37" i="7" s="1"/>
  <c r="O43" i="7"/>
  <c r="O42" i="7" s="1"/>
  <c r="O37" i="7" s="1"/>
  <c r="N43" i="7"/>
  <c r="M43" i="7"/>
  <c r="L43" i="7"/>
  <c r="L42" i="7" s="1"/>
  <c r="L37" i="7" s="1"/>
  <c r="K43" i="7"/>
  <c r="I43" i="7"/>
  <c r="H43" i="7"/>
  <c r="H42" i="7" s="1"/>
  <c r="H37" i="7" s="1"/>
  <c r="AF42" i="7"/>
  <c r="AF37" i="7" s="1"/>
  <c r="AE42" i="7"/>
  <c r="AE37" i="7" s="1"/>
  <c r="AD42" i="7"/>
  <c r="W42" i="7"/>
  <c r="S42" i="7"/>
  <c r="S37" i="7" s="1"/>
  <c r="Q42" i="7"/>
  <c r="Q37" i="7" s="1"/>
  <c r="N42" i="7"/>
  <c r="M42" i="7"/>
  <c r="K42" i="7"/>
  <c r="K37" i="7" s="1"/>
  <c r="J42" i="7"/>
  <c r="J37" i="7" s="1"/>
  <c r="I42" i="7"/>
  <c r="I37" i="7" s="1"/>
  <c r="BY41" i="7"/>
  <c r="BY40" i="7"/>
  <c r="BY39" i="7"/>
  <c r="W38" i="7"/>
  <c r="R38" i="7"/>
  <c r="R37" i="7" s="1"/>
  <c r="P38" i="7"/>
  <c r="O38" i="7"/>
  <c r="M38" i="7"/>
  <c r="M37" i="7" s="1"/>
  <c r="L38" i="7"/>
  <c r="J38" i="7"/>
  <c r="I38" i="7"/>
  <c r="BX37" i="7"/>
  <c r="BW37" i="7"/>
  <c r="BV37" i="7"/>
  <c r="BU37" i="7"/>
  <c r="BT37" i="7"/>
  <c r="BS37" i="7"/>
  <c r="BR37" i="7"/>
  <c r="BQ37" i="7"/>
  <c r="BP37" i="7"/>
  <c r="BO37" i="7"/>
  <c r="BN37" i="7"/>
  <c r="BM37" i="7"/>
  <c r="BL37" i="7"/>
  <c r="BK37" i="7"/>
  <c r="BJ37" i="7"/>
  <c r="BI37" i="7"/>
  <c r="BH37" i="7"/>
  <c r="BG37" i="7"/>
  <c r="BF37" i="7"/>
  <c r="BE37" i="7"/>
  <c r="BD37" i="7"/>
  <c r="BC37" i="7"/>
  <c r="BB37" i="7"/>
  <c r="BA37" i="7"/>
  <c r="AZ37" i="7"/>
  <c r="AY37" i="7"/>
  <c r="AX37" i="7"/>
  <c r="AW37" i="7"/>
  <c r="AV37" i="7"/>
  <c r="AU37" i="7"/>
  <c r="AT37" i="7"/>
  <c r="AS37" i="7"/>
  <c r="AR37" i="7"/>
  <c r="AQ37" i="7"/>
  <c r="AP37" i="7"/>
  <c r="AO37" i="7"/>
  <c r="AN37" i="7"/>
  <c r="AM37" i="7"/>
  <c r="AL37" i="7"/>
  <c r="AK37" i="7"/>
  <c r="AJ37" i="7"/>
  <c r="AI37" i="7"/>
  <c r="AH37" i="7"/>
  <c r="AG37" i="7"/>
  <c r="N37" i="7"/>
  <c r="G37" i="7"/>
  <c r="F37" i="7"/>
  <c r="E37" i="7"/>
  <c r="BY35" i="7"/>
  <c r="BY34" i="7" s="1"/>
  <c r="BX34" i="7"/>
  <c r="BW34" i="7"/>
  <c r="BV34" i="7"/>
  <c r="BU34" i="7"/>
  <c r="BT34" i="7"/>
  <c r="BS34" i="7"/>
  <c r="BR34" i="7"/>
  <c r="BQ34" i="7"/>
  <c r="BP34" i="7"/>
  <c r="BO34" i="7"/>
  <c r="BN34" i="7"/>
  <c r="BM34" i="7"/>
  <c r="BL34" i="7"/>
  <c r="BK34" i="7"/>
  <c r="BJ34" i="7"/>
  <c r="BI34" i="7"/>
  <c r="BH34" i="7"/>
  <c r="BG34" i="7"/>
  <c r="BF34" i="7"/>
  <c r="BE34" i="7"/>
  <c r="BD34" i="7"/>
  <c r="BC34" i="7"/>
  <c r="BB34" i="7"/>
  <c r="BA34" i="7"/>
  <c r="AZ34" i="7"/>
  <c r="AY34" i="7"/>
  <c r="AX34" i="7"/>
  <c r="AW34" i="7"/>
  <c r="AV34" i="7"/>
  <c r="AU34" i="7"/>
  <c r="AT34" i="7"/>
  <c r="AS34" i="7"/>
  <c r="AR34" i="7"/>
  <c r="AQ34" i="7"/>
  <c r="AP34" i="7"/>
  <c r="AO34" i="7"/>
  <c r="AN34" i="7"/>
  <c r="AM34" i="7"/>
  <c r="AL34" i="7"/>
  <c r="AK34" i="7"/>
  <c r="AJ34" i="7"/>
  <c r="AI34" i="7"/>
  <c r="AH34" i="7"/>
  <c r="AG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I32" i="7"/>
  <c r="BY32" i="7" s="1"/>
  <c r="P31" i="7"/>
  <c r="O31" i="7"/>
  <c r="N31" i="7"/>
  <c r="N26" i="7" s="1"/>
  <c r="H31" i="7"/>
  <c r="BY29" i="7"/>
  <c r="BY28" i="7"/>
  <c r="CB27" i="7"/>
  <c r="R27" i="7"/>
  <c r="P27" i="7"/>
  <c r="P26" i="7" s="1"/>
  <c r="O27" i="7"/>
  <c r="O26" i="7" s="1"/>
  <c r="N27" i="7"/>
  <c r="M27" i="7"/>
  <c r="L27" i="7"/>
  <c r="BX26" i="7"/>
  <c r="BW26" i="7"/>
  <c r="BV26" i="7"/>
  <c r="BU26" i="7"/>
  <c r="BT26" i="7"/>
  <c r="BS26" i="7"/>
  <c r="BR26" i="7"/>
  <c r="BQ26" i="7"/>
  <c r="BP26" i="7"/>
  <c r="BO26" i="7"/>
  <c r="BN26" i="7"/>
  <c r="BM26" i="7"/>
  <c r="BL26" i="7"/>
  <c r="BK26" i="7"/>
  <c r="BJ26" i="7"/>
  <c r="BI26" i="7"/>
  <c r="BH26" i="7"/>
  <c r="BG26" i="7"/>
  <c r="BF26" i="7"/>
  <c r="BE26" i="7"/>
  <c r="BD26" i="7"/>
  <c r="BC26" i="7"/>
  <c r="BB26" i="7"/>
  <c r="BA26" i="7"/>
  <c r="AZ26" i="7"/>
  <c r="AY26" i="7"/>
  <c r="AX26" i="7"/>
  <c r="AW26" i="7"/>
  <c r="AV26" i="7"/>
  <c r="AU26" i="7"/>
  <c r="AT26" i="7"/>
  <c r="AS26" i="7"/>
  <c r="AR26" i="7"/>
  <c r="AQ26" i="7"/>
  <c r="AP26" i="7"/>
  <c r="AO26" i="7"/>
  <c r="AN26" i="7"/>
  <c r="AM26" i="7"/>
  <c r="AL26" i="7"/>
  <c r="AK26" i="7"/>
  <c r="AJ26" i="7"/>
  <c r="AI26" i="7"/>
  <c r="AH26" i="7"/>
  <c r="AG26" i="7"/>
  <c r="AF26" i="7"/>
  <c r="AE26" i="7"/>
  <c r="AB26" i="7"/>
  <c r="U26" i="7"/>
  <c r="T26" i="7"/>
  <c r="S26" i="7"/>
  <c r="R26" i="7"/>
  <c r="M26" i="7"/>
  <c r="L26" i="7"/>
  <c r="K26" i="7"/>
  <c r="J26" i="7"/>
  <c r="I26" i="7"/>
  <c r="H26" i="7"/>
  <c r="G26" i="7"/>
  <c r="F26" i="7"/>
  <c r="E26" i="7"/>
  <c r="BY25" i="7"/>
  <c r="CB24" i="7"/>
  <c r="U24" i="7"/>
  <c r="U152" i="7" s="1"/>
  <c r="U157" i="7" s="1"/>
  <c r="R24" i="7"/>
  <c r="R152" i="7" s="1"/>
  <c r="R157" i="7" s="1"/>
  <c r="Q24" i="7"/>
  <c r="Q152" i="7" s="1"/>
  <c r="Q157" i="7" s="1"/>
  <c r="L24" i="7"/>
  <c r="L152" i="7" s="1"/>
  <c r="I24" i="7"/>
  <c r="BX23" i="7"/>
  <c r="BW23" i="7"/>
  <c r="BV23" i="7"/>
  <c r="BU23" i="7"/>
  <c r="BT23" i="7"/>
  <c r="BS23" i="7"/>
  <c r="BR23" i="7"/>
  <c r="BQ23" i="7"/>
  <c r="BP23" i="7"/>
  <c r="BO23" i="7"/>
  <c r="BN23" i="7"/>
  <c r="BM23" i="7"/>
  <c r="BL23" i="7"/>
  <c r="BK23" i="7"/>
  <c r="BJ23" i="7"/>
  <c r="BI23" i="7"/>
  <c r="BH23" i="7"/>
  <c r="BG23" i="7"/>
  <c r="BF23" i="7"/>
  <c r="BE23" i="7"/>
  <c r="BD23" i="7"/>
  <c r="BC23" i="7"/>
  <c r="BB23" i="7"/>
  <c r="BA23" i="7"/>
  <c r="AZ23" i="7"/>
  <c r="AY23" i="7"/>
  <c r="AX23" i="7"/>
  <c r="AW23" i="7"/>
  <c r="AV23" i="7"/>
  <c r="AU23" i="7"/>
  <c r="AT23" i="7"/>
  <c r="AS23" i="7"/>
  <c r="AR23" i="7"/>
  <c r="AQ23" i="7"/>
  <c r="AP23" i="7"/>
  <c r="AO23" i="7"/>
  <c r="AN23" i="7"/>
  <c r="AM23" i="7"/>
  <c r="AL23" i="7"/>
  <c r="AK23" i="7"/>
  <c r="AJ23" i="7"/>
  <c r="AI23" i="7"/>
  <c r="AH23" i="7"/>
  <c r="AG23" i="7"/>
  <c r="AF23" i="7"/>
  <c r="AE23" i="7"/>
  <c r="AD23" i="7"/>
  <c r="AC23" i="7"/>
  <c r="AB23" i="7"/>
  <c r="AA23" i="7"/>
  <c r="Z23" i="7"/>
  <c r="Y23" i="7"/>
  <c r="X23" i="7"/>
  <c r="W23" i="7"/>
  <c r="V23" i="7"/>
  <c r="T23" i="7"/>
  <c r="S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BY22" i="7"/>
  <c r="BY21" i="7"/>
  <c r="BY20" i="7"/>
  <c r="BY19" i="7"/>
  <c r="J18" i="7"/>
  <c r="J17" i="7" s="1"/>
  <c r="H18" i="7"/>
  <c r="BX17" i="7"/>
  <c r="BW17" i="7"/>
  <c r="BV17" i="7"/>
  <c r="BU17" i="7"/>
  <c r="BT17" i="7"/>
  <c r="BT98" i="7" s="1"/>
  <c r="BS17" i="7"/>
  <c r="BR17" i="7"/>
  <c r="BQ17" i="7"/>
  <c r="BP17" i="7"/>
  <c r="BO17" i="7"/>
  <c r="BN17" i="7"/>
  <c r="BM17" i="7"/>
  <c r="BL17" i="7"/>
  <c r="BL98" i="7" s="1"/>
  <c r="BK17" i="7"/>
  <c r="BJ17" i="7"/>
  <c r="BI17" i="7"/>
  <c r="BH17" i="7"/>
  <c r="BG17" i="7"/>
  <c r="BF17" i="7"/>
  <c r="BE17" i="7"/>
  <c r="BD17" i="7"/>
  <c r="BD98" i="7" s="1"/>
  <c r="BC17" i="7"/>
  <c r="BB17" i="7"/>
  <c r="BA17" i="7"/>
  <c r="AZ17" i="7"/>
  <c r="AY17" i="7"/>
  <c r="AX17" i="7"/>
  <c r="AW17" i="7"/>
  <c r="AV17" i="7"/>
  <c r="AV98" i="7" s="1"/>
  <c r="AU17" i="7"/>
  <c r="AT17" i="7"/>
  <c r="AS17" i="7"/>
  <c r="AR17" i="7"/>
  <c r="AQ17" i="7"/>
  <c r="AP17" i="7"/>
  <c r="AO17" i="7"/>
  <c r="AN17" i="7"/>
  <c r="AN98" i="7" s="1"/>
  <c r="AM17" i="7"/>
  <c r="AL17" i="7"/>
  <c r="AK17" i="7"/>
  <c r="AJ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I17" i="7"/>
  <c r="H17" i="7"/>
  <c r="F8" i="5" s="1"/>
  <c r="G17" i="7"/>
  <c r="F17" i="7"/>
  <c r="E17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J16" i="7"/>
  <c r="I16" i="7"/>
  <c r="G16" i="7"/>
  <c r="F16" i="7"/>
  <c r="E16" i="7"/>
  <c r="R15" i="7"/>
  <c r="Q15" i="7"/>
  <c r="P15" i="7"/>
  <c r="T14" i="7"/>
  <c r="S14" i="7"/>
  <c r="R14" i="7"/>
  <c r="Q14" i="7"/>
  <c r="P14" i="7"/>
  <c r="O14" i="7"/>
  <c r="M14" i="7"/>
  <c r="K14" i="7"/>
  <c r="T12" i="7"/>
  <c r="T16" i="7" s="1"/>
  <c r="S12" i="7"/>
  <c r="R12" i="7"/>
  <c r="Q11" i="7"/>
  <c r="P11" i="7"/>
  <c r="O11" i="7"/>
  <c r="N11" i="7"/>
  <c r="N16" i="7" s="1"/>
  <c r="M11" i="7"/>
  <c r="BY11" i="7" s="1"/>
  <c r="BY8" i="7"/>
  <c r="BY7" i="7"/>
  <c r="V6" i="7"/>
  <c r="R6" i="7"/>
  <c r="O6" i="7"/>
  <c r="M6" i="7"/>
  <c r="L6" i="7"/>
  <c r="H5" i="7"/>
  <c r="W200" i="6"/>
  <c r="V200" i="6"/>
  <c r="U200" i="6"/>
  <c r="T200" i="6"/>
  <c r="S200" i="6"/>
  <c r="D188" i="6"/>
  <c r="BX181" i="6"/>
  <c r="BW181" i="6"/>
  <c r="BV181" i="6"/>
  <c r="BU181" i="6"/>
  <c r="BT181" i="6"/>
  <c r="BS181" i="6"/>
  <c r="BR181" i="6"/>
  <c r="BQ181" i="6"/>
  <c r="BP181" i="6"/>
  <c r="BO181" i="6"/>
  <c r="BN181" i="6"/>
  <c r="BM181" i="6"/>
  <c r="BL181" i="6"/>
  <c r="BK181" i="6"/>
  <c r="BJ181" i="6"/>
  <c r="BI181" i="6"/>
  <c r="BH181" i="6"/>
  <c r="BG181" i="6"/>
  <c r="BF181" i="6"/>
  <c r="BE181" i="6"/>
  <c r="BD181" i="6"/>
  <c r="BC181" i="6"/>
  <c r="BB181" i="6"/>
  <c r="BA181" i="6"/>
  <c r="AZ181" i="6"/>
  <c r="AY181" i="6"/>
  <c r="AX181" i="6"/>
  <c r="AW181" i="6"/>
  <c r="AV181" i="6"/>
  <c r="AU181" i="6"/>
  <c r="AT181" i="6"/>
  <c r="AS181" i="6"/>
  <c r="AR181" i="6"/>
  <c r="AQ181" i="6"/>
  <c r="AP181" i="6"/>
  <c r="AO181" i="6"/>
  <c r="AN181" i="6"/>
  <c r="AM181" i="6"/>
  <c r="AL181" i="6"/>
  <c r="AK181" i="6"/>
  <c r="AJ181" i="6"/>
  <c r="AI181" i="6"/>
  <c r="AH181" i="6"/>
  <c r="AG181" i="6"/>
  <c r="AF181" i="6"/>
  <c r="AE181" i="6"/>
  <c r="AD181" i="6"/>
  <c r="AC181" i="6"/>
  <c r="AB181" i="6"/>
  <c r="AA181" i="6"/>
  <c r="Z181" i="6"/>
  <c r="Y181" i="6"/>
  <c r="X181" i="6"/>
  <c r="W181" i="6"/>
  <c r="V181" i="6"/>
  <c r="U181" i="6"/>
  <c r="T181" i="6"/>
  <c r="S181" i="6"/>
  <c r="S184" i="6" s="1"/>
  <c r="R181" i="6"/>
  <c r="R184" i="6" s="1"/>
  <c r="Q181" i="6"/>
  <c r="Q184" i="6" s="1"/>
  <c r="P181" i="6"/>
  <c r="P184" i="6" s="1"/>
  <c r="O181" i="6"/>
  <c r="O184" i="6" s="1"/>
  <c r="N181" i="6"/>
  <c r="N184" i="6" s="1"/>
  <c r="M181" i="6"/>
  <c r="M184" i="6" s="1"/>
  <c r="L181" i="6"/>
  <c r="L184" i="6" s="1"/>
  <c r="K181" i="6"/>
  <c r="K184" i="6" s="1"/>
  <c r="J181" i="6"/>
  <c r="J184" i="6" s="1"/>
  <c r="I181" i="6"/>
  <c r="I184" i="6" s="1"/>
  <c r="H181" i="6"/>
  <c r="G181" i="6"/>
  <c r="F181" i="6"/>
  <c r="E181" i="6"/>
  <c r="BX179" i="6"/>
  <c r="BW179" i="6"/>
  <c r="BW184" i="6" s="1"/>
  <c r="BV179" i="6"/>
  <c r="BV184" i="6" s="1"/>
  <c r="BU179" i="6"/>
  <c r="BU184" i="6" s="1"/>
  <c r="BT179" i="6"/>
  <c r="BT184" i="6" s="1"/>
  <c r="BS179" i="6"/>
  <c r="BS184" i="6" s="1"/>
  <c r="BR179" i="6"/>
  <c r="BR184" i="6" s="1"/>
  <c r="BQ179" i="6"/>
  <c r="BQ184" i="6" s="1"/>
  <c r="BP179" i="6"/>
  <c r="BP184" i="6" s="1"/>
  <c r="BO179" i="6"/>
  <c r="BO184" i="6" s="1"/>
  <c r="BN179" i="6"/>
  <c r="BN184" i="6" s="1"/>
  <c r="BM179" i="6"/>
  <c r="BM184" i="6" s="1"/>
  <c r="BL179" i="6"/>
  <c r="BL184" i="6" s="1"/>
  <c r="BK179" i="6"/>
  <c r="BK184" i="6" s="1"/>
  <c r="BJ179" i="6"/>
  <c r="BJ184" i="6" s="1"/>
  <c r="BI179" i="6"/>
  <c r="BI184" i="6" s="1"/>
  <c r="BH179" i="6"/>
  <c r="BH184" i="6" s="1"/>
  <c r="BG179" i="6"/>
  <c r="BG184" i="6" s="1"/>
  <c r="BF179" i="6"/>
  <c r="BF184" i="6" s="1"/>
  <c r="BE179" i="6"/>
  <c r="BE184" i="6" s="1"/>
  <c r="BD179" i="6"/>
  <c r="BD184" i="6" s="1"/>
  <c r="BC179" i="6"/>
  <c r="BC184" i="6" s="1"/>
  <c r="BB179" i="6"/>
  <c r="BB184" i="6" s="1"/>
  <c r="BA179" i="6"/>
  <c r="BA184" i="6" s="1"/>
  <c r="AZ179" i="6"/>
  <c r="AZ184" i="6" s="1"/>
  <c r="AY179" i="6"/>
  <c r="AY184" i="6" s="1"/>
  <c r="AX179" i="6"/>
  <c r="AX184" i="6" s="1"/>
  <c r="AW179" i="6"/>
  <c r="AW184" i="6" s="1"/>
  <c r="AV179" i="6"/>
  <c r="AV184" i="6" s="1"/>
  <c r="AU179" i="6"/>
  <c r="AU184" i="6" s="1"/>
  <c r="AT179" i="6"/>
  <c r="AT184" i="6" s="1"/>
  <c r="AS179" i="6"/>
  <c r="AS184" i="6" s="1"/>
  <c r="AR179" i="6"/>
  <c r="AR184" i="6" s="1"/>
  <c r="AQ179" i="6"/>
  <c r="AQ184" i="6" s="1"/>
  <c r="AP179" i="6"/>
  <c r="AP184" i="6" s="1"/>
  <c r="AO179" i="6"/>
  <c r="AO184" i="6" s="1"/>
  <c r="AN179" i="6"/>
  <c r="AN184" i="6" s="1"/>
  <c r="AM179" i="6"/>
  <c r="AM184" i="6" s="1"/>
  <c r="AL179" i="6"/>
  <c r="AL184" i="6" s="1"/>
  <c r="AK179" i="6"/>
  <c r="AK184" i="6" s="1"/>
  <c r="AJ179" i="6"/>
  <c r="AJ184" i="6" s="1"/>
  <c r="AI179" i="6"/>
  <c r="AI184" i="6" s="1"/>
  <c r="AH179" i="6"/>
  <c r="AH184" i="6" s="1"/>
  <c r="AG179" i="6"/>
  <c r="AG184" i="6" s="1"/>
  <c r="AF179" i="6"/>
  <c r="AF184" i="6" s="1"/>
  <c r="AE179" i="6"/>
  <c r="AE184" i="6" s="1"/>
  <c r="AD179" i="6"/>
  <c r="AD184" i="6" s="1"/>
  <c r="AC179" i="6"/>
  <c r="AC184" i="6" s="1"/>
  <c r="AB179" i="6"/>
  <c r="AB184" i="6" s="1"/>
  <c r="AA179" i="6"/>
  <c r="AA184" i="6" s="1"/>
  <c r="Z179" i="6"/>
  <c r="Z184" i="6" s="1"/>
  <c r="Y179" i="6"/>
  <c r="Y184" i="6" s="1"/>
  <c r="X179" i="6"/>
  <c r="X184" i="6" s="1"/>
  <c r="W179" i="6"/>
  <c r="W184" i="6" s="1"/>
  <c r="V179" i="6"/>
  <c r="V184" i="6" s="1"/>
  <c r="U179" i="6"/>
  <c r="U184" i="6" s="1"/>
  <c r="T179" i="6"/>
  <c r="H179" i="6"/>
  <c r="H184" i="6" s="1"/>
  <c r="G179" i="6"/>
  <c r="G184" i="6" s="1"/>
  <c r="F179" i="6"/>
  <c r="F184" i="6" s="1"/>
  <c r="E179" i="6"/>
  <c r="E184" i="6" s="1"/>
  <c r="D172" i="6"/>
  <c r="BX165" i="6"/>
  <c r="BW165" i="6"/>
  <c r="BV165" i="6"/>
  <c r="BU165" i="6"/>
  <c r="BT165" i="6"/>
  <c r="BS165" i="6"/>
  <c r="BR165" i="6"/>
  <c r="BQ165" i="6"/>
  <c r="BP165" i="6"/>
  <c r="BO165" i="6"/>
  <c r="BN165" i="6"/>
  <c r="BM165" i="6"/>
  <c r="BL165" i="6"/>
  <c r="BK165" i="6"/>
  <c r="BJ165" i="6"/>
  <c r="BI165" i="6"/>
  <c r="BH165" i="6"/>
  <c r="BG165" i="6"/>
  <c r="BF165" i="6"/>
  <c r="BE165" i="6"/>
  <c r="BD165" i="6"/>
  <c r="BC165" i="6"/>
  <c r="BB165" i="6"/>
  <c r="BA165" i="6"/>
  <c r="AZ165" i="6"/>
  <c r="AY165" i="6"/>
  <c r="AX165" i="6"/>
  <c r="AW165" i="6"/>
  <c r="AV165" i="6"/>
  <c r="AU165" i="6"/>
  <c r="AT165" i="6"/>
  <c r="AS165" i="6"/>
  <c r="AR165" i="6"/>
  <c r="AQ165" i="6"/>
  <c r="AP165" i="6"/>
  <c r="AO165" i="6"/>
  <c r="AN165" i="6"/>
  <c r="AM165" i="6"/>
  <c r="AL165" i="6"/>
  <c r="AK165" i="6"/>
  <c r="AJ165" i="6"/>
  <c r="AI165" i="6"/>
  <c r="AH165" i="6"/>
  <c r="AG165" i="6"/>
  <c r="AF165" i="6"/>
  <c r="AE165" i="6"/>
  <c r="AD165" i="6"/>
  <c r="AC165" i="6"/>
  <c r="AB165" i="6"/>
  <c r="AA165" i="6"/>
  <c r="Z165" i="6"/>
  <c r="Y165" i="6"/>
  <c r="X165" i="6"/>
  <c r="W165" i="6"/>
  <c r="V165" i="6"/>
  <c r="U165" i="6"/>
  <c r="T165" i="6"/>
  <c r="S165" i="6"/>
  <c r="R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BX163" i="6"/>
  <c r="BW163" i="6"/>
  <c r="BW168" i="6" s="1"/>
  <c r="BV163" i="6"/>
  <c r="BV168" i="6" s="1"/>
  <c r="BU163" i="6"/>
  <c r="BU168" i="6" s="1"/>
  <c r="BT163" i="6"/>
  <c r="BT168" i="6" s="1"/>
  <c r="BS163" i="6"/>
  <c r="BS168" i="6" s="1"/>
  <c r="BR163" i="6"/>
  <c r="BR168" i="6" s="1"/>
  <c r="BQ163" i="6"/>
  <c r="BQ168" i="6" s="1"/>
  <c r="BP163" i="6"/>
  <c r="BP168" i="6" s="1"/>
  <c r="BO163" i="6"/>
  <c r="BO168" i="6" s="1"/>
  <c r="BN163" i="6"/>
  <c r="BN168" i="6" s="1"/>
  <c r="BM163" i="6"/>
  <c r="BM168" i="6" s="1"/>
  <c r="BL163" i="6"/>
  <c r="BL168" i="6" s="1"/>
  <c r="BK163" i="6"/>
  <c r="BK168" i="6" s="1"/>
  <c r="BJ163" i="6"/>
  <c r="BJ168" i="6" s="1"/>
  <c r="BI163" i="6"/>
  <c r="BI168" i="6" s="1"/>
  <c r="BH163" i="6"/>
  <c r="BH168" i="6" s="1"/>
  <c r="BG163" i="6"/>
  <c r="BG168" i="6" s="1"/>
  <c r="BF163" i="6"/>
  <c r="BF168" i="6" s="1"/>
  <c r="BE163" i="6"/>
  <c r="BE168" i="6" s="1"/>
  <c r="BD163" i="6"/>
  <c r="BD168" i="6" s="1"/>
  <c r="BC163" i="6"/>
  <c r="BC168" i="6" s="1"/>
  <c r="BB163" i="6"/>
  <c r="BB168" i="6" s="1"/>
  <c r="BA163" i="6"/>
  <c r="BA168" i="6" s="1"/>
  <c r="AZ163" i="6"/>
  <c r="AZ168" i="6" s="1"/>
  <c r="AY163" i="6"/>
  <c r="AY168" i="6" s="1"/>
  <c r="AX163" i="6"/>
  <c r="AX168" i="6" s="1"/>
  <c r="AW163" i="6"/>
  <c r="AW168" i="6" s="1"/>
  <c r="AV163" i="6"/>
  <c r="AV168" i="6" s="1"/>
  <c r="AU163" i="6"/>
  <c r="AU168" i="6" s="1"/>
  <c r="AT163" i="6"/>
  <c r="AT168" i="6" s="1"/>
  <c r="AS163" i="6"/>
  <c r="AS168" i="6" s="1"/>
  <c r="AR163" i="6"/>
  <c r="AR168" i="6" s="1"/>
  <c r="AQ163" i="6"/>
  <c r="AQ168" i="6" s="1"/>
  <c r="AP163" i="6"/>
  <c r="AP168" i="6" s="1"/>
  <c r="AO163" i="6"/>
  <c r="AO168" i="6" s="1"/>
  <c r="AN163" i="6"/>
  <c r="AN168" i="6" s="1"/>
  <c r="AM163" i="6"/>
  <c r="AM168" i="6" s="1"/>
  <c r="AL163" i="6"/>
  <c r="AL168" i="6" s="1"/>
  <c r="AK163" i="6"/>
  <c r="AK168" i="6" s="1"/>
  <c r="AJ163" i="6"/>
  <c r="AJ168" i="6" s="1"/>
  <c r="AI163" i="6"/>
  <c r="AI168" i="6" s="1"/>
  <c r="AH163" i="6"/>
  <c r="AH168" i="6" s="1"/>
  <c r="AG163" i="6"/>
  <c r="AG168" i="6" s="1"/>
  <c r="AF163" i="6"/>
  <c r="AF168" i="6" s="1"/>
  <c r="AE163" i="6"/>
  <c r="AE168" i="6" s="1"/>
  <c r="AD163" i="6"/>
  <c r="AD168" i="6" s="1"/>
  <c r="AC163" i="6"/>
  <c r="AC168" i="6" s="1"/>
  <c r="AB163" i="6"/>
  <c r="AB168" i="6" s="1"/>
  <c r="AA163" i="6"/>
  <c r="AA168" i="6" s="1"/>
  <c r="Z163" i="6"/>
  <c r="Z168" i="6" s="1"/>
  <c r="Y163" i="6"/>
  <c r="Y168" i="6" s="1"/>
  <c r="X163" i="6"/>
  <c r="X168" i="6" s="1"/>
  <c r="W163" i="6"/>
  <c r="W168" i="6" s="1"/>
  <c r="V163" i="6"/>
  <c r="V168" i="6" s="1"/>
  <c r="U163" i="6"/>
  <c r="U168" i="6" s="1"/>
  <c r="T163" i="6"/>
  <c r="S163" i="6"/>
  <c r="S168" i="6" s="1"/>
  <c r="R163" i="6"/>
  <c r="R168" i="6" s="1"/>
  <c r="Q163" i="6"/>
  <c r="Q168" i="6" s="1"/>
  <c r="P163" i="6"/>
  <c r="P168" i="6" s="1"/>
  <c r="O163" i="6"/>
  <c r="O168" i="6" s="1"/>
  <c r="N163" i="6"/>
  <c r="N168" i="6" s="1"/>
  <c r="M163" i="6"/>
  <c r="M168" i="6" s="1"/>
  <c r="L163" i="6"/>
  <c r="L168" i="6" s="1"/>
  <c r="K163" i="6"/>
  <c r="K168" i="6" s="1"/>
  <c r="J163" i="6"/>
  <c r="J168" i="6" s="1"/>
  <c r="I163" i="6"/>
  <c r="I168" i="6" s="1"/>
  <c r="H163" i="6"/>
  <c r="H168" i="6" s="1"/>
  <c r="G163" i="6"/>
  <c r="G168" i="6" s="1"/>
  <c r="F163" i="6"/>
  <c r="F168" i="6" s="1"/>
  <c r="E163" i="6"/>
  <c r="E168" i="6" s="1"/>
  <c r="D156" i="6"/>
  <c r="T150" i="6"/>
  <c r="BX149" i="6"/>
  <c r="BW149" i="6"/>
  <c r="BV149" i="6"/>
  <c r="BU149" i="6"/>
  <c r="BT149" i="6"/>
  <c r="BS149" i="6"/>
  <c r="BR149" i="6"/>
  <c r="BQ149" i="6"/>
  <c r="BP149" i="6"/>
  <c r="BO149" i="6"/>
  <c r="BN149" i="6"/>
  <c r="BM149" i="6"/>
  <c r="BL149" i="6"/>
  <c r="BK149" i="6"/>
  <c r="BJ149" i="6"/>
  <c r="BI149" i="6"/>
  <c r="BH149" i="6"/>
  <c r="BG149" i="6"/>
  <c r="BF149" i="6"/>
  <c r="BE149" i="6"/>
  <c r="BD149" i="6"/>
  <c r="BC149" i="6"/>
  <c r="BB149" i="6"/>
  <c r="BA149" i="6"/>
  <c r="AZ149" i="6"/>
  <c r="AY149" i="6"/>
  <c r="AX149" i="6"/>
  <c r="AW149" i="6"/>
  <c r="AV149" i="6"/>
  <c r="AU149" i="6"/>
  <c r="AT149" i="6"/>
  <c r="AS149" i="6"/>
  <c r="AR149" i="6"/>
  <c r="AQ149" i="6"/>
  <c r="AP149" i="6"/>
  <c r="AO149" i="6"/>
  <c r="AN149" i="6"/>
  <c r="AM149" i="6"/>
  <c r="AL149" i="6"/>
  <c r="AK149" i="6"/>
  <c r="AJ149" i="6"/>
  <c r="AI149" i="6"/>
  <c r="AH149" i="6"/>
  <c r="AG149" i="6"/>
  <c r="AF149" i="6"/>
  <c r="AE149" i="6"/>
  <c r="AD149" i="6"/>
  <c r="AC149" i="6"/>
  <c r="AB149" i="6"/>
  <c r="AA149" i="6"/>
  <c r="Z149" i="6"/>
  <c r="Y149" i="6"/>
  <c r="X149" i="6"/>
  <c r="W149" i="6"/>
  <c r="V149" i="6"/>
  <c r="U149" i="6"/>
  <c r="T149" i="6"/>
  <c r="S149" i="6"/>
  <c r="R149" i="6"/>
  <c r="Q149" i="6"/>
  <c r="P149" i="6"/>
  <c r="O149" i="6"/>
  <c r="N149" i="6"/>
  <c r="M149" i="6"/>
  <c r="L149" i="6"/>
  <c r="K149" i="6"/>
  <c r="K152" i="6" s="1"/>
  <c r="J149" i="6"/>
  <c r="I149" i="6"/>
  <c r="I152" i="6" s="1"/>
  <c r="H149" i="6"/>
  <c r="G149" i="6"/>
  <c r="F149" i="6"/>
  <c r="E149" i="6"/>
  <c r="BX147" i="6"/>
  <c r="BW147" i="6"/>
  <c r="BW152" i="6" s="1"/>
  <c r="BV147" i="6"/>
  <c r="BV152" i="6" s="1"/>
  <c r="BU147" i="6"/>
  <c r="BU152" i="6" s="1"/>
  <c r="BT147" i="6"/>
  <c r="BT152" i="6" s="1"/>
  <c r="BS147" i="6"/>
  <c r="BS152" i="6" s="1"/>
  <c r="BR147" i="6"/>
  <c r="BR152" i="6" s="1"/>
  <c r="BQ147" i="6"/>
  <c r="BQ152" i="6" s="1"/>
  <c r="BP147" i="6"/>
  <c r="BP152" i="6" s="1"/>
  <c r="BO147" i="6"/>
  <c r="BO152" i="6" s="1"/>
  <c r="BN147" i="6"/>
  <c r="BN152" i="6" s="1"/>
  <c r="BM147" i="6"/>
  <c r="BM152" i="6" s="1"/>
  <c r="BL147" i="6"/>
  <c r="BL152" i="6" s="1"/>
  <c r="BK147" i="6"/>
  <c r="BK152" i="6" s="1"/>
  <c r="BJ147" i="6"/>
  <c r="BJ152" i="6" s="1"/>
  <c r="BI147" i="6"/>
  <c r="BI152" i="6" s="1"/>
  <c r="BH147" i="6"/>
  <c r="BH152" i="6" s="1"/>
  <c r="BG147" i="6"/>
  <c r="BG152" i="6" s="1"/>
  <c r="BF147" i="6"/>
  <c r="BF152" i="6" s="1"/>
  <c r="BE147" i="6"/>
  <c r="BE152" i="6" s="1"/>
  <c r="BD147" i="6"/>
  <c r="BD152" i="6" s="1"/>
  <c r="BC147" i="6"/>
  <c r="BC152" i="6" s="1"/>
  <c r="BB147" i="6"/>
  <c r="BB152" i="6" s="1"/>
  <c r="BA147" i="6"/>
  <c r="BA152" i="6" s="1"/>
  <c r="AZ147" i="6"/>
  <c r="AZ152" i="6" s="1"/>
  <c r="AY147" i="6"/>
  <c r="AY152" i="6" s="1"/>
  <c r="AX147" i="6"/>
  <c r="AX152" i="6" s="1"/>
  <c r="AW147" i="6"/>
  <c r="AW152" i="6" s="1"/>
  <c r="AV147" i="6"/>
  <c r="AV152" i="6" s="1"/>
  <c r="AU147" i="6"/>
  <c r="AU152" i="6" s="1"/>
  <c r="AT147" i="6"/>
  <c r="AT152" i="6" s="1"/>
  <c r="AS147" i="6"/>
  <c r="AS152" i="6" s="1"/>
  <c r="AR147" i="6"/>
  <c r="AR152" i="6" s="1"/>
  <c r="AQ147" i="6"/>
  <c r="AQ152" i="6" s="1"/>
  <c r="AP147" i="6"/>
  <c r="AP152" i="6" s="1"/>
  <c r="AO147" i="6"/>
  <c r="AO152" i="6" s="1"/>
  <c r="AN147" i="6"/>
  <c r="AN152" i="6" s="1"/>
  <c r="AM147" i="6"/>
  <c r="AM152" i="6" s="1"/>
  <c r="AL147" i="6"/>
  <c r="AL152" i="6" s="1"/>
  <c r="AK147" i="6"/>
  <c r="AK152" i="6" s="1"/>
  <c r="AJ147" i="6"/>
  <c r="AJ152" i="6" s="1"/>
  <c r="AI147" i="6"/>
  <c r="AI152" i="6" s="1"/>
  <c r="AH147" i="6"/>
  <c r="AH152" i="6" s="1"/>
  <c r="AG147" i="6"/>
  <c r="AG152" i="6" s="1"/>
  <c r="AF147" i="6"/>
  <c r="AF152" i="6" s="1"/>
  <c r="AE147" i="6"/>
  <c r="AE152" i="6" s="1"/>
  <c r="AD147" i="6"/>
  <c r="AD152" i="6" s="1"/>
  <c r="AC147" i="6"/>
  <c r="AC152" i="6" s="1"/>
  <c r="AB147" i="6"/>
  <c r="AB152" i="6" s="1"/>
  <c r="AA147" i="6"/>
  <c r="AA152" i="6" s="1"/>
  <c r="Z147" i="6"/>
  <c r="Z152" i="6" s="1"/>
  <c r="Y147" i="6"/>
  <c r="Y152" i="6" s="1"/>
  <c r="X147" i="6"/>
  <c r="X152" i="6" s="1"/>
  <c r="W147" i="6"/>
  <c r="W152" i="6" s="1"/>
  <c r="V147" i="6"/>
  <c r="V152" i="6" s="1"/>
  <c r="U147" i="6"/>
  <c r="U152" i="6" s="1"/>
  <c r="S147" i="6"/>
  <c r="S152" i="6" s="1"/>
  <c r="P147" i="6"/>
  <c r="P152" i="6" s="1"/>
  <c r="O147" i="6"/>
  <c r="O152" i="6" s="1"/>
  <c r="N147" i="6"/>
  <c r="N152" i="6" s="1"/>
  <c r="M147" i="6"/>
  <c r="M152" i="6" s="1"/>
  <c r="J147" i="6"/>
  <c r="J152" i="6" s="1"/>
  <c r="H147" i="6"/>
  <c r="G147" i="6"/>
  <c r="G152" i="6" s="1"/>
  <c r="F147" i="6"/>
  <c r="F152" i="6" s="1"/>
  <c r="E147" i="6"/>
  <c r="E152" i="6" s="1"/>
  <c r="E153" i="6" s="1"/>
  <c r="F153" i="6" s="1"/>
  <c r="G153" i="6" s="1"/>
  <c r="D140" i="6"/>
  <c r="BX133" i="6"/>
  <c r="BW133" i="6"/>
  <c r="BV133" i="6"/>
  <c r="BU133" i="6"/>
  <c r="BT133" i="6"/>
  <c r="BS133" i="6"/>
  <c r="BR133" i="6"/>
  <c r="BQ133" i="6"/>
  <c r="BP133" i="6"/>
  <c r="BO133" i="6"/>
  <c r="BN133" i="6"/>
  <c r="BM133" i="6"/>
  <c r="BL133" i="6"/>
  <c r="BK133" i="6"/>
  <c r="BJ133" i="6"/>
  <c r="BI133" i="6"/>
  <c r="BH133" i="6"/>
  <c r="BG133" i="6"/>
  <c r="BF133" i="6"/>
  <c r="BE133" i="6"/>
  <c r="BD133" i="6"/>
  <c r="BC133" i="6"/>
  <c r="BB133" i="6"/>
  <c r="BA133" i="6"/>
  <c r="AZ133" i="6"/>
  <c r="AY133" i="6"/>
  <c r="AX133" i="6"/>
  <c r="AW133" i="6"/>
  <c r="AV133" i="6"/>
  <c r="AU133" i="6"/>
  <c r="AT133" i="6"/>
  <c r="AS133" i="6"/>
  <c r="AR133" i="6"/>
  <c r="AQ133" i="6"/>
  <c r="AP133" i="6"/>
  <c r="AO133" i="6"/>
  <c r="AN133" i="6"/>
  <c r="AM133" i="6"/>
  <c r="AL133" i="6"/>
  <c r="AK133" i="6"/>
  <c r="AJ133" i="6"/>
  <c r="AI133" i="6"/>
  <c r="AH133" i="6"/>
  <c r="AG133" i="6"/>
  <c r="AE133" i="6"/>
  <c r="AD133" i="6"/>
  <c r="AC133" i="6"/>
  <c r="AB133" i="6"/>
  <c r="AA133" i="6"/>
  <c r="Z133" i="6"/>
  <c r="Y133" i="6"/>
  <c r="X133" i="6"/>
  <c r="W133" i="6"/>
  <c r="V133" i="6"/>
  <c r="U133" i="6"/>
  <c r="T133" i="6"/>
  <c r="S133" i="6"/>
  <c r="R133" i="6"/>
  <c r="Q133" i="6"/>
  <c r="P133" i="6"/>
  <c r="O133" i="6"/>
  <c r="N133" i="6"/>
  <c r="M133" i="6"/>
  <c r="L133" i="6"/>
  <c r="K133" i="6"/>
  <c r="J133" i="6"/>
  <c r="I133" i="6"/>
  <c r="H133" i="6"/>
  <c r="G133" i="6"/>
  <c r="F133" i="6"/>
  <c r="E133" i="6"/>
  <c r="BX131" i="6"/>
  <c r="BW131" i="6"/>
  <c r="BW136" i="6" s="1"/>
  <c r="BV131" i="6"/>
  <c r="BV136" i="6" s="1"/>
  <c r="BU131" i="6"/>
  <c r="BU136" i="6" s="1"/>
  <c r="BT131" i="6"/>
  <c r="BT136" i="6" s="1"/>
  <c r="BS131" i="6"/>
  <c r="BS136" i="6" s="1"/>
  <c r="BR131" i="6"/>
  <c r="BR136" i="6" s="1"/>
  <c r="BQ131" i="6"/>
  <c r="BQ136" i="6" s="1"/>
  <c r="BP131" i="6"/>
  <c r="BP136" i="6" s="1"/>
  <c r="BO131" i="6"/>
  <c r="BO136" i="6" s="1"/>
  <c r="BN131" i="6"/>
  <c r="BN136" i="6" s="1"/>
  <c r="BM131" i="6"/>
  <c r="BM136" i="6" s="1"/>
  <c r="BL131" i="6"/>
  <c r="BL136" i="6" s="1"/>
  <c r="BK131" i="6"/>
  <c r="BK136" i="6" s="1"/>
  <c r="BJ131" i="6"/>
  <c r="BJ136" i="6" s="1"/>
  <c r="BI131" i="6"/>
  <c r="BI136" i="6" s="1"/>
  <c r="BH131" i="6"/>
  <c r="BH136" i="6" s="1"/>
  <c r="BG131" i="6"/>
  <c r="BG136" i="6" s="1"/>
  <c r="BF131" i="6"/>
  <c r="BF136" i="6" s="1"/>
  <c r="BE131" i="6"/>
  <c r="BE136" i="6" s="1"/>
  <c r="BD131" i="6"/>
  <c r="BD136" i="6" s="1"/>
  <c r="BC131" i="6"/>
  <c r="BC136" i="6" s="1"/>
  <c r="BB131" i="6"/>
  <c r="BB136" i="6" s="1"/>
  <c r="BA131" i="6"/>
  <c r="BA136" i="6" s="1"/>
  <c r="AZ131" i="6"/>
  <c r="AZ136" i="6" s="1"/>
  <c r="AY131" i="6"/>
  <c r="AY136" i="6" s="1"/>
  <c r="AX131" i="6"/>
  <c r="AX136" i="6" s="1"/>
  <c r="AW131" i="6"/>
  <c r="AW136" i="6" s="1"/>
  <c r="AV131" i="6"/>
  <c r="AV136" i="6" s="1"/>
  <c r="AU131" i="6"/>
  <c r="AU136" i="6" s="1"/>
  <c r="AT131" i="6"/>
  <c r="AT136" i="6" s="1"/>
  <c r="AS131" i="6"/>
  <c r="AS136" i="6" s="1"/>
  <c r="AR131" i="6"/>
  <c r="AR136" i="6" s="1"/>
  <c r="AQ131" i="6"/>
  <c r="AQ136" i="6" s="1"/>
  <c r="AP131" i="6"/>
  <c r="AP136" i="6" s="1"/>
  <c r="AO131" i="6"/>
  <c r="AO136" i="6" s="1"/>
  <c r="AN131" i="6"/>
  <c r="AN136" i="6" s="1"/>
  <c r="AM131" i="6"/>
  <c r="AM136" i="6" s="1"/>
  <c r="AL131" i="6"/>
  <c r="AL136" i="6" s="1"/>
  <c r="AK131" i="6"/>
  <c r="AK136" i="6" s="1"/>
  <c r="AJ131" i="6"/>
  <c r="AJ136" i="6" s="1"/>
  <c r="AI131" i="6"/>
  <c r="AI136" i="6" s="1"/>
  <c r="AH131" i="6"/>
  <c r="AH136" i="6" s="1"/>
  <c r="AG131" i="6"/>
  <c r="AG136" i="6" s="1"/>
  <c r="AE131" i="6"/>
  <c r="AE136" i="6" s="1"/>
  <c r="AD131" i="6"/>
  <c r="AD136" i="6" s="1"/>
  <c r="AC131" i="6"/>
  <c r="AC136" i="6" s="1"/>
  <c r="AB131" i="6"/>
  <c r="AB136" i="6" s="1"/>
  <c r="AA131" i="6"/>
  <c r="AA136" i="6" s="1"/>
  <c r="Z131" i="6"/>
  <c r="Z136" i="6" s="1"/>
  <c r="Y131" i="6"/>
  <c r="Y136" i="6" s="1"/>
  <c r="X131" i="6"/>
  <c r="X136" i="6" s="1"/>
  <c r="W131" i="6"/>
  <c r="W136" i="6" s="1"/>
  <c r="V131" i="6"/>
  <c r="V136" i="6" s="1"/>
  <c r="U131" i="6"/>
  <c r="U136" i="6" s="1"/>
  <c r="T131" i="6"/>
  <c r="S131" i="6"/>
  <c r="S136" i="6" s="1"/>
  <c r="R131" i="6"/>
  <c r="R136" i="6" s="1"/>
  <c r="Q131" i="6"/>
  <c r="Q136" i="6" s="1"/>
  <c r="P131" i="6"/>
  <c r="P136" i="6" s="1"/>
  <c r="N131" i="6"/>
  <c r="N136" i="6" s="1"/>
  <c r="K131" i="6"/>
  <c r="K136" i="6" s="1"/>
  <c r="J131" i="6"/>
  <c r="J136" i="6" s="1"/>
  <c r="I131" i="6"/>
  <c r="I136" i="6" s="1"/>
  <c r="H131" i="6"/>
  <c r="H136" i="6" s="1"/>
  <c r="G131" i="6"/>
  <c r="G136" i="6" s="1"/>
  <c r="F131" i="6"/>
  <c r="F136" i="6" s="1"/>
  <c r="E131" i="6"/>
  <c r="Z128" i="6"/>
  <c r="Y128" i="6"/>
  <c r="X128" i="6"/>
  <c r="W128" i="6"/>
  <c r="V128" i="6"/>
  <c r="U128" i="6"/>
  <c r="T128" i="6"/>
  <c r="S128" i="6"/>
  <c r="R128" i="6"/>
  <c r="Q128" i="6"/>
  <c r="P128" i="6"/>
  <c r="N128" i="6"/>
  <c r="K128" i="6"/>
  <c r="J128" i="6"/>
  <c r="I128" i="6"/>
  <c r="BX115" i="6"/>
  <c r="BW115" i="6"/>
  <c r="BV115" i="6"/>
  <c r="BU115" i="6"/>
  <c r="BT115" i="6"/>
  <c r="BS115" i="6"/>
  <c r="BR115" i="6"/>
  <c r="BQ115" i="6"/>
  <c r="BP115" i="6"/>
  <c r="BO115" i="6"/>
  <c r="BN115" i="6"/>
  <c r="BM115" i="6"/>
  <c r="BL115" i="6"/>
  <c r="BK115" i="6"/>
  <c r="BJ115" i="6"/>
  <c r="BI115" i="6"/>
  <c r="BH115" i="6"/>
  <c r="BG115" i="6"/>
  <c r="BF115" i="6"/>
  <c r="BE115" i="6"/>
  <c r="BD115" i="6"/>
  <c r="BC115" i="6"/>
  <c r="BB115" i="6"/>
  <c r="BA115" i="6"/>
  <c r="AZ115" i="6"/>
  <c r="AY115" i="6"/>
  <c r="AX115" i="6"/>
  <c r="AW115" i="6"/>
  <c r="AV115" i="6"/>
  <c r="AU115" i="6"/>
  <c r="AT115" i="6"/>
  <c r="AS115" i="6"/>
  <c r="AR115" i="6"/>
  <c r="AQ115" i="6"/>
  <c r="AP115" i="6"/>
  <c r="AO115" i="6"/>
  <c r="AN115" i="6"/>
  <c r="AM115" i="6"/>
  <c r="AL115" i="6"/>
  <c r="AK115" i="6"/>
  <c r="AJ115" i="6"/>
  <c r="AI115" i="6"/>
  <c r="AH115" i="6"/>
  <c r="AG115" i="6"/>
  <c r="AE115" i="6"/>
  <c r="AD115" i="6"/>
  <c r="AC115" i="6"/>
  <c r="AB115" i="6"/>
  <c r="AA115" i="6"/>
  <c r="Z115" i="6"/>
  <c r="Y115" i="6"/>
  <c r="X115" i="6"/>
  <c r="W115" i="6"/>
  <c r="V115" i="6"/>
  <c r="U115" i="6"/>
  <c r="T115" i="6"/>
  <c r="S115" i="6"/>
  <c r="R115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E115" i="6"/>
  <c r="BX113" i="6"/>
  <c r="BW113" i="6"/>
  <c r="BW119" i="6" s="1"/>
  <c r="BV113" i="6"/>
  <c r="BV119" i="6" s="1"/>
  <c r="BU113" i="6"/>
  <c r="BU119" i="6" s="1"/>
  <c r="BT113" i="6"/>
  <c r="BT119" i="6" s="1"/>
  <c r="BS113" i="6"/>
  <c r="BS119" i="6" s="1"/>
  <c r="BR113" i="6"/>
  <c r="BR119" i="6" s="1"/>
  <c r="BQ113" i="6"/>
  <c r="BQ119" i="6" s="1"/>
  <c r="BP113" i="6"/>
  <c r="BP119" i="6" s="1"/>
  <c r="BO113" i="6"/>
  <c r="BO119" i="6" s="1"/>
  <c r="BN113" i="6"/>
  <c r="BN119" i="6" s="1"/>
  <c r="BM113" i="6"/>
  <c r="BM119" i="6" s="1"/>
  <c r="BL113" i="6"/>
  <c r="BL119" i="6" s="1"/>
  <c r="BK113" i="6"/>
  <c r="BK119" i="6" s="1"/>
  <c r="BJ113" i="6"/>
  <c r="BJ119" i="6" s="1"/>
  <c r="BI113" i="6"/>
  <c r="BI119" i="6" s="1"/>
  <c r="BH113" i="6"/>
  <c r="BH119" i="6" s="1"/>
  <c r="BG113" i="6"/>
  <c r="BG119" i="6" s="1"/>
  <c r="BF113" i="6"/>
  <c r="BF119" i="6" s="1"/>
  <c r="BE113" i="6"/>
  <c r="BE119" i="6" s="1"/>
  <c r="BD113" i="6"/>
  <c r="BD119" i="6" s="1"/>
  <c r="BC113" i="6"/>
  <c r="BC119" i="6" s="1"/>
  <c r="BB113" i="6"/>
  <c r="BB119" i="6" s="1"/>
  <c r="BA113" i="6"/>
  <c r="BA119" i="6" s="1"/>
  <c r="AZ113" i="6"/>
  <c r="AZ119" i="6" s="1"/>
  <c r="AY113" i="6"/>
  <c r="AY119" i="6" s="1"/>
  <c r="AX113" i="6"/>
  <c r="AX119" i="6" s="1"/>
  <c r="AW113" i="6"/>
  <c r="AW119" i="6" s="1"/>
  <c r="AV113" i="6"/>
  <c r="AV119" i="6" s="1"/>
  <c r="AU113" i="6"/>
  <c r="AU119" i="6" s="1"/>
  <c r="AT113" i="6"/>
  <c r="AT119" i="6" s="1"/>
  <c r="AS113" i="6"/>
  <c r="AS119" i="6" s="1"/>
  <c r="AR113" i="6"/>
  <c r="AR119" i="6" s="1"/>
  <c r="AQ113" i="6"/>
  <c r="AQ119" i="6" s="1"/>
  <c r="AP113" i="6"/>
  <c r="AP119" i="6" s="1"/>
  <c r="AO113" i="6"/>
  <c r="AO119" i="6" s="1"/>
  <c r="AN113" i="6"/>
  <c r="AN119" i="6" s="1"/>
  <c r="AM113" i="6"/>
  <c r="AM119" i="6" s="1"/>
  <c r="AL113" i="6"/>
  <c r="AL119" i="6" s="1"/>
  <c r="AK113" i="6"/>
  <c r="AK119" i="6" s="1"/>
  <c r="AJ113" i="6"/>
  <c r="AJ119" i="6" s="1"/>
  <c r="AI113" i="6"/>
  <c r="AI119" i="6" s="1"/>
  <c r="AH113" i="6"/>
  <c r="AH119" i="6" s="1"/>
  <c r="AG113" i="6"/>
  <c r="AG119" i="6" s="1"/>
  <c r="AE113" i="6"/>
  <c r="AE119" i="6" s="1"/>
  <c r="AD113" i="6"/>
  <c r="AD119" i="6" s="1"/>
  <c r="AC113" i="6"/>
  <c r="AC119" i="6" s="1"/>
  <c r="AB113" i="6"/>
  <c r="AB119" i="6" s="1"/>
  <c r="AA113" i="6"/>
  <c r="AA119" i="6" s="1"/>
  <c r="Z113" i="6"/>
  <c r="Z119" i="6" s="1"/>
  <c r="Y113" i="6"/>
  <c r="Y119" i="6" s="1"/>
  <c r="X113" i="6"/>
  <c r="X119" i="6" s="1"/>
  <c r="W113" i="6"/>
  <c r="W119" i="6" s="1"/>
  <c r="V113" i="6"/>
  <c r="V119" i="6" s="1"/>
  <c r="U113" i="6"/>
  <c r="U119" i="6" s="1"/>
  <c r="T113" i="6"/>
  <c r="T119" i="6" s="1"/>
  <c r="S113" i="6"/>
  <c r="S119" i="6" s="1"/>
  <c r="R113" i="6"/>
  <c r="R119" i="6" s="1"/>
  <c r="Q113" i="6"/>
  <c r="Q119" i="6" s="1"/>
  <c r="P113" i="6"/>
  <c r="P119" i="6" s="1"/>
  <c r="N113" i="6"/>
  <c r="N119" i="6" s="1"/>
  <c r="K113" i="6"/>
  <c r="K119" i="6" s="1"/>
  <c r="J113" i="6"/>
  <c r="J119" i="6" s="1"/>
  <c r="I113" i="6"/>
  <c r="I119" i="6" s="1"/>
  <c r="H113" i="6"/>
  <c r="G113" i="6"/>
  <c r="G119" i="6" s="1"/>
  <c r="F113" i="6"/>
  <c r="F119" i="6" s="1"/>
  <c r="E113" i="6"/>
  <c r="E119" i="6" s="1"/>
  <c r="BW105" i="6"/>
  <c r="BV105" i="6"/>
  <c r="BU105" i="6"/>
  <c r="BT105" i="6"/>
  <c r="BS105" i="6"/>
  <c r="BR105" i="6"/>
  <c r="BQ105" i="6"/>
  <c r="BP105" i="6"/>
  <c r="BO105" i="6"/>
  <c r="BN105" i="6"/>
  <c r="BM105" i="6"/>
  <c r="BL105" i="6"/>
  <c r="BK105" i="6"/>
  <c r="BJ105" i="6"/>
  <c r="BI105" i="6"/>
  <c r="BH105" i="6"/>
  <c r="BG105" i="6"/>
  <c r="BF105" i="6"/>
  <c r="BE105" i="6"/>
  <c r="BD105" i="6"/>
  <c r="BC105" i="6"/>
  <c r="BB105" i="6"/>
  <c r="BA105" i="6"/>
  <c r="AZ105" i="6"/>
  <c r="AY105" i="6"/>
  <c r="AX105" i="6"/>
  <c r="AW105" i="6"/>
  <c r="AV105" i="6"/>
  <c r="AU105" i="6"/>
  <c r="AT105" i="6"/>
  <c r="AS105" i="6"/>
  <c r="AR105" i="6"/>
  <c r="AQ105" i="6"/>
  <c r="AP105" i="6"/>
  <c r="AO105" i="6"/>
  <c r="AN105" i="6"/>
  <c r="AM105" i="6"/>
  <c r="AL105" i="6"/>
  <c r="AK105" i="6"/>
  <c r="AJ105" i="6"/>
  <c r="AI105" i="6"/>
  <c r="AH105" i="6"/>
  <c r="AG105" i="6"/>
  <c r="AE105" i="6"/>
  <c r="AD105" i="6"/>
  <c r="AC105" i="6"/>
  <c r="AB105" i="6"/>
  <c r="AA105" i="6"/>
  <c r="Z105" i="6"/>
  <c r="Y105" i="6"/>
  <c r="X105" i="6"/>
  <c r="W105" i="6"/>
  <c r="V105" i="6"/>
  <c r="U105" i="6"/>
  <c r="T105" i="6"/>
  <c r="S105" i="6"/>
  <c r="R105" i="6"/>
  <c r="Q105" i="6"/>
  <c r="P105" i="6"/>
  <c r="N105" i="6"/>
  <c r="K105" i="6"/>
  <c r="J105" i="6"/>
  <c r="I105" i="6"/>
  <c r="H105" i="6"/>
  <c r="G105" i="6"/>
  <c r="F105" i="6"/>
  <c r="E105" i="6"/>
  <c r="G101" i="6"/>
  <c r="AE97" i="6"/>
  <c r="AD97" i="6"/>
  <c r="AC97" i="6"/>
  <c r="AB97" i="6"/>
  <c r="AA97" i="6"/>
  <c r="Z97" i="6"/>
  <c r="Y97" i="6"/>
  <c r="X97" i="6"/>
  <c r="W97" i="6"/>
  <c r="V97" i="6"/>
  <c r="U97" i="6"/>
  <c r="T97" i="6"/>
  <c r="Q97" i="6"/>
  <c r="BY95" i="6"/>
  <c r="BY94" i="6"/>
  <c r="BY93" i="6"/>
  <c r="BX90" i="6"/>
  <c r="BW90" i="6"/>
  <c r="BV90" i="6"/>
  <c r="BU90" i="6"/>
  <c r="BT90" i="6"/>
  <c r="BS90" i="6"/>
  <c r="BR90" i="6"/>
  <c r="BQ90" i="6"/>
  <c r="BP90" i="6"/>
  <c r="BO90" i="6"/>
  <c r="BN90" i="6"/>
  <c r="BM90" i="6"/>
  <c r="BL90" i="6"/>
  <c r="BK90" i="6"/>
  <c r="BJ90" i="6"/>
  <c r="BI90" i="6"/>
  <c r="BH90" i="6"/>
  <c r="BG90" i="6"/>
  <c r="BF90" i="6"/>
  <c r="BE90" i="6"/>
  <c r="BD90" i="6"/>
  <c r="BC90" i="6"/>
  <c r="BB90" i="6"/>
  <c r="BA90" i="6"/>
  <c r="AZ90" i="6"/>
  <c r="AY90" i="6"/>
  <c r="AX90" i="6"/>
  <c r="AW90" i="6"/>
  <c r="AV90" i="6"/>
  <c r="AU90" i="6"/>
  <c r="AT90" i="6"/>
  <c r="AS90" i="6"/>
  <c r="AR90" i="6"/>
  <c r="AQ90" i="6"/>
  <c r="AP90" i="6"/>
  <c r="AO90" i="6"/>
  <c r="AN90" i="6"/>
  <c r="AM90" i="6"/>
  <c r="AL90" i="6"/>
  <c r="AK90" i="6"/>
  <c r="AJ90" i="6"/>
  <c r="AI90" i="6"/>
  <c r="AH90" i="6"/>
  <c r="AG90" i="6"/>
  <c r="Y90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BY89" i="6"/>
  <c r="BY88" i="6"/>
  <c r="BY87" i="6"/>
  <c r="BX87" i="6"/>
  <c r="BW87" i="6"/>
  <c r="BV87" i="6"/>
  <c r="BU87" i="6"/>
  <c r="BT87" i="6"/>
  <c r="BS87" i="6"/>
  <c r="BR87" i="6"/>
  <c r="BQ87" i="6"/>
  <c r="BP87" i="6"/>
  <c r="BO87" i="6"/>
  <c r="BN87" i="6"/>
  <c r="BM87" i="6"/>
  <c r="BL87" i="6"/>
  <c r="BK87" i="6"/>
  <c r="BJ87" i="6"/>
  <c r="BI87" i="6"/>
  <c r="BH87" i="6"/>
  <c r="BG87" i="6"/>
  <c r="BF87" i="6"/>
  <c r="BE87" i="6"/>
  <c r="BD87" i="6"/>
  <c r="BC87" i="6"/>
  <c r="BB87" i="6"/>
  <c r="BA87" i="6"/>
  <c r="AZ87" i="6"/>
  <c r="AY87" i="6"/>
  <c r="AX87" i="6"/>
  <c r="AW87" i="6"/>
  <c r="AV87" i="6"/>
  <c r="AU87" i="6"/>
  <c r="AT87" i="6"/>
  <c r="AS87" i="6"/>
  <c r="AR87" i="6"/>
  <c r="AQ87" i="6"/>
  <c r="AP87" i="6"/>
  <c r="AO87" i="6"/>
  <c r="AN87" i="6"/>
  <c r="AM87" i="6"/>
  <c r="AL87" i="6"/>
  <c r="AK87" i="6"/>
  <c r="AJ87" i="6"/>
  <c r="AI87" i="6"/>
  <c r="AH87" i="6"/>
  <c r="AG87" i="6"/>
  <c r="AF87" i="6"/>
  <c r="AE87" i="6"/>
  <c r="AD87" i="6"/>
  <c r="AC87" i="6"/>
  <c r="AB87" i="6"/>
  <c r="AA87" i="6"/>
  <c r="Z87" i="6"/>
  <c r="Y87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BY85" i="6"/>
  <c r="BY84" i="6"/>
  <c r="BY83" i="6"/>
  <c r="BY82" i="6"/>
  <c r="BY81" i="6"/>
  <c r="BY79" i="6"/>
  <c r="BY78" i="6"/>
  <c r="BY77" i="6"/>
  <c r="BY76" i="6"/>
  <c r="BY75" i="6"/>
  <c r="BY74" i="6"/>
  <c r="BY73" i="6"/>
  <c r="U72" i="6"/>
  <c r="BY72" i="6" s="1"/>
  <c r="BY71" i="6"/>
  <c r="BY70" i="6"/>
  <c r="BY69" i="6"/>
  <c r="BY68" i="6"/>
  <c r="BY67" i="6"/>
  <c r="BY66" i="6"/>
  <c r="BY65" i="6"/>
  <c r="BY64" i="6"/>
  <c r="BX63" i="6"/>
  <c r="BW63" i="6"/>
  <c r="BV63" i="6"/>
  <c r="BU63" i="6"/>
  <c r="BT63" i="6"/>
  <c r="BS63" i="6"/>
  <c r="BR63" i="6"/>
  <c r="BQ63" i="6"/>
  <c r="BP63" i="6"/>
  <c r="BO63" i="6"/>
  <c r="BN63" i="6"/>
  <c r="BM63" i="6"/>
  <c r="BL63" i="6"/>
  <c r="BK63" i="6"/>
  <c r="BJ63" i="6"/>
  <c r="BI63" i="6"/>
  <c r="BH63" i="6"/>
  <c r="BG63" i="6"/>
  <c r="BF63" i="6"/>
  <c r="BE63" i="6"/>
  <c r="BD63" i="6"/>
  <c r="BC63" i="6"/>
  <c r="BB63" i="6"/>
  <c r="BA63" i="6"/>
  <c r="AZ63" i="6"/>
  <c r="AY63" i="6"/>
  <c r="AX63" i="6"/>
  <c r="AW63" i="6"/>
  <c r="AV63" i="6"/>
  <c r="AU63" i="6"/>
  <c r="AT63" i="6"/>
  <c r="AS63" i="6"/>
  <c r="AR63" i="6"/>
  <c r="AQ63" i="6"/>
  <c r="AP63" i="6"/>
  <c r="AO63" i="6"/>
  <c r="AN63" i="6"/>
  <c r="AM63" i="6"/>
  <c r="AL63" i="6"/>
  <c r="AK63" i="6"/>
  <c r="AJ63" i="6"/>
  <c r="AI63" i="6"/>
  <c r="AH63" i="6"/>
  <c r="AG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F101" i="11" s="1"/>
  <c r="R62" i="6"/>
  <c r="Q62" i="6"/>
  <c r="P62" i="6"/>
  <c r="O62" i="6"/>
  <c r="N62" i="6"/>
  <c r="M62" i="6"/>
  <c r="W61" i="6"/>
  <c r="V61" i="6"/>
  <c r="U61" i="6"/>
  <c r="BY60" i="6"/>
  <c r="BY59" i="6"/>
  <c r="BY58" i="6"/>
  <c r="BX55" i="6"/>
  <c r="BW55" i="6"/>
  <c r="BV55" i="6"/>
  <c r="BU55" i="6"/>
  <c r="BT55" i="6"/>
  <c r="BS55" i="6"/>
  <c r="BR55" i="6"/>
  <c r="BQ55" i="6"/>
  <c r="BP55" i="6"/>
  <c r="BO55" i="6"/>
  <c r="BN55" i="6"/>
  <c r="BM55" i="6"/>
  <c r="BL55" i="6"/>
  <c r="BK55" i="6"/>
  <c r="BJ55" i="6"/>
  <c r="BI55" i="6"/>
  <c r="BH55" i="6"/>
  <c r="BG55" i="6"/>
  <c r="BF55" i="6"/>
  <c r="BE55" i="6"/>
  <c r="BD55" i="6"/>
  <c r="BC55" i="6"/>
  <c r="BB55" i="6"/>
  <c r="BA55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AA54" i="6"/>
  <c r="U54" i="6"/>
  <c r="O54" i="6"/>
  <c r="I54" i="6"/>
  <c r="BY54" i="6" s="1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F114" i="11" s="1"/>
  <c r="R53" i="6"/>
  <c r="Q53" i="6"/>
  <c r="P53" i="6"/>
  <c r="N53" i="6"/>
  <c r="M53" i="6"/>
  <c r="L53" i="6"/>
  <c r="K53" i="6"/>
  <c r="J53" i="6"/>
  <c r="I53" i="6"/>
  <c r="H53" i="6"/>
  <c r="BY52" i="6"/>
  <c r="BY51" i="6"/>
  <c r="BY50" i="6"/>
  <c r="BX49" i="6"/>
  <c r="BW49" i="6"/>
  <c r="BV49" i="6"/>
  <c r="BU49" i="6"/>
  <c r="BT49" i="6"/>
  <c r="BS49" i="6"/>
  <c r="BR49" i="6"/>
  <c r="BQ49" i="6"/>
  <c r="BP49" i="6"/>
  <c r="BO49" i="6"/>
  <c r="BN49" i="6"/>
  <c r="BM49" i="6"/>
  <c r="BL49" i="6"/>
  <c r="BK49" i="6"/>
  <c r="BJ49" i="6"/>
  <c r="BI49" i="6"/>
  <c r="BH49" i="6"/>
  <c r="BG49" i="6"/>
  <c r="BF49" i="6"/>
  <c r="BE49" i="6"/>
  <c r="BD49" i="6"/>
  <c r="BC49" i="6"/>
  <c r="BB49" i="6"/>
  <c r="BA49" i="6"/>
  <c r="AZ49" i="6"/>
  <c r="AY49" i="6"/>
  <c r="AX49" i="6"/>
  <c r="AW49" i="6"/>
  <c r="AV49" i="6"/>
  <c r="AU49" i="6"/>
  <c r="AT49" i="6"/>
  <c r="AS49" i="6"/>
  <c r="AR49" i="6"/>
  <c r="AQ49" i="6"/>
  <c r="AP49" i="6"/>
  <c r="AO49" i="6"/>
  <c r="AN49" i="6"/>
  <c r="AM49" i="6"/>
  <c r="AL49" i="6"/>
  <c r="AK49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Q48" i="6"/>
  <c r="K48" i="6"/>
  <c r="Y47" i="6"/>
  <c r="W47" i="6"/>
  <c r="S47" i="6"/>
  <c r="BY47" i="6" s="1"/>
  <c r="P46" i="6"/>
  <c r="K46" i="6"/>
  <c r="I46" i="6"/>
  <c r="H46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F89" i="11" s="1"/>
  <c r="Q45" i="6"/>
  <c r="P45" i="6"/>
  <c r="O45" i="6"/>
  <c r="N45" i="6"/>
  <c r="M45" i="6"/>
  <c r="L45" i="6"/>
  <c r="K45" i="6"/>
  <c r="J45" i="6"/>
  <c r="H45" i="6"/>
  <c r="AF44" i="6"/>
  <c r="R44" i="6"/>
  <c r="J44" i="6"/>
  <c r="H44" i="6"/>
  <c r="BY44" i="6" s="1"/>
  <c r="Q43" i="6"/>
  <c r="P43" i="6"/>
  <c r="O43" i="6"/>
  <c r="N43" i="6"/>
  <c r="M43" i="6"/>
  <c r="L43" i="6"/>
  <c r="K43" i="6"/>
  <c r="I43" i="6"/>
  <c r="H43" i="6"/>
  <c r="Q42" i="6"/>
  <c r="P42" i="6"/>
  <c r="O42" i="6"/>
  <c r="N42" i="6"/>
  <c r="M42" i="6"/>
  <c r="L42" i="6"/>
  <c r="K42" i="6"/>
  <c r="J42" i="6"/>
  <c r="I42" i="6"/>
  <c r="H42" i="6"/>
  <c r="Y41" i="6"/>
  <c r="X41" i="6"/>
  <c r="W41" i="6"/>
  <c r="V41" i="6"/>
  <c r="U41" i="6"/>
  <c r="T41" i="6"/>
  <c r="S41" i="6"/>
  <c r="BY41" i="6" s="1"/>
  <c r="BY40" i="6"/>
  <c r="Y39" i="6"/>
  <c r="X39" i="6"/>
  <c r="W39" i="6"/>
  <c r="V39" i="6"/>
  <c r="U39" i="6"/>
  <c r="T39" i="6"/>
  <c r="S39" i="6"/>
  <c r="R39" i="6"/>
  <c r="BY39" i="6" s="1"/>
  <c r="P38" i="6"/>
  <c r="O38" i="6"/>
  <c r="M38" i="6"/>
  <c r="L38" i="6"/>
  <c r="J38" i="6"/>
  <c r="I38" i="6"/>
  <c r="BX37" i="6"/>
  <c r="BW37" i="6"/>
  <c r="BV37" i="6"/>
  <c r="BU37" i="6"/>
  <c r="BT37" i="6"/>
  <c r="BS37" i="6"/>
  <c r="BR37" i="6"/>
  <c r="BQ37" i="6"/>
  <c r="BP37" i="6"/>
  <c r="BO37" i="6"/>
  <c r="BN37" i="6"/>
  <c r="BM37" i="6"/>
  <c r="BL37" i="6"/>
  <c r="BK37" i="6"/>
  <c r="BJ37" i="6"/>
  <c r="BI37" i="6"/>
  <c r="BH37" i="6"/>
  <c r="BG37" i="6"/>
  <c r="BF37" i="6"/>
  <c r="BE37" i="6"/>
  <c r="BD37" i="6"/>
  <c r="BC37" i="6"/>
  <c r="BB37" i="6"/>
  <c r="BA37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BY36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U32" i="6"/>
  <c r="I32" i="6"/>
  <c r="Y31" i="6"/>
  <c r="X31" i="6"/>
  <c r="W31" i="6"/>
  <c r="V31" i="6"/>
  <c r="U31" i="6"/>
  <c r="T31" i="6"/>
  <c r="P31" i="6"/>
  <c r="O31" i="6"/>
  <c r="N31" i="6"/>
  <c r="H31" i="6"/>
  <c r="BY31" i="6" s="1"/>
  <c r="W30" i="6"/>
  <c r="V30" i="6"/>
  <c r="U30" i="6"/>
  <c r="BY30" i="6" s="1"/>
  <c r="BY29" i="6"/>
  <c r="BY28" i="6"/>
  <c r="CG27" i="6"/>
  <c r="R27" i="6"/>
  <c r="P27" i="6"/>
  <c r="O27" i="6"/>
  <c r="N27" i="6"/>
  <c r="M27" i="6"/>
  <c r="L27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T26" i="6"/>
  <c r="S26" i="6"/>
  <c r="R26" i="6"/>
  <c r="P26" i="6"/>
  <c r="O26" i="6"/>
  <c r="N26" i="6"/>
  <c r="M26" i="6"/>
  <c r="L26" i="6"/>
  <c r="K26" i="6"/>
  <c r="J26" i="6"/>
  <c r="I26" i="6"/>
  <c r="H26" i="6"/>
  <c r="G26" i="6"/>
  <c r="F26" i="6"/>
  <c r="E26" i="6"/>
  <c r="T25" i="6"/>
  <c r="BY25" i="6" s="1"/>
  <c r="CG24" i="6"/>
  <c r="T24" i="6"/>
  <c r="R24" i="6"/>
  <c r="R147" i="6" s="1"/>
  <c r="R152" i="6" s="1"/>
  <c r="Q24" i="6"/>
  <c r="Q147" i="6" s="1"/>
  <c r="Q152" i="6" s="1"/>
  <c r="L24" i="6"/>
  <c r="L147" i="6" s="1"/>
  <c r="L152" i="6" s="1"/>
  <c r="I24" i="6"/>
  <c r="BY24" i="6" s="1"/>
  <c r="BY23" i="6"/>
  <c r="BX23" i="6"/>
  <c r="BW23" i="6"/>
  <c r="BV23" i="6"/>
  <c r="BU23" i="6"/>
  <c r="BT23" i="6"/>
  <c r="BS23" i="6"/>
  <c r="BR23" i="6"/>
  <c r="BQ23" i="6"/>
  <c r="BP23" i="6"/>
  <c r="BO23" i="6"/>
  <c r="BN23" i="6"/>
  <c r="BM23" i="6"/>
  <c r="BL23" i="6"/>
  <c r="BK23" i="6"/>
  <c r="BJ23" i="6"/>
  <c r="BI23" i="6"/>
  <c r="BH23" i="6"/>
  <c r="BG23" i="6"/>
  <c r="BF23" i="6"/>
  <c r="BE23" i="6"/>
  <c r="BD23" i="6"/>
  <c r="BC23" i="6"/>
  <c r="BB23" i="6"/>
  <c r="BA23" i="6"/>
  <c r="AZ23" i="6"/>
  <c r="AY23" i="6"/>
  <c r="AX23" i="6"/>
  <c r="AW23" i="6"/>
  <c r="AV23" i="6"/>
  <c r="AU23" i="6"/>
  <c r="AT23" i="6"/>
  <c r="AS23" i="6"/>
  <c r="AR23" i="6"/>
  <c r="AQ23" i="6"/>
  <c r="AP23" i="6"/>
  <c r="AO23" i="6"/>
  <c r="AN23" i="6"/>
  <c r="AM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BY22" i="6"/>
  <c r="BY21" i="6"/>
  <c r="BY20" i="6"/>
  <c r="BY19" i="6"/>
  <c r="J18" i="6"/>
  <c r="H18" i="6"/>
  <c r="BY18" i="6" s="1"/>
  <c r="BY17" i="6"/>
  <c r="BX17" i="6"/>
  <c r="BX98" i="6" s="1"/>
  <c r="BW17" i="6"/>
  <c r="BW98" i="6" s="1"/>
  <c r="BV17" i="6"/>
  <c r="BV98" i="6" s="1"/>
  <c r="BU17" i="6"/>
  <c r="BU98" i="6" s="1"/>
  <c r="BT17" i="6"/>
  <c r="BT98" i="6" s="1"/>
  <c r="BS17" i="6"/>
  <c r="BS98" i="6" s="1"/>
  <c r="BR17" i="6"/>
  <c r="BR98" i="6" s="1"/>
  <c r="BQ17" i="6"/>
  <c r="BQ98" i="6" s="1"/>
  <c r="BP17" i="6"/>
  <c r="BP98" i="6" s="1"/>
  <c r="BO17" i="6"/>
  <c r="BO98" i="6" s="1"/>
  <c r="BN17" i="6"/>
  <c r="BN98" i="6" s="1"/>
  <c r="BM17" i="6"/>
  <c r="BM98" i="6" s="1"/>
  <c r="BL17" i="6"/>
  <c r="BL98" i="6" s="1"/>
  <c r="BK17" i="6"/>
  <c r="BK98" i="6" s="1"/>
  <c r="BJ17" i="6"/>
  <c r="BJ98" i="6" s="1"/>
  <c r="BI17" i="6"/>
  <c r="BI98" i="6" s="1"/>
  <c r="BH17" i="6"/>
  <c r="BH98" i="6" s="1"/>
  <c r="BG17" i="6"/>
  <c r="BG98" i="6" s="1"/>
  <c r="BF17" i="6"/>
  <c r="BF98" i="6" s="1"/>
  <c r="BE17" i="6"/>
  <c r="BE98" i="6" s="1"/>
  <c r="BD17" i="6"/>
  <c r="BD98" i="6" s="1"/>
  <c r="BC17" i="6"/>
  <c r="BC98" i="6" s="1"/>
  <c r="BB17" i="6"/>
  <c r="BB98" i="6" s="1"/>
  <c r="BA17" i="6"/>
  <c r="BA98" i="6" s="1"/>
  <c r="AZ17" i="6"/>
  <c r="AZ98" i="6" s="1"/>
  <c r="AY17" i="6"/>
  <c r="AY98" i="6" s="1"/>
  <c r="AX17" i="6"/>
  <c r="AX98" i="6" s="1"/>
  <c r="AW17" i="6"/>
  <c r="AW98" i="6" s="1"/>
  <c r="AV17" i="6"/>
  <c r="AV98" i="6" s="1"/>
  <c r="AU17" i="6"/>
  <c r="AU98" i="6" s="1"/>
  <c r="AT17" i="6"/>
  <c r="AT98" i="6" s="1"/>
  <c r="AS17" i="6"/>
  <c r="AS98" i="6" s="1"/>
  <c r="AR17" i="6"/>
  <c r="AR98" i="6" s="1"/>
  <c r="AQ17" i="6"/>
  <c r="AQ98" i="6" s="1"/>
  <c r="AP17" i="6"/>
  <c r="AP98" i="6" s="1"/>
  <c r="AO17" i="6"/>
  <c r="AO98" i="6" s="1"/>
  <c r="AN17" i="6"/>
  <c r="AN98" i="6" s="1"/>
  <c r="AM17" i="6"/>
  <c r="AM98" i="6" s="1"/>
  <c r="AL17" i="6"/>
  <c r="AL98" i="6" s="1"/>
  <c r="AK17" i="6"/>
  <c r="AK98" i="6" s="1"/>
  <c r="AJ17" i="6"/>
  <c r="AJ98" i="6" s="1"/>
  <c r="AI17" i="6"/>
  <c r="AI98" i="6" s="1"/>
  <c r="AH17" i="6"/>
  <c r="AH98" i="6" s="1"/>
  <c r="AG17" i="6"/>
  <c r="AG98" i="6" s="1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P98" i="6" s="1"/>
  <c r="O17" i="6"/>
  <c r="O98" i="6" s="1"/>
  <c r="N17" i="6"/>
  <c r="N98" i="6" s="1"/>
  <c r="M17" i="6"/>
  <c r="M98" i="6" s="1"/>
  <c r="L17" i="6"/>
  <c r="L98" i="6" s="1"/>
  <c r="K17" i="6"/>
  <c r="K98" i="6" s="1"/>
  <c r="J17" i="6"/>
  <c r="J98" i="6" s="1"/>
  <c r="I17" i="6"/>
  <c r="I98" i="6" s="1"/>
  <c r="H17" i="6"/>
  <c r="H98" i="6" s="1"/>
  <c r="H99" i="6" s="1"/>
  <c r="I99" i="6" s="1"/>
  <c r="J99" i="6" s="1"/>
  <c r="K99" i="6" s="1"/>
  <c r="L99" i="6" s="1"/>
  <c r="M99" i="6" s="1"/>
  <c r="N99" i="6" s="1"/>
  <c r="O99" i="6" s="1"/>
  <c r="P99" i="6" s="1"/>
  <c r="G17" i="6"/>
  <c r="G98" i="6" s="1"/>
  <c r="F17" i="6"/>
  <c r="F98" i="6" s="1"/>
  <c r="E17" i="6"/>
  <c r="E98" i="6" s="1"/>
  <c r="CB16" i="6"/>
  <c r="BX16" i="6"/>
  <c r="BX100" i="6" s="1"/>
  <c r="BW16" i="6"/>
  <c r="BW100" i="6" s="1"/>
  <c r="BV16" i="6"/>
  <c r="BV100" i="6" s="1"/>
  <c r="BU16" i="6"/>
  <c r="BU100" i="6" s="1"/>
  <c r="BT16" i="6"/>
  <c r="BT100" i="6" s="1"/>
  <c r="BS16" i="6"/>
  <c r="BS100" i="6" s="1"/>
  <c r="BR16" i="6"/>
  <c r="BR100" i="6" s="1"/>
  <c r="BQ16" i="6"/>
  <c r="BQ100" i="6" s="1"/>
  <c r="BP16" i="6"/>
  <c r="BP100" i="6" s="1"/>
  <c r="BO16" i="6"/>
  <c r="BO100" i="6" s="1"/>
  <c r="BN16" i="6"/>
  <c r="BN100" i="6" s="1"/>
  <c r="BM16" i="6"/>
  <c r="BM100" i="6" s="1"/>
  <c r="BL16" i="6"/>
  <c r="BL100" i="6" s="1"/>
  <c r="BK16" i="6"/>
  <c r="BK100" i="6" s="1"/>
  <c r="BJ16" i="6"/>
  <c r="BJ100" i="6" s="1"/>
  <c r="BI16" i="6"/>
  <c r="BI100" i="6" s="1"/>
  <c r="BH16" i="6"/>
  <c r="BH100" i="6" s="1"/>
  <c r="BG16" i="6"/>
  <c r="BG100" i="6" s="1"/>
  <c r="BF16" i="6"/>
  <c r="BF100" i="6" s="1"/>
  <c r="BE16" i="6"/>
  <c r="BE100" i="6" s="1"/>
  <c r="BD16" i="6"/>
  <c r="BD100" i="6" s="1"/>
  <c r="BC16" i="6"/>
  <c r="BC100" i="6" s="1"/>
  <c r="BB16" i="6"/>
  <c r="BB100" i="6" s="1"/>
  <c r="BA16" i="6"/>
  <c r="BA100" i="6" s="1"/>
  <c r="AZ16" i="6"/>
  <c r="AZ100" i="6" s="1"/>
  <c r="AY16" i="6"/>
  <c r="AY100" i="6" s="1"/>
  <c r="AX16" i="6"/>
  <c r="AX100" i="6" s="1"/>
  <c r="AW16" i="6"/>
  <c r="AW100" i="6" s="1"/>
  <c r="AV16" i="6"/>
  <c r="AV100" i="6" s="1"/>
  <c r="AU16" i="6"/>
  <c r="AU100" i="6" s="1"/>
  <c r="AT16" i="6"/>
  <c r="AT100" i="6" s="1"/>
  <c r="AS16" i="6"/>
  <c r="AS100" i="6" s="1"/>
  <c r="AR16" i="6"/>
  <c r="AR100" i="6" s="1"/>
  <c r="AQ16" i="6"/>
  <c r="AQ100" i="6" s="1"/>
  <c r="AP16" i="6"/>
  <c r="AP100" i="6" s="1"/>
  <c r="AO16" i="6"/>
  <c r="AO100" i="6" s="1"/>
  <c r="AN16" i="6"/>
  <c r="AN100" i="6" s="1"/>
  <c r="AM16" i="6"/>
  <c r="AM100" i="6" s="1"/>
  <c r="AL16" i="6"/>
  <c r="AL100" i="6" s="1"/>
  <c r="AK16" i="6"/>
  <c r="AK100" i="6" s="1"/>
  <c r="AJ16" i="6"/>
  <c r="AJ100" i="6" s="1"/>
  <c r="AI16" i="6"/>
  <c r="AI100" i="6" s="1"/>
  <c r="AH16" i="6"/>
  <c r="AH100" i="6" s="1"/>
  <c r="AG16" i="6"/>
  <c r="AG100" i="6" s="1"/>
  <c r="J16" i="6"/>
  <c r="J100" i="6" s="1"/>
  <c r="I16" i="6"/>
  <c r="I100" i="6" s="1"/>
  <c r="G16" i="6"/>
  <c r="G100" i="6" s="1"/>
  <c r="F16" i="6"/>
  <c r="F100" i="6" s="1"/>
  <c r="E16" i="6"/>
  <c r="E100" i="6" s="1"/>
  <c r="E101" i="6" s="1"/>
  <c r="Q15" i="6"/>
  <c r="P15" i="6"/>
  <c r="S14" i="6"/>
  <c r="R14" i="6"/>
  <c r="Q14" i="6"/>
  <c r="P14" i="6"/>
  <c r="O14" i="6"/>
  <c r="M14" i="6"/>
  <c r="K14" i="6"/>
  <c r="Q11" i="6"/>
  <c r="Q16" i="6" s="1"/>
  <c r="P11" i="6"/>
  <c r="P16" i="6" s="1"/>
  <c r="P100" i="6" s="1"/>
  <c r="O11" i="6"/>
  <c r="N11" i="6"/>
  <c r="N16" i="6" s="1"/>
  <c r="N100" i="6" s="1"/>
  <c r="M11" i="6"/>
  <c r="BY11" i="6" s="1"/>
  <c r="X10" i="6"/>
  <c r="W9" i="6"/>
  <c r="V9" i="6"/>
  <c r="U9" i="6"/>
  <c r="BY8" i="6"/>
  <c r="BY7" i="6"/>
  <c r="O6" i="6"/>
  <c r="M6" i="6"/>
  <c r="L6" i="6"/>
  <c r="H5" i="6"/>
  <c r="C127" i="5"/>
  <c r="F113" i="5"/>
  <c r="F102" i="5"/>
  <c r="B102" i="5"/>
  <c r="F101" i="5"/>
  <c r="B101" i="5"/>
  <c r="F100" i="5"/>
  <c r="B99" i="5"/>
  <c r="F89" i="5"/>
  <c r="F88" i="5"/>
  <c r="F79" i="5"/>
  <c r="F71" i="5"/>
  <c r="B71" i="5"/>
  <c r="B70" i="5"/>
  <c r="F69" i="5"/>
  <c r="B69" i="5"/>
  <c r="F68" i="5"/>
  <c r="B68" i="5"/>
  <c r="B67" i="5"/>
  <c r="B66" i="5"/>
  <c r="B65" i="5"/>
  <c r="B63" i="5"/>
  <c r="B62" i="5"/>
  <c r="F59" i="5"/>
  <c r="F58" i="5"/>
  <c r="B58" i="5"/>
  <c r="B57" i="5"/>
  <c r="B55" i="5"/>
  <c r="B50" i="5"/>
  <c r="R49" i="5"/>
  <c r="R50" i="5" s="1"/>
  <c r="R51" i="5" s="1"/>
  <c r="R52" i="5" s="1"/>
  <c r="B49" i="5"/>
  <c r="B47" i="5"/>
  <c r="F42" i="5"/>
  <c r="B41" i="5"/>
  <c r="F39" i="5"/>
  <c r="R38" i="5"/>
  <c r="B38" i="5"/>
  <c r="B37" i="5"/>
  <c r="F36" i="5"/>
  <c r="AA16" i="28" s="1"/>
  <c r="F35" i="5"/>
  <c r="B35" i="5"/>
  <c r="B29" i="5"/>
  <c r="B27" i="5"/>
  <c r="J22" i="5"/>
  <c r="J23" i="5" s="1"/>
  <c r="B22" i="5"/>
  <c r="F19" i="5"/>
  <c r="C23" i="5" s="1"/>
  <c r="B19" i="5"/>
  <c r="B17" i="5"/>
  <c r="Q39" i="5" s="1"/>
  <c r="M16" i="5"/>
  <c r="K16" i="5"/>
  <c r="J16" i="5"/>
  <c r="I16" i="5"/>
  <c r="M15" i="5"/>
  <c r="K15" i="5"/>
  <c r="J15" i="5"/>
  <c r="I15" i="5"/>
  <c r="R14" i="5"/>
  <c r="K14" i="5"/>
  <c r="J14" i="5"/>
  <c r="I14" i="5"/>
  <c r="K13" i="5"/>
  <c r="J13" i="5"/>
  <c r="I13" i="5"/>
  <c r="B13" i="5"/>
  <c r="K12" i="5"/>
  <c r="J12" i="5"/>
  <c r="I12" i="5"/>
  <c r="B12" i="5"/>
  <c r="K11" i="5"/>
  <c r="J11" i="5"/>
  <c r="F31" i="5" s="1"/>
  <c r="I11" i="5"/>
  <c r="B11" i="5"/>
  <c r="M10" i="5"/>
  <c r="K10" i="5"/>
  <c r="J10" i="5"/>
  <c r="I10" i="5"/>
  <c r="F10" i="5"/>
  <c r="B10" i="5"/>
  <c r="M9" i="5"/>
  <c r="L9" i="5"/>
  <c r="K9" i="5"/>
  <c r="J9" i="5"/>
  <c r="I9" i="5"/>
  <c r="F9" i="5"/>
  <c r="H120" i="28" s="1"/>
  <c r="D128" i="28" s="1"/>
  <c r="M8" i="5"/>
  <c r="K8" i="5"/>
  <c r="J8" i="5"/>
  <c r="I8" i="5"/>
  <c r="B8" i="5"/>
  <c r="Q36" i="5" s="1"/>
  <c r="E10" i="3"/>
  <c r="D10" i="3"/>
  <c r="B10" i="3"/>
  <c r="C10" i="3" s="1"/>
  <c r="A10" i="3"/>
  <c r="E9" i="3"/>
  <c r="D9" i="3"/>
  <c r="B9" i="3"/>
  <c r="C9" i="3" s="1"/>
  <c r="A9" i="3"/>
  <c r="E8" i="3"/>
  <c r="D8" i="3"/>
  <c r="B8" i="3"/>
  <c r="C8" i="3" s="1"/>
  <c r="A8" i="3"/>
  <c r="D7" i="3"/>
  <c r="B7" i="3"/>
  <c r="A7" i="3"/>
  <c r="D6" i="3"/>
  <c r="B6" i="3"/>
  <c r="A6" i="3"/>
  <c r="D5" i="3"/>
  <c r="B5" i="3"/>
  <c r="A5" i="3"/>
  <c r="E4" i="3"/>
  <c r="D4" i="3"/>
  <c r="B4" i="3"/>
  <c r="C4" i="3" s="1"/>
  <c r="A4" i="3"/>
  <c r="E3" i="3"/>
  <c r="D3" i="3"/>
  <c r="B3" i="3"/>
  <c r="A3" i="3"/>
  <c r="D2" i="3"/>
  <c r="G1" i="3"/>
  <c r="B1" i="3"/>
  <c r="B10" i="2"/>
  <c r="B9" i="2"/>
  <c r="B8" i="2"/>
  <c r="B7" i="2"/>
  <c r="F6" i="2"/>
  <c r="E7" i="3" s="1"/>
  <c r="B6" i="2"/>
  <c r="F5" i="2"/>
  <c r="E6" i="3" s="1"/>
  <c r="B5" i="2"/>
  <c r="F4" i="2"/>
  <c r="E5" i="3" s="1"/>
  <c r="B4" i="2"/>
  <c r="B2" i="2"/>
  <c r="M56" i="1"/>
  <c r="N56" i="1" s="1"/>
  <c r="I56" i="1"/>
  <c r="J56" i="1" s="1"/>
  <c r="L55" i="1"/>
  <c r="M55" i="1" s="1"/>
  <c r="N55" i="1" s="1"/>
  <c r="I55" i="1"/>
  <c r="J55" i="1" s="1"/>
  <c r="L54" i="1"/>
  <c r="M54" i="1" s="1"/>
  <c r="N54" i="1" s="1"/>
  <c r="I54" i="1"/>
  <c r="J54" i="1" s="1"/>
  <c r="M53" i="1"/>
  <c r="N53" i="1" s="1"/>
  <c r="I53" i="1"/>
  <c r="J53" i="1" s="1"/>
  <c r="Q40" i="1"/>
  <c r="Q43" i="1" s="1"/>
  <c r="P40" i="1"/>
  <c r="P43" i="1" s="1"/>
  <c r="O40" i="1"/>
  <c r="O43" i="1" s="1"/>
  <c r="N40" i="1"/>
  <c r="N43" i="1" s="1"/>
  <c r="M40" i="1"/>
  <c r="M43" i="1" s="1"/>
  <c r="I36" i="1"/>
  <c r="I35" i="1"/>
  <c r="I34" i="1"/>
  <c r="I33" i="1"/>
  <c r="I32" i="1"/>
  <c r="I31" i="1"/>
  <c r="I30" i="1"/>
  <c r="M27" i="1"/>
  <c r="I37" i="1"/>
  <c r="L26" i="1"/>
  <c r="E17" i="1"/>
  <c r="M11" i="1"/>
  <c r="N11" i="1" s="1"/>
  <c r="I11" i="1"/>
  <c r="J11" i="1" s="1"/>
  <c r="M10" i="1"/>
  <c r="N10" i="1" s="1"/>
  <c r="I10" i="1"/>
  <c r="M9" i="1"/>
  <c r="N9" i="1" s="1"/>
  <c r="J9" i="1"/>
  <c r="I9" i="1"/>
  <c r="L8" i="1"/>
  <c r="I8" i="1"/>
  <c r="L7" i="1"/>
  <c r="I7" i="1"/>
  <c r="L6" i="1"/>
  <c r="I6" i="1"/>
  <c r="L5" i="1"/>
  <c r="M5" i="1" s="1"/>
  <c r="I5" i="1"/>
  <c r="N4" i="1"/>
  <c r="I4" i="1"/>
  <c r="J4" i="1" s="1"/>
  <c r="M3" i="1"/>
  <c r="N3" i="1" s="1"/>
  <c r="J3" i="1"/>
  <c r="M2" i="1"/>
  <c r="I2" i="1"/>
  <c r="R23" i="7" l="1"/>
  <c r="E15" i="9"/>
  <c r="AH98" i="7"/>
  <c r="AX98" i="7"/>
  <c r="BF110" i="7"/>
  <c r="AO141" i="7"/>
  <c r="BM141" i="7"/>
  <c r="Q16" i="7"/>
  <c r="F98" i="7"/>
  <c r="N98" i="7"/>
  <c r="AL98" i="7"/>
  <c r="AT98" i="7"/>
  <c r="BB98" i="7"/>
  <c r="BJ98" i="7"/>
  <c r="BR98" i="7"/>
  <c r="BY18" i="7"/>
  <c r="BY17" i="7" s="1"/>
  <c r="BY31" i="7"/>
  <c r="AF34" i="7"/>
  <c r="BY44" i="7"/>
  <c r="G110" i="7"/>
  <c r="BQ110" i="7"/>
  <c r="J124" i="7"/>
  <c r="W124" i="7"/>
  <c r="AO124" i="7"/>
  <c r="AW124" i="7"/>
  <c r="BE124" i="7"/>
  <c r="BM124" i="7"/>
  <c r="BU124" i="7"/>
  <c r="H141" i="7"/>
  <c r="AK141" i="7"/>
  <c r="AK142" i="7" s="1"/>
  <c r="AS141" i="7"/>
  <c r="BA141" i="7"/>
  <c r="BI141" i="7"/>
  <c r="BQ141" i="7"/>
  <c r="E157" i="7"/>
  <c r="E158" i="7" s="1"/>
  <c r="P157" i="7"/>
  <c r="AC157" i="7"/>
  <c r="AP157" i="7"/>
  <c r="AX157" i="7"/>
  <c r="BF157" i="7"/>
  <c r="BN157" i="7"/>
  <c r="BV157" i="7"/>
  <c r="F173" i="7"/>
  <c r="N173" i="7"/>
  <c r="V173" i="7"/>
  <c r="AE173" i="7"/>
  <c r="AR173" i="7"/>
  <c r="AZ173" i="7"/>
  <c r="BH173" i="7"/>
  <c r="BP173" i="7"/>
  <c r="AC189" i="7"/>
  <c r="AP189" i="7"/>
  <c r="AX189" i="7"/>
  <c r="BF189" i="7"/>
  <c r="BN189" i="7"/>
  <c r="BV189" i="7"/>
  <c r="T16" i="9"/>
  <c r="U18" i="9"/>
  <c r="AD157" i="7"/>
  <c r="AQ157" i="7"/>
  <c r="AY157" i="7"/>
  <c r="BG157" i="7"/>
  <c r="BO157" i="7"/>
  <c r="BW157" i="7"/>
  <c r="T17" i="9"/>
  <c r="U19" i="9"/>
  <c r="P98" i="7"/>
  <c r="AM141" i="7"/>
  <c r="AU141" i="7"/>
  <c r="BC141" i="7"/>
  <c r="BK141" i="7"/>
  <c r="BS141" i="7"/>
  <c r="V157" i="7"/>
  <c r="AE157" i="7"/>
  <c r="AR157" i="7"/>
  <c r="AZ157" i="7"/>
  <c r="BH157" i="7"/>
  <c r="BP157" i="7"/>
  <c r="H173" i="7"/>
  <c r="P173" i="7"/>
  <c r="X173" i="7"/>
  <c r="AL173" i="7"/>
  <c r="AL174" i="7" s="1"/>
  <c r="AM174" i="7" s="1"/>
  <c r="AN174" i="7" s="1"/>
  <c r="AO174" i="7" s="1"/>
  <c r="AP174" i="7" s="1"/>
  <c r="AQ174" i="7" s="1"/>
  <c r="AR174" i="7" s="1"/>
  <c r="AS174" i="7" s="1"/>
  <c r="AT174" i="7" s="1"/>
  <c r="AU174" i="7" s="1"/>
  <c r="AV174" i="7" s="1"/>
  <c r="AW174" i="7" s="1"/>
  <c r="AX174" i="7" s="1"/>
  <c r="AY174" i="7" s="1"/>
  <c r="AZ174" i="7" s="1"/>
  <c r="BA174" i="7" s="1"/>
  <c r="BB174" i="7" s="1"/>
  <c r="BC174" i="7" s="1"/>
  <c r="BD174" i="7" s="1"/>
  <c r="BE174" i="7" s="1"/>
  <c r="BF174" i="7" s="1"/>
  <c r="BG174" i="7" s="1"/>
  <c r="BH174" i="7" s="1"/>
  <c r="BI174" i="7" s="1"/>
  <c r="BJ174" i="7" s="1"/>
  <c r="BK174" i="7" s="1"/>
  <c r="BL174" i="7" s="1"/>
  <c r="BM174" i="7" s="1"/>
  <c r="BN174" i="7" s="1"/>
  <c r="BO174" i="7" s="1"/>
  <c r="BP174" i="7" s="1"/>
  <c r="BQ174" i="7" s="1"/>
  <c r="BR174" i="7" s="1"/>
  <c r="BS174" i="7" s="1"/>
  <c r="BT174" i="7" s="1"/>
  <c r="BU174" i="7" s="1"/>
  <c r="BV174" i="7" s="1"/>
  <c r="BW174" i="7" s="1"/>
  <c r="AT173" i="7"/>
  <c r="BB173" i="7"/>
  <c r="BJ173" i="7"/>
  <c r="BR173" i="7"/>
  <c r="V189" i="7"/>
  <c r="AE189" i="7"/>
  <c r="AR189" i="7"/>
  <c r="AZ189" i="7"/>
  <c r="BH189" i="7"/>
  <c r="BP189" i="7"/>
  <c r="S16" i="9"/>
  <c r="T18" i="9"/>
  <c r="U20" i="9"/>
  <c r="H98" i="7"/>
  <c r="H99" i="7" s="1"/>
  <c r="S17" i="9"/>
  <c r="T19" i="9"/>
  <c r="AP98" i="7"/>
  <c r="S18" i="9"/>
  <c r="T20" i="9"/>
  <c r="AG97" i="7"/>
  <c r="BY45" i="7"/>
  <c r="BN98" i="7"/>
  <c r="N141" i="7"/>
  <c r="BU141" i="7"/>
  <c r="BI110" i="7"/>
  <c r="S124" i="7"/>
  <c r="AC124" i="7"/>
  <c r="AL124" i="7"/>
  <c r="AT124" i="7"/>
  <c r="BB124" i="7"/>
  <c r="BJ124" i="7"/>
  <c r="BR124" i="7"/>
  <c r="P141" i="7"/>
  <c r="AP141" i="7"/>
  <c r="AX141" i="7"/>
  <c r="BF141" i="7"/>
  <c r="BN141" i="7"/>
  <c r="BV141" i="7"/>
  <c r="M157" i="7"/>
  <c r="F189" i="7"/>
  <c r="S19" i="9"/>
  <c r="AF98" i="7"/>
  <c r="BF98" i="7"/>
  <c r="AW141" i="7"/>
  <c r="L98" i="7"/>
  <c r="T98" i="7"/>
  <c r="AJ98" i="7"/>
  <c r="AR98" i="7"/>
  <c r="AZ98" i="7"/>
  <c r="AZ100" i="7" s="1"/>
  <c r="BH98" i="7"/>
  <c r="BH100" i="7" s="1"/>
  <c r="BP98" i="7"/>
  <c r="BP100" i="7" s="1"/>
  <c r="BX98" i="7"/>
  <c r="BX100" i="7" s="1"/>
  <c r="U23" i="7"/>
  <c r="BY24" i="7"/>
  <c r="BY38" i="7"/>
  <c r="BY54" i="7"/>
  <c r="W110" i="7"/>
  <c r="AP110" i="7"/>
  <c r="T124" i="7"/>
  <c r="AM124" i="7"/>
  <c r="AU124" i="7"/>
  <c r="BC124" i="7"/>
  <c r="BK124" i="7"/>
  <c r="BS124" i="7"/>
  <c r="F141" i="7"/>
  <c r="Q141" i="7"/>
  <c r="N157" i="7"/>
  <c r="S20" i="9"/>
  <c r="U16" i="9"/>
  <c r="BV98" i="7"/>
  <c r="AA124" i="7"/>
  <c r="BE141" i="7"/>
  <c r="P16" i="7"/>
  <c r="P100" i="7" s="1"/>
  <c r="E98" i="7"/>
  <c r="E100" i="7" s="1"/>
  <c r="E101" i="7" s="1"/>
  <c r="F101" i="7" s="1"/>
  <c r="M98" i="7"/>
  <c r="AK98" i="7"/>
  <c r="AS98" i="7"/>
  <c r="BA98" i="7"/>
  <c r="BI98" i="7"/>
  <c r="BI100" i="7" s="1"/>
  <c r="BQ98" i="7"/>
  <c r="L157" i="7"/>
  <c r="BY62" i="7"/>
  <c r="Y110" i="7"/>
  <c r="AS110" i="7"/>
  <c r="BN110" i="7"/>
  <c r="U124" i="7"/>
  <c r="AF124" i="7"/>
  <c r="AN124" i="7"/>
  <c r="AV124" i="7"/>
  <c r="BD124" i="7"/>
  <c r="BL124" i="7"/>
  <c r="BT124" i="7"/>
  <c r="G141" i="7"/>
  <c r="AB157" i="7"/>
  <c r="AB158" i="7" s="1"/>
  <c r="AO157" i="7"/>
  <c r="AW157" i="7"/>
  <c r="BE157" i="7"/>
  <c r="BM157" i="7"/>
  <c r="BU157" i="7"/>
  <c r="E173" i="7"/>
  <c r="M173" i="7"/>
  <c r="U173" i="7"/>
  <c r="AD173" i="7"/>
  <c r="AQ173" i="7"/>
  <c r="AY173" i="7"/>
  <c r="BG173" i="7"/>
  <c r="BO173" i="7"/>
  <c r="BW173" i="7"/>
  <c r="AB189" i="7"/>
  <c r="AB190" i="7" s="1"/>
  <c r="AC190" i="7" s="1"/>
  <c r="AD190" i="7" s="1"/>
  <c r="AE190" i="7" s="1"/>
  <c r="AO189" i="7"/>
  <c r="AW189" i="7"/>
  <c r="BE189" i="7"/>
  <c r="BM189" i="7"/>
  <c r="BU189" i="7"/>
  <c r="V96" i="12"/>
  <c r="AD96" i="12"/>
  <c r="AD97" i="12" s="1"/>
  <c r="AL96" i="12"/>
  <c r="AL97" i="12" s="1"/>
  <c r="AT96" i="12"/>
  <c r="AT97" i="12" s="1"/>
  <c r="BB96" i="12"/>
  <c r="BJ96" i="12"/>
  <c r="BR96" i="12"/>
  <c r="BR97" i="12" s="1"/>
  <c r="V97" i="12"/>
  <c r="BB97" i="12"/>
  <c r="BJ97" i="12"/>
  <c r="AE120" i="7"/>
  <c r="N10" i="11"/>
  <c r="N10" i="5"/>
  <c r="O4" i="1"/>
  <c r="O17" i="1" s="1"/>
  <c r="K4" i="1"/>
  <c r="P4" i="1" s="1"/>
  <c r="Q17" i="1"/>
  <c r="P17" i="1"/>
  <c r="U76" i="1"/>
  <c r="U77" i="1" s="1"/>
  <c r="BY23" i="7"/>
  <c r="AM98" i="7"/>
  <c r="AM100" i="7" s="1"/>
  <c r="AU98" i="7"/>
  <c r="AU100" i="7" s="1"/>
  <c r="BC98" i="7"/>
  <c r="BC100" i="7" s="1"/>
  <c r="BK98" i="7"/>
  <c r="BK100" i="7" s="1"/>
  <c r="BS98" i="7"/>
  <c r="BS100" i="7" s="1"/>
  <c r="AO98" i="7"/>
  <c r="AO100" i="7" s="1"/>
  <c r="AW98" i="7"/>
  <c r="AW100" i="7" s="1"/>
  <c r="BE98" i="7"/>
  <c r="BE100" i="7" s="1"/>
  <c r="BM98" i="7"/>
  <c r="BM100" i="7" s="1"/>
  <c r="BU98" i="7"/>
  <c r="BU100" i="7" s="1"/>
  <c r="F158" i="7"/>
  <c r="G158" i="7" s="1"/>
  <c r="F100" i="7"/>
  <c r="K98" i="7"/>
  <c r="S98" i="7"/>
  <c r="AI98" i="7"/>
  <c r="AI100" i="7" s="1"/>
  <c r="AQ98" i="7"/>
  <c r="AQ100" i="7" s="1"/>
  <c r="AY98" i="7"/>
  <c r="AY100" i="7" s="1"/>
  <c r="BG98" i="7"/>
  <c r="BG100" i="7" s="1"/>
  <c r="BO98" i="7"/>
  <c r="BO100" i="7" s="1"/>
  <c r="BW98" i="7"/>
  <c r="BW100" i="7" s="1"/>
  <c r="AM158" i="7"/>
  <c r="AN158" i="7" s="1"/>
  <c r="AO158" i="7" s="1"/>
  <c r="AP158" i="7" s="1"/>
  <c r="N100" i="7"/>
  <c r="AL100" i="7"/>
  <c r="AT100" i="7"/>
  <c r="BB100" i="7"/>
  <c r="BJ100" i="7"/>
  <c r="BR100" i="7"/>
  <c r="X9" i="7"/>
  <c r="Y55" i="7"/>
  <c r="Z55" i="7"/>
  <c r="T100" i="7"/>
  <c r="AH100" i="7"/>
  <c r="AP100" i="7"/>
  <c r="AX100" i="7"/>
  <c r="BF100" i="7"/>
  <c r="BN100" i="7"/>
  <c r="BV100" i="7"/>
  <c r="I98" i="7"/>
  <c r="K110" i="7"/>
  <c r="X110" i="7"/>
  <c r="AO110" i="7"/>
  <c r="AW110" i="7"/>
  <c r="BE110" i="7"/>
  <c r="BM110" i="7"/>
  <c r="BU110" i="7"/>
  <c r="J98" i="7"/>
  <c r="R98" i="7"/>
  <c r="AJ100" i="7"/>
  <c r="AR100" i="7"/>
  <c r="E110" i="7"/>
  <c r="P110" i="7"/>
  <c r="Z110" i="7"/>
  <c r="AQ110" i="7"/>
  <c r="AY110" i="7"/>
  <c r="BG110" i="7"/>
  <c r="BO110" i="7"/>
  <c r="BW110" i="7"/>
  <c r="I99" i="7"/>
  <c r="J99" i="7" s="1"/>
  <c r="K99" i="7" s="1"/>
  <c r="L99" i="7" s="1"/>
  <c r="M99" i="7" s="1"/>
  <c r="N99" i="7" s="1"/>
  <c r="I100" i="7"/>
  <c r="AK100" i="7"/>
  <c r="AS100" i="7"/>
  <c r="BA100" i="7"/>
  <c r="BQ100" i="7"/>
  <c r="F110" i="7"/>
  <c r="Q110" i="7"/>
  <c r="AA110" i="7"/>
  <c r="AJ110" i="7"/>
  <c r="AR110" i="7"/>
  <c r="AZ110" i="7"/>
  <c r="BH110" i="7"/>
  <c r="BP110" i="7"/>
  <c r="AL190" i="7"/>
  <c r="AM190" i="7" s="1"/>
  <c r="AN190" i="7" s="1"/>
  <c r="AO190" i="7" s="1"/>
  <c r="J100" i="7"/>
  <c r="AL110" i="7"/>
  <c r="AT110" i="7"/>
  <c r="BB110" i="7"/>
  <c r="BJ110" i="7"/>
  <c r="BR110" i="7"/>
  <c r="AD174" i="7"/>
  <c r="AE174" i="7" s="1"/>
  <c r="AN100" i="7"/>
  <c r="AV100" i="7"/>
  <c r="BD100" i="7"/>
  <c r="BL100" i="7"/>
  <c r="BT100" i="7"/>
  <c r="G98" i="7"/>
  <c r="G100" i="7" s="1"/>
  <c r="O98" i="7"/>
  <c r="I110" i="7"/>
  <c r="U110" i="7"/>
  <c r="AE110" i="7"/>
  <c r="AM110" i="7"/>
  <c r="AU110" i="7"/>
  <c r="BC110" i="7"/>
  <c r="BK110" i="7"/>
  <c r="BS110" i="7"/>
  <c r="AL142" i="7"/>
  <c r="AM142" i="7" s="1"/>
  <c r="AN142" i="7" s="1"/>
  <c r="AO142" i="7" s="1"/>
  <c r="AP142" i="7" s="1"/>
  <c r="AQ142" i="7" s="1"/>
  <c r="AR142" i="7" s="1"/>
  <c r="AS142" i="7" s="1"/>
  <c r="AT142" i="7" s="1"/>
  <c r="AU142" i="7" s="1"/>
  <c r="AV142" i="7" s="1"/>
  <c r="AW142" i="7" s="1"/>
  <c r="BY49" i="7"/>
  <c r="BY23" i="12"/>
  <c r="BY34" i="12"/>
  <c r="F96" i="12"/>
  <c r="F97" i="12" s="1"/>
  <c r="F98" i="12" s="1"/>
  <c r="I23" i="12"/>
  <c r="BX3" i="28"/>
  <c r="BW3" i="28"/>
  <c r="BV3" i="28"/>
  <c r="BU3" i="28"/>
  <c r="BT3" i="28"/>
  <c r="BS3" i="28"/>
  <c r="BR3" i="28"/>
  <c r="BQ3" i="28"/>
  <c r="BP3" i="28"/>
  <c r="BO3" i="28"/>
  <c r="BN3" i="28"/>
  <c r="BM3" i="28"/>
  <c r="BL3" i="28"/>
  <c r="BK3" i="28"/>
  <c r="BJ3" i="28"/>
  <c r="BI3" i="28"/>
  <c r="BH3" i="28"/>
  <c r="BG3" i="28"/>
  <c r="BF3" i="28"/>
  <c r="BE3" i="28"/>
  <c r="BD3" i="28"/>
  <c r="BC3" i="28"/>
  <c r="BB3" i="28"/>
  <c r="BA3" i="28"/>
  <c r="AZ3" i="28"/>
  <c r="AY3" i="28"/>
  <c r="AX3" i="28"/>
  <c r="AW3" i="28"/>
  <c r="AV3" i="28"/>
  <c r="AU3" i="28"/>
  <c r="AT3" i="28"/>
  <c r="AS3" i="28"/>
  <c r="AR3" i="28"/>
  <c r="AQ3" i="28"/>
  <c r="AP3" i="28"/>
  <c r="AO3" i="28"/>
  <c r="AN3" i="28"/>
  <c r="AM3" i="28"/>
  <c r="AL3" i="28"/>
  <c r="AK3" i="28"/>
  <c r="AJ3" i="28"/>
  <c r="AI3" i="28"/>
  <c r="AH3" i="28"/>
  <c r="AG3" i="28"/>
  <c r="AF3" i="28"/>
  <c r="AE3" i="28"/>
  <c r="AD3" i="28"/>
  <c r="AC3" i="28"/>
  <c r="AB3" i="28"/>
  <c r="AA3" i="28"/>
  <c r="Z3" i="28"/>
  <c r="Y3" i="28"/>
  <c r="X3" i="28"/>
  <c r="W3" i="28"/>
  <c r="V3" i="28"/>
  <c r="U3" i="28"/>
  <c r="T3" i="28"/>
  <c r="S3" i="28"/>
  <c r="R3" i="28"/>
  <c r="Q3" i="28"/>
  <c r="P3" i="28"/>
  <c r="O3" i="28"/>
  <c r="N3" i="28"/>
  <c r="M3" i="28"/>
  <c r="L3" i="28"/>
  <c r="K3" i="28"/>
  <c r="J3" i="28"/>
  <c r="I3" i="28"/>
  <c r="H3" i="28"/>
  <c r="G3" i="28"/>
  <c r="F3" i="28"/>
  <c r="E3" i="28"/>
  <c r="V81" i="28"/>
  <c r="V64" i="28" s="1"/>
  <c r="U81" i="28"/>
  <c r="U64" i="28" s="1"/>
  <c r="AB47" i="28"/>
  <c r="V47" i="28"/>
  <c r="U47" i="28"/>
  <c r="AB44" i="28"/>
  <c r="AB43" i="28" s="1"/>
  <c r="AB38" i="28" s="1"/>
  <c r="AA44" i="28"/>
  <c r="AA43" i="28" s="1"/>
  <c r="Z44" i="28"/>
  <c r="Z43" i="28" s="1"/>
  <c r="Y44" i="28"/>
  <c r="Y43" i="28" s="1"/>
  <c r="Y38" i="28" s="1"/>
  <c r="X44" i="28"/>
  <c r="X43" i="28" s="1"/>
  <c r="X38" i="28" s="1"/>
  <c r="V44" i="28"/>
  <c r="V43" i="28" s="1"/>
  <c r="V38" i="28" s="1"/>
  <c r="U44" i="28"/>
  <c r="U43" i="28" s="1"/>
  <c r="U38" i="28" s="1"/>
  <c r="H37" i="12"/>
  <c r="BY16" i="28"/>
  <c r="N27" i="28"/>
  <c r="R38" i="28"/>
  <c r="P38" i="28"/>
  <c r="W47" i="28"/>
  <c r="AA38" i="28"/>
  <c r="T50" i="28"/>
  <c r="U50" i="28"/>
  <c r="AV63" i="28"/>
  <c r="AQ63" i="28"/>
  <c r="AR63" i="28"/>
  <c r="AT63" i="28"/>
  <c r="AY63" i="28"/>
  <c r="AZ63" i="28"/>
  <c r="E111" i="28"/>
  <c r="AY91" i="28"/>
  <c r="AV38" i="28"/>
  <c r="M38" i="28"/>
  <c r="L38" i="28"/>
  <c r="Y9" i="28"/>
  <c r="BY25" i="28"/>
  <c r="BY24" i="28" s="1"/>
  <c r="BY48" i="28"/>
  <c r="AS111" i="28"/>
  <c r="Z142" i="28"/>
  <c r="AO142" i="28"/>
  <c r="AW142" i="28"/>
  <c r="BE142" i="28"/>
  <c r="BM142" i="28"/>
  <c r="BU142" i="28"/>
  <c r="AU63" i="28"/>
  <c r="BI190" i="28"/>
  <c r="BQ190" i="28"/>
  <c r="T17" i="28"/>
  <c r="G99" i="28"/>
  <c r="G101" i="28" s="1"/>
  <c r="O99" i="28"/>
  <c r="AE99" i="28"/>
  <c r="AM99" i="28"/>
  <c r="BC99" i="28"/>
  <c r="BK99" i="28"/>
  <c r="BK101" i="28" s="1"/>
  <c r="BS99" i="28"/>
  <c r="I27" i="28"/>
  <c r="BY54" i="28"/>
  <c r="AK111" i="28"/>
  <c r="T125" i="28"/>
  <c r="AD125" i="28"/>
  <c r="AL125" i="28"/>
  <c r="AT125" i="28"/>
  <c r="BB125" i="28"/>
  <c r="BJ125" i="28"/>
  <c r="BR125" i="28"/>
  <c r="AD142" i="28"/>
  <c r="AQ142" i="28"/>
  <c r="AY142" i="28"/>
  <c r="BG142" i="28"/>
  <c r="BO142" i="28"/>
  <c r="BW142" i="28"/>
  <c r="X158" i="28"/>
  <c r="AL158" i="28"/>
  <c r="AL159" i="28" s="1"/>
  <c r="AM159" i="28" s="1"/>
  <c r="AN159" i="28" s="1"/>
  <c r="AO159" i="28" s="1"/>
  <c r="AT158" i="28"/>
  <c r="BB158" i="28"/>
  <c r="BJ158" i="28"/>
  <c r="BR158" i="28"/>
  <c r="J174" i="28"/>
  <c r="R174" i="28"/>
  <c r="Z174" i="28"/>
  <c r="AN174" i="28"/>
  <c r="AV174" i="28"/>
  <c r="BD174" i="28"/>
  <c r="BL174" i="28"/>
  <c r="BT174" i="28"/>
  <c r="E190" i="28"/>
  <c r="X190" i="28"/>
  <c r="AL190" i="28"/>
  <c r="AL191" i="28" s="1"/>
  <c r="AM191" i="28" s="1"/>
  <c r="AN191" i="28" s="1"/>
  <c r="AO191" i="28" s="1"/>
  <c r="AT190" i="28"/>
  <c r="BB190" i="28"/>
  <c r="BJ190" i="28"/>
  <c r="BR190" i="28"/>
  <c r="AO63" i="28"/>
  <c r="AS63" i="28"/>
  <c r="CE38" i="28"/>
  <c r="BY11" i="28"/>
  <c r="AB98" i="28" s="1"/>
  <c r="H18" i="28"/>
  <c r="P99" i="28"/>
  <c r="AF99" i="28"/>
  <c r="AN99" i="28"/>
  <c r="BD99" i="28"/>
  <c r="BD101" i="28" s="1"/>
  <c r="BL99" i="28"/>
  <c r="BL101" i="28" s="1"/>
  <c r="BT99" i="28"/>
  <c r="BT101" i="28" s="1"/>
  <c r="I24" i="28"/>
  <c r="I99" i="28" s="1"/>
  <c r="I101" i="28" s="1"/>
  <c r="BY32" i="28"/>
  <c r="S111" i="28"/>
  <c r="BI111" i="28"/>
  <c r="BT111" i="28"/>
  <c r="I125" i="28"/>
  <c r="U125" i="28"/>
  <c r="AE142" i="28"/>
  <c r="AR142" i="28"/>
  <c r="AZ142" i="28"/>
  <c r="BH142" i="28"/>
  <c r="BP142" i="28"/>
  <c r="M158" i="28"/>
  <c r="AC175" i="28"/>
  <c r="AD175" i="28" s="1"/>
  <c r="AL101" i="28"/>
  <c r="BE99" i="28"/>
  <c r="BE101" i="28" s="1"/>
  <c r="BM99" i="28"/>
  <c r="BM101" i="28" s="1"/>
  <c r="BU99" i="28"/>
  <c r="BU101" i="28" s="1"/>
  <c r="J125" i="28"/>
  <c r="AM101" i="28"/>
  <c r="Y111" i="28"/>
  <c r="BA111" i="28"/>
  <c r="BL111" i="28"/>
  <c r="K125" i="28"/>
  <c r="X125" i="28"/>
  <c r="J142" i="28"/>
  <c r="O158" i="28"/>
  <c r="H190" i="28"/>
  <c r="AX63" i="28"/>
  <c r="AP63" i="28"/>
  <c r="P17" i="28"/>
  <c r="P101" i="28" s="1"/>
  <c r="AF101" i="28"/>
  <c r="AN101" i="28"/>
  <c r="K99" i="28"/>
  <c r="S99" i="28"/>
  <c r="L24" i="28"/>
  <c r="BY55" i="28"/>
  <c r="X56" i="28"/>
  <c r="AC111" i="28"/>
  <c r="BB111" i="28"/>
  <c r="BM111" i="28"/>
  <c r="Y125" i="28"/>
  <c r="AH125" i="28"/>
  <c r="AP125" i="28"/>
  <c r="AX125" i="28"/>
  <c r="BF125" i="28"/>
  <c r="BN125" i="28"/>
  <c r="BV125" i="28"/>
  <c r="K142" i="28"/>
  <c r="E158" i="28"/>
  <c r="E159" i="28" s="1"/>
  <c r="P158" i="28"/>
  <c r="AC158" i="28"/>
  <c r="AC159" i="28" s="1"/>
  <c r="AP158" i="28"/>
  <c r="AX158" i="28"/>
  <c r="BF158" i="28"/>
  <c r="BN158" i="28"/>
  <c r="BV158" i="28"/>
  <c r="F174" i="28"/>
  <c r="N174" i="28"/>
  <c r="V174" i="28"/>
  <c r="AE174" i="28"/>
  <c r="AR174" i="28"/>
  <c r="AZ174" i="28"/>
  <c r="BH174" i="28"/>
  <c r="BP174" i="28"/>
  <c r="AC190" i="28"/>
  <c r="AC191" i="28" s="1"/>
  <c r="AP190" i="28"/>
  <c r="AX190" i="28"/>
  <c r="BF190" i="28"/>
  <c r="BN190" i="28"/>
  <c r="BV190" i="28"/>
  <c r="AT38" i="28"/>
  <c r="AW63" i="28"/>
  <c r="Q17" i="28"/>
  <c r="L99" i="28"/>
  <c r="T99" i="28"/>
  <c r="BH99" i="28"/>
  <c r="BP99" i="28"/>
  <c r="BX99" i="28"/>
  <c r="U24" i="28"/>
  <c r="BY39" i="28"/>
  <c r="H43" i="28"/>
  <c r="H38" i="28" s="1"/>
  <c r="G111" i="28"/>
  <c r="AG111" i="28"/>
  <c r="BD111" i="28"/>
  <c r="E125" i="28"/>
  <c r="Z125" i="28"/>
  <c r="AI125" i="28"/>
  <c r="AQ125" i="28"/>
  <c r="AY125" i="28"/>
  <c r="BG125" i="28"/>
  <c r="BO125" i="28"/>
  <c r="BW125" i="28"/>
  <c r="N142" i="28"/>
  <c r="Y142" i="28"/>
  <c r="AN142" i="28"/>
  <c r="AN143" i="28" s="1"/>
  <c r="AO143" i="28" s="1"/>
  <c r="AP143" i="28" s="1"/>
  <c r="AQ143" i="28" s="1"/>
  <c r="AR143" i="28" s="1"/>
  <c r="AS143" i="28" s="1"/>
  <c r="AT143" i="28" s="1"/>
  <c r="AU143" i="28" s="1"/>
  <c r="AV142" i="28"/>
  <c r="BD142" i="28"/>
  <c r="BL142" i="28"/>
  <c r="BT142" i="28"/>
  <c r="F158" i="28"/>
  <c r="AD158" i="28"/>
  <c r="AQ158" i="28"/>
  <c r="AY158" i="28"/>
  <c r="BG158" i="28"/>
  <c r="BO158" i="28"/>
  <c r="BW158" i="28"/>
  <c r="G174" i="28"/>
  <c r="O174" i="28"/>
  <c r="W174" i="28"/>
  <c r="AK174" i="28"/>
  <c r="AK175" i="28" s="1"/>
  <c r="AL175" i="28" s="1"/>
  <c r="AM175" i="28" s="1"/>
  <c r="AN175" i="28" s="1"/>
  <c r="AO175" i="28" s="1"/>
  <c r="AP175" i="28" s="1"/>
  <c r="AQ175" i="28" s="1"/>
  <c r="AR175" i="28" s="1"/>
  <c r="AS174" i="28"/>
  <c r="BA174" i="28"/>
  <c r="BI174" i="28"/>
  <c r="BQ174" i="28"/>
  <c r="U190" i="28"/>
  <c r="AD190" i="28"/>
  <c r="AQ190" i="28"/>
  <c r="AY190" i="28"/>
  <c r="BG190" i="28"/>
  <c r="BO190" i="28"/>
  <c r="BW190" i="28"/>
  <c r="AW91" i="28"/>
  <c r="BY46" i="28"/>
  <c r="AZ38" i="28"/>
  <c r="AS38" i="28"/>
  <c r="AU38" i="28"/>
  <c r="AR38" i="28"/>
  <c r="BY44" i="28"/>
  <c r="BC101" i="28"/>
  <c r="BS101" i="28"/>
  <c r="F99" i="28"/>
  <c r="F101" i="28" s="1"/>
  <c r="N99" i="28"/>
  <c r="N101" i="28" s="1"/>
  <c r="I111" i="28"/>
  <c r="U111" i="28"/>
  <c r="AE111" i="28"/>
  <c r="AM111" i="28"/>
  <c r="AU111" i="28"/>
  <c r="BC111" i="28"/>
  <c r="BK111" i="28"/>
  <c r="BS111" i="28"/>
  <c r="J111" i="28"/>
  <c r="W111" i="28"/>
  <c r="AF111" i="28"/>
  <c r="AV111" i="28"/>
  <c r="J99" i="28"/>
  <c r="J101" i="28" s="1"/>
  <c r="R99" i="28"/>
  <c r="BF99" i="28"/>
  <c r="BF101" i="28" s="1"/>
  <c r="BN99" i="28"/>
  <c r="BN101" i="28" s="1"/>
  <c r="BV99" i="28"/>
  <c r="BV101" i="28" s="1"/>
  <c r="Z111" i="28"/>
  <c r="BH101" i="28"/>
  <c r="BP101" i="28"/>
  <c r="BX101" i="28"/>
  <c r="AI99" i="28"/>
  <c r="AI101" i="28" s="1"/>
  <c r="BG99" i="28"/>
  <c r="BG101" i="28" s="1"/>
  <c r="BO99" i="28"/>
  <c r="BO101" i="28" s="1"/>
  <c r="BW99" i="28"/>
  <c r="BW101" i="28" s="1"/>
  <c r="F111" i="28"/>
  <c r="Q111" i="28"/>
  <c r="AA111" i="28"/>
  <c r="AJ111" i="28"/>
  <c r="AR111" i="28"/>
  <c r="AZ111" i="28"/>
  <c r="BH111" i="28"/>
  <c r="BP111" i="28"/>
  <c r="BB101" i="28"/>
  <c r="BJ101" i="28"/>
  <c r="BR101" i="28"/>
  <c r="E99" i="28"/>
  <c r="E101" i="28" s="1"/>
  <c r="E102" i="28" s="1"/>
  <c r="M99" i="28"/>
  <c r="U99" i="28"/>
  <c r="AC99" i="28"/>
  <c r="AC101" i="28" s="1"/>
  <c r="BI99" i="28"/>
  <c r="BI101" i="28" s="1"/>
  <c r="BQ99" i="28"/>
  <c r="BQ101" i="28" s="1"/>
  <c r="T111" i="28"/>
  <c r="AD111" i="28"/>
  <c r="AG99" i="28"/>
  <c r="AG101" i="28" s="1"/>
  <c r="AH99" i="28"/>
  <c r="AH101" i="28" s="1"/>
  <c r="AJ99" i="28"/>
  <c r="AJ101" i="28" s="1"/>
  <c r="AK99" i="28"/>
  <c r="AK101" i="28" s="1"/>
  <c r="BA99" i="28"/>
  <c r="BA101" i="28" s="1"/>
  <c r="BY43" i="28"/>
  <c r="AY96" i="12"/>
  <c r="E96" i="12"/>
  <c r="U96" i="12"/>
  <c r="U97" i="12" s="1"/>
  <c r="AC96" i="12"/>
  <c r="AC97" i="12" s="1"/>
  <c r="AK96" i="12"/>
  <c r="AK97" i="12" s="1"/>
  <c r="AS96" i="12"/>
  <c r="AS97" i="12" s="1"/>
  <c r="BA96" i="12"/>
  <c r="BA97" i="12" s="1"/>
  <c r="BI96" i="12"/>
  <c r="BI97" i="12" s="1"/>
  <c r="BQ96" i="12"/>
  <c r="BQ97" i="12" s="1"/>
  <c r="G96" i="12"/>
  <c r="G97" i="12" s="1"/>
  <c r="W96" i="12"/>
  <c r="W97" i="12" s="1"/>
  <c r="AE96" i="12"/>
  <c r="AE97" i="12" s="1"/>
  <c r="AM96" i="12"/>
  <c r="AM97" i="12" s="1"/>
  <c r="AU96" i="12"/>
  <c r="AU97" i="12" s="1"/>
  <c r="BC96" i="12"/>
  <c r="BC97" i="12" s="1"/>
  <c r="BK96" i="12"/>
  <c r="BK97" i="12" s="1"/>
  <c r="BS96" i="12"/>
  <c r="BS97" i="12" s="1"/>
  <c r="E97" i="12"/>
  <c r="E98" i="12" s="1"/>
  <c r="H17" i="12"/>
  <c r="X96" i="12"/>
  <c r="X97" i="12" s="1"/>
  <c r="AF96" i="12"/>
  <c r="AF97" i="12" s="1"/>
  <c r="AN96" i="12"/>
  <c r="AN97" i="12" s="1"/>
  <c r="AV96" i="12"/>
  <c r="AV97" i="12" s="1"/>
  <c r="BD96" i="12"/>
  <c r="BD97" i="12" s="1"/>
  <c r="BL96" i="12"/>
  <c r="BL97" i="12" s="1"/>
  <c r="BT96" i="12"/>
  <c r="BT97" i="12" s="1"/>
  <c r="AW96" i="12"/>
  <c r="AW97" i="12"/>
  <c r="Y96" i="12"/>
  <c r="Y97" i="12" s="1"/>
  <c r="AG96" i="12"/>
  <c r="AG97" i="12" s="1"/>
  <c r="AO96" i="12"/>
  <c r="AO97" i="12" s="1"/>
  <c r="BE96" i="12"/>
  <c r="BE97" i="12" s="1"/>
  <c r="BM96" i="12"/>
  <c r="BM97" i="12" s="1"/>
  <c r="BU96" i="12"/>
  <c r="BU97" i="12" s="1"/>
  <c r="Z96" i="12"/>
  <c r="Z97" i="12" s="1"/>
  <c r="AH96" i="12"/>
  <c r="AH97" i="12" s="1"/>
  <c r="AP96" i="12"/>
  <c r="AP97" i="12" s="1"/>
  <c r="AX96" i="12"/>
  <c r="AX97" i="12" s="1"/>
  <c r="BF96" i="12"/>
  <c r="BF97" i="12" s="1"/>
  <c r="BN96" i="12"/>
  <c r="BN97" i="12" s="1"/>
  <c r="BV96" i="12"/>
  <c r="BV97" i="12" s="1"/>
  <c r="K23" i="12"/>
  <c r="AY97" i="12"/>
  <c r="AI96" i="12"/>
  <c r="AI97" i="12" s="1"/>
  <c r="AQ96" i="12"/>
  <c r="AQ97" i="12" s="1"/>
  <c r="BG96" i="12"/>
  <c r="BG97" i="12" s="1"/>
  <c r="BO96" i="12"/>
  <c r="BO97" i="12" s="1"/>
  <c r="BW96" i="12"/>
  <c r="BW97" i="12" s="1"/>
  <c r="AA96" i="12"/>
  <c r="AA97" i="12" s="1"/>
  <c r="AB96" i="12"/>
  <c r="AB97" i="12" s="1"/>
  <c r="AJ96" i="12"/>
  <c r="AJ97" i="12" s="1"/>
  <c r="AR96" i="12"/>
  <c r="AR97" i="12" s="1"/>
  <c r="AZ96" i="12"/>
  <c r="AZ97" i="12" s="1"/>
  <c r="BH96" i="12"/>
  <c r="BH97" i="12" s="1"/>
  <c r="BP96" i="12"/>
  <c r="BP97" i="12" s="1"/>
  <c r="BX96" i="12"/>
  <c r="BX97" i="12" s="1"/>
  <c r="BY27" i="12"/>
  <c r="H134" i="28"/>
  <c r="H122" i="28"/>
  <c r="H17" i="28"/>
  <c r="BY5" i="28"/>
  <c r="L137" i="28"/>
  <c r="L142" i="28" s="1"/>
  <c r="L134" i="28"/>
  <c r="L119" i="28"/>
  <c r="L17" i="28"/>
  <c r="BY6" i="28"/>
  <c r="AB93" i="28" s="1"/>
  <c r="M137" i="28"/>
  <c r="M142" i="28" s="1"/>
  <c r="M134" i="28"/>
  <c r="M119" i="28"/>
  <c r="M17" i="28"/>
  <c r="M101" i="28" s="1"/>
  <c r="O137" i="28"/>
  <c r="O142" i="28" s="1"/>
  <c r="O134" i="28"/>
  <c r="O119" i="28"/>
  <c r="O17" i="28"/>
  <c r="O101" i="28" s="1"/>
  <c r="R137" i="28"/>
  <c r="R142" i="28" s="1"/>
  <c r="R134" i="28"/>
  <c r="R119" i="28"/>
  <c r="R17" i="28"/>
  <c r="V137" i="28"/>
  <c r="V142" i="28" s="1"/>
  <c r="V134" i="28"/>
  <c r="V119" i="28"/>
  <c r="AA105" i="28"/>
  <c r="AB62" i="28"/>
  <c r="AA62" i="28"/>
  <c r="BY10" i="28"/>
  <c r="Z97" i="28" s="1"/>
  <c r="S17" i="28"/>
  <c r="S101" i="28" s="1"/>
  <c r="W17" i="28"/>
  <c r="AD17" i="28"/>
  <c r="AD101" i="28" s="1"/>
  <c r="K17" i="28"/>
  <c r="K101" i="28" s="1"/>
  <c r="Q28" i="28"/>
  <c r="BY98" i="28"/>
  <c r="H125" i="28"/>
  <c r="E142" i="28"/>
  <c r="H158" i="28"/>
  <c r="T153" i="28"/>
  <c r="T158" i="28" s="1"/>
  <c r="E175" i="28"/>
  <c r="F175" i="28" s="1"/>
  <c r="G175" i="28" s="1"/>
  <c r="H175" i="28" s="1"/>
  <c r="I175" i="28" s="1"/>
  <c r="J175" i="28" s="1"/>
  <c r="K175" i="28" s="1"/>
  <c r="L175" i="28" s="1"/>
  <c r="M175" i="28" s="1"/>
  <c r="D181" i="28"/>
  <c r="T174" i="28"/>
  <c r="E191" i="28"/>
  <c r="F191" i="28" s="1"/>
  <c r="G191" i="28" s="1"/>
  <c r="H191" i="28" s="1"/>
  <c r="I191" i="28" s="1"/>
  <c r="J191" i="28" s="1"/>
  <c r="K191" i="28" s="1"/>
  <c r="L191" i="28" s="1"/>
  <c r="M191" i="28" s="1"/>
  <c r="D197" i="28"/>
  <c r="T190" i="28"/>
  <c r="L8" i="27"/>
  <c r="L8" i="11"/>
  <c r="L8" i="5"/>
  <c r="J2" i="1"/>
  <c r="N8" i="5" s="1"/>
  <c r="N2" i="1"/>
  <c r="N9" i="11"/>
  <c r="N9" i="5"/>
  <c r="O3" i="1"/>
  <c r="O16" i="1" s="1"/>
  <c r="K3" i="1"/>
  <c r="P3" i="1" s="1"/>
  <c r="L10" i="27"/>
  <c r="L10" i="11"/>
  <c r="L10" i="5"/>
  <c r="L11" i="27"/>
  <c r="L11" i="11"/>
  <c r="L11" i="5"/>
  <c r="J5" i="1"/>
  <c r="M11" i="27"/>
  <c r="M11" i="11"/>
  <c r="M11" i="5"/>
  <c r="L12" i="27"/>
  <c r="L12" i="11"/>
  <c r="L12" i="5"/>
  <c r="J6" i="1"/>
  <c r="M12" i="27"/>
  <c r="M12" i="11"/>
  <c r="M12" i="5"/>
  <c r="M6" i="1"/>
  <c r="N6" i="1" s="1"/>
  <c r="L13" i="27"/>
  <c r="L13" i="11"/>
  <c r="L13" i="5"/>
  <c r="J7" i="1"/>
  <c r="M13" i="27"/>
  <c r="M13" i="11"/>
  <c r="M13" i="5"/>
  <c r="M7" i="1"/>
  <c r="N7" i="1" s="1"/>
  <c r="L14" i="27"/>
  <c r="L14" i="11"/>
  <c r="L14" i="5"/>
  <c r="J8" i="1"/>
  <c r="M14" i="27"/>
  <c r="M14" i="11"/>
  <c r="M14" i="5"/>
  <c r="M8" i="1"/>
  <c r="N8" i="1" s="1"/>
  <c r="L15" i="27"/>
  <c r="L15" i="11"/>
  <c r="L15" i="5"/>
  <c r="N15" i="11"/>
  <c r="N15" i="5"/>
  <c r="O9" i="1"/>
  <c r="K9" i="1"/>
  <c r="P9" i="1" s="1"/>
  <c r="L16" i="27"/>
  <c r="L16" i="11"/>
  <c r="L16" i="5"/>
  <c r="J10" i="1"/>
  <c r="O11" i="1"/>
  <c r="K11" i="1"/>
  <c r="P11" i="1" s="1"/>
  <c r="L40" i="1"/>
  <c r="L43" i="1" s="1"/>
  <c r="L28" i="1"/>
  <c r="L30" i="1" s="1"/>
  <c r="H5" i="10"/>
  <c r="G5" i="10"/>
  <c r="M28" i="1"/>
  <c r="M30" i="1" s="1"/>
  <c r="N27" i="1"/>
  <c r="O53" i="1"/>
  <c r="K53" i="1"/>
  <c r="P53" i="1" s="1"/>
  <c r="O54" i="1"/>
  <c r="K54" i="1"/>
  <c r="P54" i="1" s="1"/>
  <c r="O55" i="1"/>
  <c r="K55" i="1"/>
  <c r="P55" i="1" s="1"/>
  <c r="O56" i="1"/>
  <c r="K56" i="1"/>
  <c r="P56" i="1" s="1"/>
  <c r="BX3" i="26"/>
  <c r="BW3" i="26"/>
  <c r="BV3" i="26"/>
  <c r="BU3" i="26"/>
  <c r="BT3" i="26"/>
  <c r="BS3" i="26"/>
  <c r="BR3" i="26"/>
  <c r="BQ3" i="26"/>
  <c r="BP3" i="26"/>
  <c r="BO3" i="26"/>
  <c r="BN3" i="26"/>
  <c r="BM3" i="26"/>
  <c r="BL3" i="26"/>
  <c r="BK3" i="26"/>
  <c r="BJ3" i="26"/>
  <c r="BI3" i="26"/>
  <c r="BH3" i="26"/>
  <c r="BG3" i="26"/>
  <c r="BF3" i="26"/>
  <c r="BE3" i="26"/>
  <c r="BD3" i="26"/>
  <c r="BC3" i="26"/>
  <c r="BB3" i="26"/>
  <c r="BA3" i="26"/>
  <c r="AZ3" i="26"/>
  <c r="AY3" i="26"/>
  <c r="AX3" i="26"/>
  <c r="AW3" i="26"/>
  <c r="AV3" i="26"/>
  <c r="AU3" i="26"/>
  <c r="AT3" i="26"/>
  <c r="AS3" i="26"/>
  <c r="AR3" i="26"/>
  <c r="AQ3" i="26"/>
  <c r="AP3" i="26"/>
  <c r="AO3" i="26"/>
  <c r="AN3" i="26"/>
  <c r="AM3" i="26"/>
  <c r="AL3" i="26"/>
  <c r="AK3" i="26"/>
  <c r="AJ3" i="26"/>
  <c r="AI3" i="26"/>
  <c r="AH3" i="26"/>
  <c r="AG3" i="26"/>
  <c r="AF3" i="26"/>
  <c r="AE3" i="26"/>
  <c r="AD3" i="26"/>
  <c r="AC3" i="26"/>
  <c r="AB3" i="26"/>
  <c r="AA3" i="26"/>
  <c r="Z3" i="26"/>
  <c r="Y3" i="26"/>
  <c r="X3" i="26"/>
  <c r="W3" i="26"/>
  <c r="V3" i="26"/>
  <c r="U3" i="26"/>
  <c r="T3" i="26"/>
  <c r="S3" i="26"/>
  <c r="R3" i="26"/>
  <c r="Q3" i="26"/>
  <c r="P3" i="26"/>
  <c r="O3" i="26"/>
  <c r="N3" i="26"/>
  <c r="M3" i="26"/>
  <c r="L3" i="26"/>
  <c r="K3" i="26"/>
  <c r="J3" i="26"/>
  <c r="I3" i="26"/>
  <c r="H3" i="26"/>
  <c r="G3" i="26"/>
  <c r="F3" i="26"/>
  <c r="E3" i="26"/>
  <c r="BX3" i="20"/>
  <c r="BW3" i="20"/>
  <c r="BV3" i="20"/>
  <c r="BU3" i="20"/>
  <c r="BT3" i="20"/>
  <c r="BS3" i="20"/>
  <c r="BR3" i="20"/>
  <c r="BQ3" i="20"/>
  <c r="BP3" i="20"/>
  <c r="BO3" i="20"/>
  <c r="BN3" i="20"/>
  <c r="BM3" i="20"/>
  <c r="BL3" i="20"/>
  <c r="BK3" i="20"/>
  <c r="BJ3" i="20"/>
  <c r="BI3" i="20"/>
  <c r="BH3" i="20"/>
  <c r="BG3" i="20"/>
  <c r="BF3" i="20"/>
  <c r="BE3" i="20"/>
  <c r="BD3" i="20"/>
  <c r="BC3" i="20"/>
  <c r="BB3" i="20"/>
  <c r="BA3" i="20"/>
  <c r="AZ3" i="20"/>
  <c r="AY3" i="20"/>
  <c r="AX3" i="20"/>
  <c r="AW3" i="20"/>
  <c r="AV3" i="20"/>
  <c r="AU3" i="20"/>
  <c r="AT3" i="20"/>
  <c r="AS3" i="20"/>
  <c r="AR3" i="20"/>
  <c r="AQ3" i="20"/>
  <c r="AP3" i="20"/>
  <c r="AO3" i="20"/>
  <c r="AN3" i="20"/>
  <c r="AM3" i="20"/>
  <c r="AL3" i="20"/>
  <c r="AK3" i="20"/>
  <c r="AJ3" i="20"/>
  <c r="AI3" i="20"/>
  <c r="AH3" i="20"/>
  <c r="AG3" i="20"/>
  <c r="AF3" i="20"/>
  <c r="AE3" i="20"/>
  <c r="AD3" i="20"/>
  <c r="AC3" i="20"/>
  <c r="AB3" i="20"/>
  <c r="AA3" i="20"/>
  <c r="Z3" i="20"/>
  <c r="Y3" i="20"/>
  <c r="X3" i="20"/>
  <c r="W3" i="20"/>
  <c r="V3" i="20"/>
  <c r="U3" i="20"/>
  <c r="T3" i="20"/>
  <c r="S3" i="20"/>
  <c r="R3" i="20"/>
  <c r="Q3" i="20"/>
  <c r="P3" i="20"/>
  <c r="O3" i="20"/>
  <c r="N3" i="20"/>
  <c r="M3" i="20"/>
  <c r="L3" i="20"/>
  <c r="K3" i="20"/>
  <c r="J3" i="20"/>
  <c r="I3" i="20"/>
  <c r="H3" i="20"/>
  <c r="G3" i="20"/>
  <c r="F3" i="20"/>
  <c r="E3" i="20"/>
  <c r="BX3" i="19"/>
  <c r="BW3" i="19"/>
  <c r="BV3" i="19"/>
  <c r="BU3" i="19"/>
  <c r="BT3" i="19"/>
  <c r="BS3" i="19"/>
  <c r="BR3" i="19"/>
  <c r="BQ3" i="19"/>
  <c r="BP3" i="19"/>
  <c r="BO3" i="19"/>
  <c r="BN3" i="19"/>
  <c r="BM3" i="19"/>
  <c r="BL3" i="19"/>
  <c r="BK3" i="19"/>
  <c r="BJ3" i="19"/>
  <c r="BI3" i="19"/>
  <c r="BH3" i="19"/>
  <c r="BG3" i="19"/>
  <c r="BF3" i="19"/>
  <c r="BE3" i="19"/>
  <c r="BD3" i="19"/>
  <c r="BC3" i="19"/>
  <c r="BB3" i="19"/>
  <c r="BA3" i="19"/>
  <c r="AZ3" i="19"/>
  <c r="AY3" i="19"/>
  <c r="AX3" i="19"/>
  <c r="AW3" i="19"/>
  <c r="AV3" i="19"/>
  <c r="AU3" i="19"/>
  <c r="AT3" i="19"/>
  <c r="AS3" i="19"/>
  <c r="AR3" i="19"/>
  <c r="AQ3" i="19"/>
  <c r="AP3" i="19"/>
  <c r="AO3" i="19"/>
  <c r="AN3" i="19"/>
  <c r="AM3" i="19"/>
  <c r="AL3" i="19"/>
  <c r="AK3" i="19"/>
  <c r="AJ3" i="19"/>
  <c r="AI3" i="19"/>
  <c r="AH3" i="19"/>
  <c r="AG3" i="19"/>
  <c r="AF3" i="19"/>
  <c r="AE3" i="19"/>
  <c r="AD3" i="19"/>
  <c r="AC3" i="19"/>
  <c r="AB3" i="19"/>
  <c r="AA3" i="19"/>
  <c r="Z3" i="19"/>
  <c r="Y3" i="19"/>
  <c r="X3" i="19"/>
  <c r="W3" i="19"/>
  <c r="V3" i="19"/>
  <c r="U3" i="19"/>
  <c r="T3" i="19"/>
  <c r="S3" i="19"/>
  <c r="R3" i="19"/>
  <c r="Q3" i="19"/>
  <c r="P3" i="19"/>
  <c r="O3" i="19"/>
  <c r="N3" i="19"/>
  <c r="M3" i="19"/>
  <c r="L3" i="19"/>
  <c r="K3" i="19"/>
  <c r="J3" i="19"/>
  <c r="I3" i="19"/>
  <c r="H3" i="19"/>
  <c r="G3" i="19"/>
  <c r="F3" i="19"/>
  <c r="E3" i="19"/>
  <c r="BX3" i="17"/>
  <c r="BW3" i="17"/>
  <c r="BV3" i="17"/>
  <c r="BU3" i="17"/>
  <c r="BT3" i="17"/>
  <c r="BS3" i="17"/>
  <c r="BR3" i="17"/>
  <c r="BQ3" i="17"/>
  <c r="BP3" i="17"/>
  <c r="BO3" i="17"/>
  <c r="BN3" i="17"/>
  <c r="BM3" i="17"/>
  <c r="BL3" i="17"/>
  <c r="BK3" i="17"/>
  <c r="BJ3" i="17"/>
  <c r="BI3" i="17"/>
  <c r="BH3" i="17"/>
  <c r="BG3" i="17"/>
  <c r="BF3" i="17"/>
  <c r="BE3" i="17"/>
  <c r="BD3" i="17"/>
  <c r="BC3" i="17"/>
  <c r="BB3" i="17"/>
  <c r="BA3" i="17"/>
  <c r="AZ3" i="17"/>
  <c r="AY3" i="17"/>
  <c r="AX3" i="17"/>
  <c r="AW3" i="17"/>
  <c r="AV3" i="17"/>
  <c r="AU3" i="17"/>
  <c r="AT3" i="17"/>
  <c r="AS3" i="17"/>
  <c r="AR3" i="17"/>
  <c r="AQ3" i="17"/>
  <c r="AP3" i="17"/>
  <c r="AO3" i="17"/>
  <c r="AN3" i="17"/>
  <c r="AM3" i="17"/>
  <c r="AL3" i="17"/>
  <c r="AK3" i="17"/>
  <c r="AJ3" i="17"/>
  <c r="AI3" i="17"/>
  <c r="AH3" i="17"/>
  <c r="AG3" i="17"/>
  <c r="AF3" i="17"/>
  <c r="AE3" i="17"/>
  <c r="AD3" i="17"/>
  <c r="AC3" i="17"/>
  <c r="AB3" i="17"/>
  <c r="AA3" i="17"/>
  <c r="Z3" i="17"/>
  <c r="Y3" i="17"/>
  <c r="X3" i="17"/>
  <c r="W3" i="17"/>
  <c r="V3" i="17"/>
  <c r="U3" i="17"/>
  <c r="T3" i="17"/>
  <c r="S3" i="17"/>
  <c r="R3" i="17"/>
  <c r="Q3" i="17"/>
  <c r="P3" i="17"/>
  <c r="O3" i="17"/>
  <c r="N3" i="17"/>
  <c r="M3" i="17"/>
  <c r="L3" i="17"/>
  <c r="K3" i="17"/>
  <c r="J3" i="17"/>
  <c r="I3" i="17"/>
  <c r="H3" i="17"/>
  <c r="G3" i="17"/>
  <c r="F3" i="17"/>
  <c r="E3" i="17"/>
  <c r="BX3" i="16"/>
  <c r="BW3" i="16"/>
  <c r="BV3" i="16"/>
  <c r="BU3" i="16"/>
  <c r="BT3" i="16"/>
  <c r="BS3" i="16"/>
  <c r="BR3" i="16"/>
  <c r="BQ3" i="16"/>
  <c r="BP3" i="16"/>
  <c r="BO3" i="16"/>
  <c r="BN3" i="16"/>
  <c r="BM3" i="16"/>
  <c r="BL3" i="16"/>
  <c r="BK3" i="16"/>
  <c r="BJ3" i="16"/>
  <c r="BI3" i="16"/>
  <c r="BH3" i="16"/>
  <c r="BG3" i="16"/>
  <c r="BF3" i="16"/>
  <c r="BE3" i="16"/>
  <c r="BD3" i="16"/>
  <c r="BC3" i="16"/>
  <c r="BB3" i="16"/>
  <c r="BA3" i="16"/>
  <c r="AZ3" i="16"/>
  <c r="AY3" i="16"/>
  <c r="AX3" i="16"/>
  <c r="AW3" i="16"/>
  <c r="AV3" i="16"/>
  <c r="AU3" i="16"/>
  <c r="AT3" i="16"/>
  <c r="AS3" i="16"/>
  <c r="AR3" i="16"/>
  <c r="AQ3" i="16"/>
  <c r="AP3" i="16"/>
  <c r="AO3" i="16"/>
  <c r="AN3" i="16"/>
  <c r="AM3" i="16"/>
  <c r="AL3" i="16"/>
  <c r="AK3" i="16"/>
  <c r="AJ3" i="16"/>
  <c r="AI3" i="16"/>
  <c r="AH3" i="16"/>
  <c r="AG3" i="16"/>
  <c r="AF3" i="16"/>
  <c r="AE3" i="16"/>
  <c r="AD3" i="16"/>
  <c r="AC3" i="16"/>
  <c r="AB3" i="16"/>
  <c r="AA3" i="16"/>
  <c r="Z3" i="16"/>
  <c r="Y3" i="16"/>
  <c r="X3" i="16"/>
  <c r="W3" i="16"/>
  <c r="V3" i="16"/>
  <c r="U3" i="16"/>
  <c r="T3" i="16"/>
  <c r="S3" i="16"/>
  <c r="R3" i="16"/>
  <c r="Q3" i="16"/>
  <c r="P3" i="16"/>
  <c r="O3" i="16"/>
  <c r="N3" i="16"/>
  <c r="M3" i="16"/>
  <c r="L3" i="16"/>
  <c r="K3" i="16"/>
  <c r="J3" i="16"/>
  <c r="I3" i="16"/>
  <c r="H3" i="16"/>
  <c r="G3" i="16"/>
  <c r="F3" i="16"/>
  <c r="E3" i="16"/>
  <c r="BX3" i="15"/>
  <c r="BW3" i="15"/>
  <c r="BV3" i="15"/>
  <c r="BU3" i="15"/>
  <c r="BT3" i="15"/>
  <c r="BS3" i="15"/>
  <c r="BR3" i="15"/>
  <c r="BQ3" i="15"/>
  <c r="BP3" i="15"/>
  <c r="BO3" i="15"/>
  <c r="BN3" i="15"/>
  <c r="BM3" i="15"/>
  <c r="BL3" i="15"/>
  <c r="BK3" i="15"/>
  <c r="BJ3" i="15"/>
  <c r="BI3" i="15"/>
  <c r="BH3" i="15"/>
  <c r="BG3" i="15"/>
  <c r="BF3" i="15"/>
  <c r="BE3" i="15"/>
  <c r="BD3" i="15"/>
  <c r="BC3" i="15"/>
  <c r="BB3" i="15"/>
  <c r="BA3" i="15"/>
  <c r="AZ3" i="15"/>
  <c r="AY3" i="15"/>
  <c r="AX3" i="15"/>
  <c r="AW3" i="15"/>
  <c r="AV3" i="15"/>
  <c r="AU3" i="15"/>
  <c r="AT3" i="15"/>
  <c r="AS3" i="15"/>
  <c r="AR3" i="15"/>
  <c r="AQ3" i="15"/>
  <c r="AP3" i="15"/>
  <c r="AO3" i="15"/>
  <c r="AN3" i="15"/>
  <c r="AM3" i="15"/>
  <c r="AL3" i="15"/>
  <c r="AK3" i="15"/>
  <c r="AJ3" i="15"/>
  <c r="AI3" i="15"/>
  <c r="AH3" i="15"/>
  <c r="AG3" i="15"/>
  <c r="AF3" i="15"/>
  <c r="AE3" i="15"/>
  <c r="AD3" i="15"/>
  <c r="AC3" i="15"/>
  <c r="AB3" i="15"/>
  <c r="AA3" i="15"/>
  <c r="Z3" i="15"/>
  <c r="Y3" i="15"/>
  <c r="X3" i="15"/>
  <c r="W3" i="15"/>
  <c r="V3" i="15"/>
  <c r="U3" i="15"/>
  <c r="T3" i="15"/>
  <c r="S3" i="15"/>
  <c r="R3" i="15"/>
  <c r="Q3" i="15"/>
  <c r="P3" i="15"/>
  <c r="O3" i="15"/>
  <c r="N3" i="15"/>
  <c r="M3" i="15"/>
  <c r="L3" i="15"/>
  <c r="K3" i="15"/>
  <c r="J3" i="15"/>
  <c r="I3" i="15"/>
  <c r="H3" i="15"/>
  <c r="G3" i="15"/>
  <c r="F3" i="15"/>
  <c r="E3" i="15"/>
  <c r="BX3" i="14"/>
  <c r="BW3" i="14"/>
  <c r="BV3" i="14"/>
  <c r="BU3" i="14"/>
  <c r="BT3" i="14"/>
  <c r="BS3" i="14"/>
  <c r="BR3" i="14"/>
  <c r="BQ3" i="14"/>
  <c r="BP3" i="14"/>
  <c r="BO3" i="14"/>
  <c r="BN3" i="14"/>
  <c r="BM3" i="14"/>
  <c r="BL3" i="14"/>
  <c r="BK3" i="14"/>
  <c r="BJ3" i="14"/>
  <c r="BI3" i="14"/>
  <c r="BH3" i="14"/>
  <c r="BG3" i="14"/>
  <c r="BF3" i="14"/>
  <c r="BE3" i="14"/>
  <c r="BD3" i="14"/>
  <c r="BC3" i="14"/>
  <c r="BB3" i="14"/>
  <c r="BA3" i="14"/>
  <c r="AZ3" i="14"/>
  <c r="AY3" i="14"/>
  <c r="AX3" i="14"/>
  <c r="AW3" i="14"/>
  <c r="AV3" i="14"/>
  <c r="AU3" i="14"/>
  <c r="AT3" i="14"/>
  <c r="AS3" i="14"/>
  <c r="AR3" i="14"/>
  <c r="AQ3" i="14"/>
  <c r="AP3" i="14"/>
  <c r="AO3" i="14"/>
  <c r="AN3" i="14"/>
  <c r="AM3" i="14"/>
  <c r="AL3" i="14"/>
  <c r="AK3" i="14"/>
  <c r="AJ3" i="14"/>
  <c r="AI3" i="14"/>
  <c r="AH3" i="14"/>
  <c r="AG3" i="14"/>
  <c r="AF3" i="14"/>
  <c r="AE3" i="14"/>
  <c r="AD3" i="14"/>
  <c r="AC3" i="14"/>
  <c r="AB3" i="14"/>
  <c r="AA3" i="14"/>
  <c r="Z3" i="14"/>
  <c r="Y3" i="14"/>
  <c r="X3" i="14"/>
  <c r="W3" i="14"/>
  <c r="V3" i="14"/>
  <c r="U3" i="14"/>
  <c r="T3" i="14"/>
  <c r="S3" i="14"/>
  <c r="R3" i="14"/>
  <c r="Q3" i="14"/>
  <c r="P3" i="14"/>
  <c r="O3" i="14"/>
  <c r="N3" i="14"/>
  <c r="M3" i="14"/>
  <c r="L3" i="14"/>
  <c r="K3" i="14"/>
  <c r="J3" i="14"/>
  <c r="I3" i="14"/>
  <c r="H3" i="14"/>
  <c r="G3" i="14"/>
  <c r="F3" i="14"/>
  <c r="E3" i="14"/>
  <c r="BX3" i="12"/>
  <c r="BW3" i="12"/>
  <c r="BV3" i="12"/>
  <c r="BU3" i="12"/>
  <c r="BT3" i="12"/>
  <c r="BS3" i="12"/>
  <c r="BR3" i="12"/>
  <c r="BQ3" i="12"/>
  <c r="BP3" i="12"/>
  <c r="BO3" i="12"/>
  <c r="BN3" i="12"/>
  <c r="BM3" i="12"/>
  <c r="BL3" i="12"/>
  <c r="BK3" i="12"/>
  <c r="BJ3" i="12"/>
  <c r="BI3" i="12"/>
  <c r="BH3" i="12"/>
  <c r="BG3" i="12"/>
  <c r="BF3" i="12"/>
  <c r="BE3" i="12"/>
  <c r="BD3" i="12"/>
  <c r="BC3" i="12"/>
  <c r="BB3" i="12"/>
  <c r="BA3" i="12"/>
  <c r="AZ3" i="12"/>
  <c r="AY3" i="12"/>
  <c r="AX3" i="12"/>
  <c r="AW3" i="12"/>
  <c r="AV3" i="12"/>
  <c r="AU3" i="12"/>
  <c r="AT3" i="12"/>
  <c r="AS3" i="12"/>
  <c r="AR3" i="12"/>
  <c r="AQ3" i="12"/>
  <c r="AP3" i="12"/>
  <c r="AO3" i="12"/>
  <c r="AN3" i="12"/>
  <c r="AM3" i="12"/>
  <c r="AL3" i="12"/>
  <c r="AK3" i="12"/>
  <c r="AJ3" i="12"/>
  <c r="AI3" i="12"/>
  <c r="AH3" i="12"/>
  <c r="AG3" i="12"/>
  <c r="AF3" i="12"/>
  <c r="AE3" i="12"/>
  <c r="AD3" i="12"/>
  <c r="AC3" i="12"/>
  <c r="AB3" i="12"/>
  <c r="AA3" i="12"/>
  <c r="Z3" i="12"/>
  <c r="Y3" i="12"/>
  <c r="X3" i="12"/>
  <c r="W3" i="12"/>
  <c r="V3" i="12"/>
  <c r="U3" i="12"/>
  <c r="T3" i="12"/>
  <c r="S3" i="12"/>
  <c r="R3" i="12"/>
  <c r="Q3" i="12"/>
  <c r="P3" i="12"/>
  <c r="O3" i="12"/>
  <c r="N3" i="12"/>
  <c r="M3" i="12"/>
  <c r="L3" i="12"/>
  <c r="K3" i="12"/>
  <c r="J3" i="12"/>
  <c r="I3" i="12"/>
  <c r="H3" i="12"/>
  <c r="G3" i="12"/>
  <c r="F3" i="12"/>
  <c r="E3" i="12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C3" i="3"/>
  <c r="F3" i="3" s="1"/>
  <c r="G3" i="3"/>
  <c r="F4" i="3"/>
  <c r="G4" i="3"/>
  <c r="C5" i="3"/>
  <c r="F5" i="3" s="1"/>
  <c r="G5" i="3" s="1"/>
  <c r="C6" i="3"/>
  <c r="F6" i="3" s="1"/>
  <c r="G6" i="3" s="1"/>
  <c r="C7" i="3"/>
  <c r="F7" i="3" s="1"/>
  <c r="G7" i="3" s="1"/>
  <c r="F8" i="3"/>
  <c r="G8" i="3"/>
  <c r="F9" i="3"/>
  <c r="G9" i="3"/>
  <c r="F10" i="3"/>
  <c r="G10" i="3"/>
  <c r="F13" i="5"/>
  <c r="F12" i="5"/>
  <c r="C14" i="5" s="1"/>
  <c r="Y63" i="7"/>
  <c r="X63" i="7"/>
  <c r="V63" i="7"/>
  <c r="U63" i="7"/>
  <c r="Y80" i="6"/>
  <c r="Y63" i="6" s="1"/>
  <c r="X80" i="6"/>
  <c r="X63" i="6" s="1"/>
  <c r="W80" i="6"/>
  <c r="W63" i="6" s="1"/>
  <c r="V80" i="6"/>
  <c r="V63" i="6" s="1"/>
  <c r="U80" i="6"/>
  <c r="U63" i="6" s="1"/>
  <c r="T80" i="6"/>
  <c r="T63" i="6" s="1"/>
  <c r="S80" i="6"/>
  <c r="S63" i="6" s="1"/>
  <c r="R80" i="6"/>
  <c r="J17" i="5"/>
  <c r="M17" i="5"/>
  <c r="H119" i="7"/>
  <c r="D127" i="7" s="1"/>
  <c r="H114" i="6"/>
  <c r="D122" i="6" s="1"/>
  <c r="Y27" i="26"/>
  <c r="X27" i="26"/>
  <c r="W27" i="26"/>
  <c r="V27" i="26"/>
  <c r="U27" i="26"/>
  <c r="T27" i="26"/>
  <c r="Z27" i="17"/>
  <c r="Y27" i="17"/>
  <c r="X27" i="17"/>
  <c r="W27" i="17"/>
  <c r="V27" i="17"/>
  <c r="U27" i="17"/>
  <c r="T27" i="17"/>
  <c r="S27" i="17"/>
  <c r="Z27" i="16"/>
  <c r="Y27" i="16"/>
  <c r="X27" i="16"/>
  <c r="W27" i="16"/>
  <c r="V27" i="16"/>
  <c r="U27" i="16"/>
  <c r="T27" i="16"/>
  <c r="S27" i="16"/>
  <c r="Z27" i="15"/>
  <c r="Y27" i="15"/>
  <c r="X27" i="15"/>
  <c r="W27" i="15"/>
  <c r="V27" i="15"/>
  <c r="U27" i="15"/>
  <c r="T27" i="15"/>
  <c r="S27" i="15"/>
  <c r="Y27" i="6"/>
  <c r="X27" i="6"/>
  <c r="W27" i="6"/>
  <c r="V27" i="6"/>
  <c r="U27" i="6"/>
  <c r="F49" i="5"/>
  <c r="F41" i="5"/>
  <c r="R39" i="5"/>
  <c r="F24" i="5"/>
  <c r="AA15" i="26"/>
  <c r="AA15" i="6"/>
  <c r="M32" i="12"/>
  <c r="M26" i="12" s="1"/>
  <c r="L32" i="12"/>
  <c r="L26" i="12" s="1"/>
  <c r="K32" i="12"/>
  <c r="K26" i="12" s="1"/>
  <c r="J32" i="12"/>
  <c r="J26" i="12" s="1"/>
  <c r="I32" i="12"/>
  <c r="I26" i="12" s="1"/>
  <c r="H32" i="12"/>
  <c r="F40" i="5"/>
  <c r="C43" i="5" s="1"/>
  <c r="N39" i="12"/>
  <c r="M39" i="12"/>
  <c r="L39" i="12"/>
  <c r="K39" i="12"/>
  <c r="J39" i="12"/>
  <c r="I39" i="12"/>
  <c r="T45" i="20"/>
  <c r="S45" i="20"/>
  <c r="R45" i="20"/>
  <c r="Q45" i="20"/>
  <c r="P45" i="20"/>
  <c r="O45" i="20"/>
  <c r="N45" i="20"/>
  <c r="M45" i="20"/>
  <c r="L45" i="20"/>
  <c r="K45" i="20"/>
  <c r="J45" i="20"/>
  <c r="T45" i="19"/>
  <c r="T37" i="19" s="1"/>
  <c r="S45" i="19"/>
  <c r="S37" i="19" s="1"/>
  <c r="R45" i="19"/>
  <c r="R37" i="19" s="1"/>
  <c r="Q45" i="19"/>
  <c r="Q37" i="19" s="1"/>
  <c r="P45" i="19"/>
  <c r="O45" i="19"/>
  <c r="O37" i="19" s="1"/>
  <c r="Q14" i="19" s="1"/>
  <c r="N45" i="19"/>
  <c r="N37" i="19" s="1"/>
  <c r="P14" i="19" s="1"/>
  <c r="P16" i="19" s="1"/>
  <c r="M45" i="19"/>
  <c r="M37" i="19" s="1"/>
  <c r="O14" i="19" s="1"/>
  <c r="L45" i="19"/>
  <c r="L37" i="19" s="1"/>
  <c r="N14" i="19" s="1"/>
  <c r="K45" i="19"/>
  <c r="P45" i="17"/>
  <c r="P37" i="17" s="1"/>
  <c r="P45" i="16"/>
  <c r="P37" i="16" s="1"/>
  <c r="P45" i="15"/>
  <c r="O45" i="15"/>
  <c r="O37" i="15" s="1"/>
  <c r="Q14" i="15" s="1"/>
  <c r="Q16" i="15" s="1"/>
  <c r="T43" i="14"/>
  <c r="S43" i="14"/>
  <c r="R43" i="14"/>
  <c r="Q43" i="14"/>
  <c r="P43" i="14"/>
  <c r="O43" i="14"/>
  <c r="N43" i="14"/>
  <c r="M43" i="14"/>
  <c r="L43" i="14"/>
  <c r="K43" i="14"/>
  <c r="J43" i="14"/>
  <c r="T43" i="12"/>
  <c r="S43" i="12"/>
  <c r="R43" i="12"/>
  <c r="Q43" i="12"/>
  <c r="P43" i="12"/>
  <c r="O43" i="12"/>
  <c r="N43" i="12"/>
  <c r="M43" i="12"/>
  <c r="L43" i="12"/>
  <c r="K43" i="12"/>
  <c r="J43" i="12"/>
  <c r="I43" i="12"/>
  <c r="Z46" i="26"/>
  <c r="T46" i="26"/>
  <c r="S46" i="26"/>
  <c r="R46" i="26"/>
  <c r="T46" i="20"/>
  <c r="P46" i="20"/>
  <c r="K46" i="20"/>
  <c r="AC46" i="19"/>
  <c r="AC37" i="19" s="1"/>
  <c r="P46" i="19"/>
  <c r="K46" i="19"/>
  <c r="Z46" i="17"/>
  <c r="T46" i="17"/>
  <c r="R46" i="17"/>
  <c r="Q46" i="17"/>
  <c r="Z46" i="16"/>
  <c r="T46" i="16"/>
  <c r="R46" i="16"/>
  <c r="Q46" i="16"/>
  <c r="Z46" i="15"/>
  <c r="T46" i="15"/>
  <c r="Q46" i="15"/>
  <c r="P46" i="15"/>
  <c r="T44" i="14"/>
  <c r="P44" i="14"/>
  <c r="K44" i="14"/>
  <c r="T44" i="12"/>
  <c r="P44" i="12"/>
  <c r="I44" i="12"/>
  <c r="W37" i="7"/>
  <c r="Z46" i="6"/>
  <c r="T46" i="6"/>
  <c r="S46" i="6"/>
  <c r="R46" i="6"/>
  <c r="AA43" i="26"/>
  <c r="AA42" i="26" s="1"/>
  <c r="AA37" i="26" s="1"/>
  <c r="Z43" i="26"/>
  <c r="Z42" i="26" s="1"/>
  <c r="Y43" i="26"/>
  <c r="Y42" i="26" s="1"/>
  <c r="X43" i="26"/>
  <c r="X42" i="26" s="1"/>
  <c r="W43" i="26"/>
  <c r="W42" i="26" s="1"/>
  <c r="V43" i="26"/>
  <c r="V42" i="26" s="1"/>
  <c r="U43" i="26"/>
  <c r="U42" i="26" s="1"/>
  <c r="T43" i="26"/>
  <c r="T42" i="26" s="1"/>
  <c r="S43" i="26"/>
  <c r="S42" i="26" s="1"/>
  <c r="R43" i="26"/>
  <c r="R42" i="26" s="1"/>
  <c r="AA43" i="17"/>
  <c r="AA42" i="17" s="1"/>
  <c r="AA37" i="17" s="1"/>
  <c r="Z43" i="17"/>
  <c r="Z42" i="17" s="1"/>
  <c r="Y43" i="17"/>
  <c r="Y42" i="17" s="1"/>
  <c r="X43" i="17"/>
  <c r="X42" i="17" s="1"/>
  <c r="W43" i="17"/>
  <c r="W42" i="17" s="1"/>
  <c r="V43" i="17"/>
  <c r="V42" i="17" s="1"/>
  <c r="U43" i="17"/>
  <c r="U42" i="17" s="1"/>
  <c r="T43" i="17"/>
  <c r="T42" i="17" s="1"/>
  <c r="S43" i="17"/>
  <c r="S42" i="17" s="1"/>
  <c r="R43" i="17"/>
  <c r="R42" i="17" s="1"/>
  <c r="Q43" i="17"/>
  <c r="Q42" i="17" s="1"/>
  <c r="AA43" i="16"/>
  <c r="AA42" i="16" s="1"/>
  <c r="AA37" i="16" s="1"/>
  <c r="Z43" i="16"/>
  <c r="Z42" i="16" s="1"/>
  <c r="Y43" i="16"/>
  <c r="Y42" i="16" s="1"/>
  <c r="X43" i="16"/>
  <c r="X42" i="16" s="1"/>
  <c r="W43" i="16"/>
  <c r="W42" i="16" s="1"/>
  <c r="V43" i="16"/>
  <c r="V42" i="16" s="1"/>
  <c r="U43" i="16"/>
  <c r="U42" i="16" s="1"/>
  <c r="T43" i="16"/>
  <c r="T42" i="16" s="1"/>
  <c r="S43" i="16"/>
  <c r="S42" i="16" s="1"/>
  <c r="R43" i="16"/>
  <c r="R42" i="16" s="1"/>
  <c r="Q43" i="16"/>
  <c r="Q42" i="16" s="1"/>
  <c r="AA43" i="15"/>
  <c r="AA42" i="15" s="1"/>
  <c r="AA37" i="15" s="1"/>
  <c r="Z43" i="15"/>
  <c r="Z42" i="15" s="1"/>
  <c r="Y43" i="15"/>
  <c r="Y42" i="15" s="1"/>
  <c r="X43" i="15"/>
  <c r="X42" i="15" s="1"/>
  <c r="W43" i="15"/>
  <c r="W42" i="15" s="1"/>
  <c r="V43" i="15"/>
  <c r="V42" i="15" s="1"/>
  <c r="U43" i="15"/>
  <c r="U42" i="15" s="1"/>
  <c r="T43" i="15"/>
  <c r="T42" i="15" s="1"/>
  <c r="S43" i="15"/>
  <c r="S42" i="15" s="1"/>
  <c r="R43" i="15"/>
  <c r="R42" i="15" s="1"/>
  <c r="Q43" i="15"/>
  <c r="Q42" i="15" s="1"/>
  <c r="AB42" i="7"/>
  <c r="AB37" i="7" s="1"/>
  <c r="AA42" i="7"/>
  <c r="Z42" i="7"/>
  <c r="Y42" i="7"/>
  <c r="Y37" i="7" s="1"/>
  <c r="X42" i="7"/>
  <c r="X37" i="7" s="1"/>
  <c r="V42" i="7"/>
  <c r="V37" i="7" s="1"/>
  <c r="U42" i="7"/>
  <c r="U37" i="7" s="1"/>
  <c r="U98" i="7" s="1"/>
  <c r="AF43" i="6"/>
  <c r="AE43" i="6"/>
  <c r="AD43" i="6"/>
  <c r="AC43" i="6"/>
  <c r="AB43" i="6"/>
  <c r="AA43" i="6"/>
  <c r="AA42" i="6" s="1"/>
  <c r="AA37" i="6" s="1"/>
  <c r="Z43" i="6"/>
  <c r="Z42" i="6" s="1"/>
  <c r="Y43" i="6"/>
  <c r="Y42" i="6" s="1"/>
  <c r="X43" i="6"/>
  <c r="X42" i="6" s="1"/>
  <c r="W43" i="6"/>
  <c r="W42" i="6" s="1"/>
  <c r="V43" i="6"/>
  <c r="V42" i="6" s="1"/>
  <c r="U43" i="6"/>
  <c r="U42" i="6" s="1"/>
  <c r="T43" i="6"/>
  <c r="T42" i="6" s="1"/>
  <c r="S43" i="6"/>
  <c r="S42" i="6" s="1"/>
  <c r="R43" i="6"/>
  <c r="D125" i="5"/>
  <c r="C103" i="5"/>
  <c r="T53" i="20"/>
  <c r="T49" i="20" s="1"/>
  <c r="S53" i="20"/>
  <c r="S49" i="20" s="1"/>
  <c r="R53" i="20"/>
  <c r="R49" i="20" s="1"/>
  <c r="Q53" i="20"/>
  <c r="Q49" i="20" s="1"/>
  <c r="P53" i="20"/>
  <c r="P49" i="20" s="1"/>
  <c r="O53" i="20"/>
  <c r="O49" i="20" s="1"/>
  <c r="N53" i="20"/>
  <c r="N49" i="20" s="1"/>
  <c r="M53" i="20"/>
  <c r="M49" i="20" s="1"/>
  <c r="L53" i="20"/>
  <c r="L49" i="20" s="1"/>
  <c r="K53" i="20"/>
  <c r="K49" i="20" s="1"/>
  <c r="J53" i="20"/>
  <c r="J49" i="20" s="1"/>
  <c r="AC53" i="19"/>
  <c r="AC49" i="19" s="1"/>
  <c r="AB53" i="19"/>
  <c r="AB49" i="19" s="1"/>
  <c r="AA53" i="19"/>
  <c r="AA49" i="19" s="1"/>
  <c r="Z53" i="19"/>
  <c r="Z49" i="19" s="1"/>
  <c r="Y53" i="19"/>
  <c r="Y49" i="19" s="1"/>
  <c r="X53" i="19"/>
  <c r="X49" i="19" s="1"/>
  <c r="W53" i="19"/>
  <c r="W49" i="19" s="1"/>
  <c r="V53" i="19"/>
  <c r="V49" i="19" s="1"/>
  <c r="U53" i="19"/>
  <c r="U49" i="19" s="1"/>
  <c r="T53" i="19"/>
  <c r="T49" i="19" s="1"/>
  <c r="S53" i="19"/>
  <c r="S49" i="19" s="1"/>
  <c r="R53" i="19"/>
  <c r="R49" i="19" s="1"/>
  <c r="Q53" i="19"/>
  <c r="Q49" i="19" s="1"/>
  <c r="P53" i="19"/>
  <c r="P49" i="19" s="1"/>
  <c r="O53" i="19"/>
  <c r="O49" i="19" s="1"/>
  <c r="N53" i="19"/>
  <c r="N49" i="19" s="1"/>
  <c r="M53" i="19"/>
  <c r="M49" i="19" s="1"/>
  <c r="L53" i="19"/>
  <c r="L49" i="19" s="1"/>
  <c r="K53" i="19"/>
  <c r="K49" i="19" s="1"/>
  <c r="T51" i="14"/>
  <c r="T47" i="14" s="1"/>
  <c r="S51" i="14"/>
  <c r="S47" i="14" s="1"/>
  <c r="R51" i="14"/>
  <c r="R47" i="14" s="1"/>
  <c r="Q51" i="14"/>
  <c r="Q47" i="14" s="1"/>
  <c r="P51" i="14"/>
  <c r="P47" i="14" s="1"/>
  <c r="O51" i="14"/>
  <c r="O47" i="14" s="1"/>
  <c r="N51" i="14"/>
  <c r="N47" i="14" s="1"/>
  <c r="M51" i="14"/>
  <c r="M47" i="14" s="1"/>
  <c r="L51" i="14"/>
  <c r="L47" i="14" s="1"/>
  <c r="K51" i="14"/>
  <c r="K47" i="14" s="1"/>
  <c r="J51" i="14"/>
  <c r="J47" i="14" s="1"/>
  <c r="T51" i="12"/>
  <c r="T47" i="12" s="1"/>
  <c r="S51" i="12"/>
  <c r="S47" i="12" s="1"/>
  <c r="R51" i="12"/>
  <c r="R47" i="12" s="1"/>
  <c r="Q51" i="12"/>
  <c r="Q47" i="12" s="1"/>
  <c r="P51" i="12"/>
  <c r="P47" i="12" s="1"/>
  <c r="O51" i="12"/>
  <c r="O47" i="12" s="1"/>
  <c r="N51" i="12"/>
  <c r="N47" i="12" s="1"/>
  <c r="M51" i="12"/>
  <c r="M47" i="12" s="1"/>
  <c r="L51" i="12"/>
  <c r="L47" i="12" s="1"/>
  <c r="K51" i="12"/>
  <c r="K47" i="12" s="1"/>
  <c r="J51" i="12"/>
  <c r="J47" i="12" s="1"/>
  <c r="I51" i="12"/>
  <c r="I47" i="12" s="1"/>
  <c r="H128" i="6"/>
  <c r="H116" i="6"/>
  <c r="H16" i="6"/>
  <c r="H100" i="6" s="1"/>
  <c r="H101" i="6" s="1"/>
  <c r="BY5" i="6"/>
  <c r="L131" i="6"/>
  <c r="L136" i="6" s="1"/>
  <c r="L128" i="6"/>
  <c r="L113" i="6"/>
  <c r="L16" i="6"/>
  <c r="L100" i="6" s="1"/>
  <c r="BY6" i="6"/>
  <c r="AF92" i="6" s="1"/>
  <c r="M131" i="6"/>
  <c r="M136" i="6" s="1"/>
  <c r="M128" i="6"/>
  <c r="M113" i="6"/>
  <c r="M16" i="6"/>
  <c r="M100" i="6" s="1"/>
  <c r="O131" i="6"/>
  <c r="O136" i="6" s="1"/>
  <c r="O128" i="6"/>
  <c r="O113" i="6"/>
  <c r="O16" i="6"/>
  <c r="O100" i="6" s="1"/>
  <c r="AF61" i="6"/>
  <c r="AE61" i="6"/>
  <c r="AE55" i="6" s="1"/>
  <c r="AD61" i="6"/>
  <c r="AD55" i="6" s="1"/>
  <c r="AC61" i="6"/>
  <c r="AC55" i="6" s="1"/>
  <c r="AB61" i="6"/>
  <c r="AB55" i="6" s="1"/>
  <c r="AA61" i="6"/>
  <c r="AA55" i="6" s="1"/>
  <c r="Z61" i="6"/>
  <c r="Z55" i="6" s="1"/>
  <c r="Y61" i="6"/>
  <c r="X61" i="6"/>
  <c r="BY10" i="6"/>
  <c r="AF97" i="6"/>
  <c r="K16" i="6"/>
  <c r="K100" i="6" s="1"/>
  <c r="R16" i="6"/>
  <c r="BY15" i="6"/>
  <c r="F101" i="6"/>
  <c r="I101" i="6"/>
  <c r="J101" i="6"/>
  <c r="Q27" i="6"/>
  <c r="F39" i="11"/>
  <c r="F40" i="11" s="1"/>
  <c r="BY32" i="6"/>
  <c r="F67" i="11"/>
  <c r="BY43" i="6"/>
  <c r="F68" i="11"/>
  <c r="BY45" i="6"/>
  <c r="F69" i="11"/>
  <c r="BY46" i="6"/>
  <c r="F71" i="11"/>
  <c r="F102" i="11"/>
  <c r="BY53" i="6"/>
  <c r="BY49" i="6" s="1"/>
  <c r="F112" i="11"/>
  <c r="C116" i="11" s="1"/>
  <c r="BY61" i="6"/>
  <c r="F100" i="11"/>
  <c r="BY62" i="6"/>
  <c r="BY97" i="6"/>
  <c r="H119" i="6"/>
  <c r="E136" i="6"/>
  <c r="H152" i="6"/>
  <c r="T147" i="6"/>
  <c r="T152" i="6" s="1"/>
  <c r="D159" i="6"/>
  <c r="E169" i="6"/>
  <c r="F169" i="6" s="1"/>
  <c r="G169" i="6" s="1"/>
  <c r="H169" i="6" s="1"/>
  <c r="I169" i="6" s="1"/>
  <c r="J169" i="6" s="1"/>
  <c r="K169" i="6" s="1"/>
  <c r="L169" i="6" s="1"/>
  <c r="M169" i="6" s="1"/>
  <c r="D175" i="6"/>
  <c r="T168" i="6"/>
  <c r="E185" i="6"/>
  <c r="F185" i="6" s="1"/>
  <c r="G185" i="6" s="1"/>
  <c r="H185" i="6" s="1"/>
  <c r="I185" i="6" s="1"/>
  <c r="J185" i="6" s="1"/>
  <c r="K185" i="6" s="1"/>
  <c r="L185" i="6" s="1"/>
  <c r="M185" i="6" s="1"/>
  <c r="D191" i="6"/>
  <c r="T184" i="6"/>
  <c r="H133" i="7"/>
  <c r="H121" i="7"/>
  <c r="H16" i="7"/>
  <c r="H100" i="7" s="1"/>
  <c r="H101" i="7" s="1"/>
  <c r="I101" i="7" s="1"/>
  <c r="J101" i="7" s="1"/>
  <c r="BY5" i="7"/>
  <c r="AG91" i="7" s="1"/>
  <c r="L136" i="7"/>
  <c r="L141" i="7" s="1"/>
  <c r="L133" i="7"/>
  <c r="L118" i="7"/>
  <c r="L16" i="7"/>
  <c r="L100" i="7" s="1"/>
  <c r="BY6" i="7"/>
  <c r="M136" i="7"/>
  <c r="M141" i="7" s="1"/>
  <c r="M133" i="7"/>
  <c r="M118" i="7"/>
  <c r="M16" i="7"/>
  <c r="M100" i="7" s="1"/>
  <c r="O136" i="7"/>
  <c r="O141" i="7" s="1"/>
  <c r="O133" i="7"/>
  <c r="O118" i="7"/>
  <c r="O16" i="7"/>
  <c r="O100" i="7" s="1"/>
  <c r="R136" i="7"/>
  <c r="R141" i="7" s="1"/>
  <c r="R133" i="7"/>
  <c r="R118" i="7"/>
  <c r="R16" i="7"/>
  <c r="R100" i="7" s="1"/>
  <c r="L15" i="9"/>
  <c r="V136" i="7"/>
  <c r="V141" i="7" s="1"/>
  <c r="V133" i="7"/>
  <c r="V118" i="7"/>
  <c r="G17" i="9"/>
  <c r="BY61" i="7"/>
  <c r="BY10" i="7"/>
  <c r="S16" i="7"/>
  <c r="S100" i="7" s="1"/>
  <c r="W16" i="7"/>
  <c r="K16" i="7"/>
  <c r="K100" i="7" s="1"/>
  <c r="BY15" i="7"/>
  <c r="Q27" i="7"/>
  <c r="BY42" i="7"/>
  <c r="BY43" i="7"/>
  <c r="BY46" i="7"/>
  <c r="BY97" i="7"/>
  <c r="E141" i="7"/>
  <c r="H157" i="7"/>
  <c r="T152" i="7"/>
  <c r="T157" i="7" s="1"/>
  <c r="D164" i="7"/>
  <c r="E174" i="7"/>
  <c r="F174" i="7" s="1"/>
  <c r="G174" i="7" s="1"/>
  <c r="H174" i="7" s="1"/>
  <c r="I174" i="7" s="1"/>
  <c r="J174" i="7" s="1"/>
  <c r="K174" i="7" s="1"/>
  <c r="L174" i="7" s="1"/>
  <c r="M174" i="7" s="1"/>
  <c r="D180" i="7"/>
  <c r="T173" i="7"/>
  <c r="E190" i="7"/>
  <c r="F190" i="7" s="1"/>
  <c r="G190" i="7" s="1"/>
  <c r="H190" i="7" s="1"/>
  <c r="I190" i="7" s="1"/>
  <c r="J190" i="7" s="1"/>
  <c r="K190" i="7" s="1"/>
  <c r="L190" i="7" s="1"/>
  <c r="M190" i="7" s="1"/>
  <c r="D196" i="7"/>
  <c r="T189" i="7"/>
  <c r="E8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2" i="8"/>
  <c r="C21" i="8"/>
  <c r="C20" i="8"/>
  <c r="C19" i="8"/>
  <c r="C18" i="8"/>
  <c r="C17" i="8"/>
  <c r="C16" i="8"/>
  <c r="C15" i="8"/>
  <c r="C14" i="8"/>
  <c r="C13" i="8"/>
  <c r="C12" i="8"/>
  <c r="C10" i="8"/>
  <c r="C9" i="8"/>
  <c r="D9" i="8" s="1"/>
  <c r="T8" i="8"/>
  <c r="R79" i="8"/>
  <c r="R78" i="8"/>
  <c r="R77" i="8"/>
  <c r="R76" i="8"/>
  <c r="R75" i="8"/>
  <c r="R74" i="8"/>
  <c r="R73" i="8"/>
  <c r="R72" i="8"/>
  <c r="R71" i="8"/>
  <c r="R70" i="8"/>
  <c r="R69" i="8"/>
  <c r="R68" i="8"/>
  <c r="R67" i="8"/>
  <c r="R66" i="8"/>
  <c r="R65" i="8"/>
  <c r="R64" i="8"/>
  <c r="R63" i="8"/>
  <c r="R62" i="8"/>
  <c r="R61" i="8"/>
  <c r="R60" i="8"/>
  <c r="R59" i="8"/>
  <c r="R58" i="8"/>
  <c r="R57" i="8"/>
  <c r="R56" i="8"/>
  <c r="R55" i="8"/>
  <c r="R54" i="8"/>
  <c r="R53" i="8"/>
  <c r="R52" i="8"/>
  <c r="R51" i="8"/>
  <c r="R50" i="8"/>
  <c r="R49" i="8"/>
  <c r="R48" i="8"/>
  <c r="R47" i="8"/>
  <c r="R46" i="8"/>
  <c r="R45" i="8"/>
  <c r="R44" i="8"/>
  <c r="R43" i="8"/>
  <c r="R42" i="8"/>
  <c r="R41" i="8"/>
  <c r="R40" i="8"/>
  <c r="R39" i="8"/>
  <c r="R38" i="8"/>
  <c r="R37" i="8"/>
  <c r="R36" i="8"/>
  <c r="R35" i="8"/>
  <c r="R34" i="8"/>
  <c r="R33" i="8"/>
  <c r="R32" i="8"/>
  <c r="R31" i="8"/>
  <c r="R30" i="8"/>
  <c r="R29" i="8"/>
  <c r="R28" i="8"/>
  <c r="R27" i="8"/>
  <c r="R26" i="8"/>
  <c r="R25" i="8"/>
  <c r="R24" i="8"/>
  <c r="R23" i="8"/>
  <c r="R22" i="8"/>
  <c r="R21" i="8"/>
  <c r="R20" i="8"/>
  <c r="R19" i="8"/>
  <c r="R18" i="8"/>
  <c r="R17" i="8"/>
  <c r="R16" i="8"/>
  <c r="R15" i="8"/>
  <c r="R14" i="8"/>
  <c r="R13" i="8"/>
  <c r="R12" i="8"/>
  <c r="R11" i="8"/>
  <c r="R10" i="8"/>
  <c r="R9" i="8"/>
  <c r="S9" i="8" s="1"/>
  <c r="J20" i="9"/>
  <c r="J19" i="9"/>
  <c r="J18" i="9"/>
  <c r="J17" i="9"/>
  <c r="J16" i="9"/>
  <c r="K20" i="9"/>
  <c r="K19" i="9"/>
  <c r="K18" i="9"/>
  <c r="K17" i="9"/>
  <c r="K16" i="9"/>
  <c r="N20" i="9"/>
  <c r="N19" i="9"/>
  <c r="N18" i="9"/>
  <c r="N17" i="9"/>
  <c r="N16" i="9"/>
  <c r="O20" i="9"/>
  <c r="O19" i="9"/>
  <c r="O18" i="9"/>
  <c r="O17" i="9"/>
  <c r="O16" i="9"/>
  <c r="R20" i="9"/>
  <c r="P20" i="9"/>
  <c r="R19" i="9"/>
  <c r="P19" i="9"/>
  <c r="P18" i="9"/>
  <c r="R17" i="9"/>
  <c r="P17" i="9"/>
  <c r="R16" i="9"/>
  <c r="P16" i="9"/>
  <c r="Q18" i="9"/>
  <c r="Q17" i="9"/>
  <c r="Q16" i="9"/>
  <c r="G22" i="10"/>
  <c r="H10" i="10"/>
  <c r="H16" i="10"/>
  <c r="C14" i="11"/>
  <c r="F13" i="11"/>
  <c r="F12" i="11"/>
  <c r="F66" i="11"/>
  <c r="F65" i="11"/>
  <c r="F62" i="11" s="1"/>
  <c r="N19" i="11"/>
  <c r="M17" i="11"/>
  <c r="F50" i="11"/>
  <c r="C51" i="11" s="1"/>
  <c r="F52" i="11" s="1"/>
  <c r="F41" i="11"/>
  <c r="R39" i="11"/>
  <c r="F24" i="11"/>
  <c r="H3" i="23"/>
  <c r="H33" i="23" s="1"/>
  <c r="H110" i="12"/>
  <c r="H16" i="12"/>
  <c r="BY5" i="12"/>
  <c r="D134" i="12"/>
  <c r="D136" i="12" s="1"/>
  <c r="T90" i="12"/>
  <c r="CB6" i="12"/>
  <c r="CB49" i="12" s="1"/>
  <c r="T60" i="12"/>
  <c r="S60" i="12"/>
  <c r="S53" i="12" s="1"/>
  <c r="R60" i="12"/>
  <c r="R53" i="12" s="1"/>
  <c r="Q60" i="12"/>
  <c r="Q53" i="12" s="1"/>
  <c r="P60" i="12"/>
  <c r="P53" i="12" s="1"/>
  <c r="O60" i="12"/>
  <c r="O53" i="12" s="1"/>
  <c r="N60" i="12"/>
  <c r="N53" i="12" s="1"/>
  <c r="M60" i="12"/>
  <c r="M53" i="12" s="1"/>
  <c r="L60" i="12"/>
  <c r="L53" i="12" s="1"/>
  <c r="K60" i="12"/>
  <c r="BY11" i="12"/>
  <c r="BY15" i="12"/>
  <c r="CB15" i="12" s="1"/>
  <c r="BX161" i="12"/>
  <c r="BY43" i="12"/>
  <c r="BY44" i="12"/>
  <c r="BY51" i="12"/>
  <c r="BY47" i="12" s="1"/>
  <c r="E132" i="12"/>
  <c r="F132" i="12" s="1"/>
  <c r="G132" i="12" s="1"/>
  <c r="H132" i="12" s="1"/>
  <c r="I132" i="12" s="1"/>
  <c r="J132" i="12" s="1"/>
  <c r="K132" i="12" s="1"/>
  <c r="L132" i="12" s="1"/>
  <c r="M132" i="12" s="1"/>
  <c r="N132" i="12" s="1"/>
  <c r="O132" i="12" s="1"/>
  <c r="P132" i="12" s="1"/>
  <c r="Q132" i="12" s="1"/>
  <c r="R132" i="12" s="1"/>
  <c r="S132" i="12" s="1"/>
  <c r="E147" i="12"/>
  <c r="E148" i="12" s="1"/>
  <c r="F148" i="12" s="1"/>
  <c r="G148" i="12" s="1"/>
  <c r="H147" i="12"/>
  <c r="T142" i="12"/>
  <c r="E164" i="12"/>
  <c r="F164" i="12" s="1"/>
  <c r="G164" i="12" s="1"/>
  <c r="H164" i="12" s="1"/>
  <c r="I164" i="12" s="1"/>
  <c r="J164" i="12" s="1"/>
  <c r="K164" i="12" s="1"/>
  <c r="L164" i="12" s="1"/>
  <c r="M164" i="12" s="1"/>
  <c r="BX163" i="12"/>
  <c r="D165" i="12" s="1"/>
  <c r="E180" i="12"/>
  <c r="F180" i="12" s="1"/>
  <c r="G180" i="12" s="1"/>
  <c r="H180" i="12" s="1"/>
  <c r="I180" i="12" s="1"/>
  <c r="J180" i="12" s="1"/>
  <c r="K180" i="12" s="1"/>
  <c r="L180" i="12" s="1"/>
  <c r="M180" i="12" s="1"/>
  <c r="T8" i="13"/>
  <c r="R79" i="13"/>
  <c r="R78" i="13"/>
  <c r="R77" i="13"/>
  <c r="R76" i="13"/>
  <c r="R75" i="13"/>
  <c r="R74" i="13"/>
  <c r="R73" i="13"/>
  <c r="R72" i="13"/>
  <c r="R71" i="13"/>
  <c r="R70" i="13"/>
  <c r="R69" i="13"/>
  <c r="R68" i="13"/>
  <c r="R67" i="13"/>
  <c r="R66" i="13"/>
  <c r="R65" i="13"/>
  <c r="R64" i="13"/>
  <c r="R63" i="13"/>
  <c r="R62" i="13"/>
  <c r="R61" i="13"/>
  <c r="R60" i="13"/>
  <c r="R59" i="13"/>
  <c r="R58" i="13"/>
  <c r="R57" i="13"/>
  <c r="R56" i="13"/>
  <c r="R55" i="13"/>
  <c r="R54" i="13"/>
  <c r="R53" i="13"/>
  <c r="R52" i="13"/>
  <c r="R51" i="13"/>
  <c r="R50" i="13"/>
  <c r="R49" i="13"/>
  <c r="R48" i="13"/>
  <c r="R47" i="13"/>
  <c r="R46" i="13"/>
  <c r="R45" i="13"/>
  <c r="R44" i="13"/>
  <c r="R43" i="13"/>
  <c r="R42" i="13"/>
  <c r="R41" i="13"/>
  <c r="R40" i="13"/>
  <c r="R39" i="13"/>
  <c r="R38" i="13"/>
  <c r="R37" i="13"/>
  <c r="R36" i="13"/>
  <c r="R35" i="13"/>
  <c r="R34" i="13"/>
  <c r="R33" i="13"/>
  <c r="R32" i="13"/>
  <c r="R31" i="13"/>
  <c r="R30" i="13"/>
  <c r="R29" i="13"/>
  <c r="R28" i="13"/>
  <c r="R27" i="13"/>
  <c r="R26" i="13"/>
  <c r="R25" i="13"/>
  <c r="R24" i="13"/>
  <c r="R23" i="13"/>
  <c r="R22" i="13"/>
  <c r="R21" i="13"/>
  <c r="R20" i="13"/>
  <c r="R19" i="13"/>
  <c r="R18" i="13"/>
  <c r="R17" i="13"/>
  <c r="R16" i="13"/>
  <c r="R15" i="13"/>
  <c r="R14" i="13"/>
  <c r="R13" i="13"/>
  <c r="R12" i="13"/>
  <c r="R11" i="13"/>
  <c r="R10" i="13"/>
  <c r="R9" i="13"/>
  <c r="S9" i="13" s="1"/>
  <c r="H110" i="14"/>
  <c r="H16" i="14"/>
  <c r="H97" i="14" s="1"/>
  <c r="H98" i="14" s="1"/>
  <c r="BY5" i="14"/>
  <c r="T90" i="14"/>
  <c r="CB6" i="14"/>
  <c r="T60" i="14"/>
  <c r="S60" i="14"/>
  <c r="S53" i="14" s="1"/>
  <c r="R60" i="14"/>
  <c r="R53" i="14" s="1"/>
  <c r="Q60" i="14"/>
  <c r="BY11" i="14"/>
  <c r="J16" i="14"/>
  <c r="BY15" i="14"/>
  <c r="CB15" i="14" s="1"/>
  <c r="F98" i="14"/>
  <c r="I98" i="14"/>
  <c r="BY43" i="14"/>
  <c r="BY44" i="14"/>
  <c r="BY51" i="14"/>
  <c r="BY47" i="14" s="1"/>
  <c r="E133" i="14"/>
  <c r="H149" i="14"/>
  <c r="T144" i="14"/>
  <c r="T149" i="14" s="1"/>
  <c r="D156" i="14"/>
  <c r="E166" i="14"/>
  <c r="F166" i="14" s="1"/>
  <c r="G166" i="14" s="1"/>
  <c r="H166" i="14" s="1"/>
  <c r="I166" i="14" s="1"/>
  <c r="J166" i="14" s="1"/>
  <c r="K166" i="14" s="1"/>
  <c r="L166" i="14" s="1"/>
  <c r="M166" i="14" s="1"/>
  <c r="D172" i="14"/>
  <c r="T165" i="14"/>
  <c r="E182" i="14"/>
  <c r="F182" i="14" s="1"/>
  <c r="G182" i="14" s="1"/>
  <c r="H182" i="14" s="1"/>
  <c r="I182" i="14" s="1"/>
  <c r="J182" i="14" s="1"/>
  <c r="K182" i="14" s="1"/>
  <c r="L182" i="14" s="1"/>
  <c r="M182" i="14" s="1"/>
  <c r="D188" i="14"/>
  <c r="T181" i="14"/>
  <c r="H113" i="15"/>
  <c r="H16" i="15"/>
  <c r="H100" i="15" s="1"/>
  <c r="H101" i="15" s="1"/>
  <c r="BY5" i="15"/>
  <c r="L131" i="15"/>
  <c r="L136" i="15" s="1"/>
  <c r="L113" i="15"/>
  <c r="L16" i="15"/>
  <c r="L100" i="15" s="1"/>
  <c r="BY6" i="15"/>
  <c r="M131" i="15"/>
  <c r="M136" i="15" s="1"/>
  <c r="M113" i="15"/>
  <c r="M16" i="15"/>
  <c r="M100" i="15" s="1"/>
  <c r="P131" i="15"/>
  <c r="P136" i="15" s="1"/>
  <c r="P113" i="15"/>
  <c r="P16" i="15"/>
  <c r="BY10" i="15"/>
  <c r="AA62" i="15"/>
  <c r="AA55" i="15" s="1"/>
  <c r="Z62" i="15"/>
  <c r="Z55" i="15" s="1"/>
  <c r="Y62" i="15"/>
  <c r="Y55" i="15" s="1"/>
  <c r="X62" i="15"/>
  <c r="X55" i="15" s="1"/>
  <c r="W62" i="15"/>
  <c r="W55" i="15" s="1"/>
  <c r="V62" i="15"/>
  <c r="V55" i="15" s="1"/>
  <c r="U62" i="15"/>
  <c r="U55" i="15" s="1"/>
  <c r="T62" i="15"/>
  <c r="T55" i="15" s="1"/>
  <c r="S62" i="15"/>
  <c r="S55" i="15" s="1"/>
  <c r="R62" i="15"/>
  <c r="R55" i="15" s="1"/>
  <c r="Q62" i="15"/>
  <c r="Q55" i="15" s="1"/>
  <c r="BY11" i="15"/>
  <c r="K16" i="15"/>
  <c r="K100" i="15" s="1"/>
  <c r="BY15" i="15"/>
  <c r="CB15" i="15" s="1"/>
  <c r="F101" i="15"/>
  <c r="I101" i="15"/>
  <c r="J101" i="15"/>
  <c r="O98" i="15"/>
  <c r="O100" i="15" s="1"/>
  <c r="P24" i="15"/>
  <c r="P27" i="15"/>
  <c r="BY42" i="15"/>
  <c r="BY43" i="15"/>
  <c r="BY45" i="15"/>
  <c r="BY46" i="15"/>
  <c r="BY62" i="15"/>
  <c r="BY55" i="15" s="1"/>
  <c r="AA163" i="15"/>
  <c r="AA168" i="15" s="1"/>
  <c r="BY93" i="15"/>
  <c r="V123" i="15"/>
  <c r="V124" i="15" s="1"/>
  <c r="E136" i="15"/>
  <c r="H152" i="15"/>
  <c r="T147" i="15"/>
  <c r="T152" i="15" s="1"/>
  <c r="D159" i="15"/>
  <c r="E169" i="15"/>
  <c r="F169" i="15" s="1"/>
  <c r="G169" i="15" s="1"/>
  <c r="H169" i="15" s="1"/>
  <c r="I169" i="15" s="1"/>
  <c r="J169" i="15" s="1"/>
  <c r="K169" i="15" s="1"/>
  <c r="L169" i="15" s="1"/>
  <c r="M169" i="15" s="1"/>
  <c r="D175" i="15"/>
  <c r="T168" i="15"/>
  <c r="E185" i="15"/>
  <c r="F185" i="15" s="1"/>
  <c r="G185" i="15" s="1"/>
  <c r="H185" i="15" s="1"/>
  <c r="I185" i="15" s="1"/>
  <c r="J185" i="15" s="1"/>
  <c r="K185" i="15" s="1"/>
  <c r="L185" i="15" s="1"/>
  <c r="M185" i="15" s="1"/>
  <c r="D191" i="15"/>
  <c r="T184" i="15"/>
  <c r="H116" i="16"/>
  <c r="H16" i="16"/>
  <c r="H100" i="16" s="1"/>
  <c r="H101" i="16" s="1"/>
  <c r="BY5" i="16"/>
  <c r="L131" i="16"/>
  <c r="L136" i="16" s="1"/>
  <c r="L113" i="16"/>
  <c r="L16" i="16"/>
  <c r="L100" i="16" s="1"/>
  <c r="BY6" i="16"/>
  <c r="M131" i="16"/>
  <c r="M136" i="16" s="1"/>
  <c r="M113" i="16"/>
  <c r="M16" i="16"/>
  <c r="M100" i="16" s="1"/>
  <c r="O131" i="16"/>
  <c r="O136" i="16" s="1"/>
  <c r="O113" i="16"/>
  <c r="O16" i="16"/>
  <c r="O100" i="16" s="1"/>
  <c r="P131" i="16"/>
  <c r="P136" i="16" s="1"/>
  <c r="P113" i="16"/>
  <c r="P16" i="16"/>
  <c r="AA61" i="16"/>
  <c r="Z61" i="16"/>
  <c r="Y61" i="16"/>
  <c r="X61" i="16"/>
  <c r="W61" i="16"/>
  <c r="V61" i="16"/>
  <c r="BY10" i="16"/>
  <c r="Q11" i="16"/>
  <c r="K16" i="16"/>
  <c r="K100" i="16" s="1"/>
  <c r="BY15" i="16"/>
  <c r="CB15" i="16" s="1"/>
  <c r="F101" i="16"/>
  <c r="I101" i="16"/>
  <c r="J101" i="16"/>
  <c r="P24" i="16"/>
  <c r="Q27" i="16"/>
  <c r="BY42" i="16"/>
  <c r="BY43" i="16"/>
  <c r="BY45" i="16"/>
  <c r="BY46" i="16"/>
  <c r="BY61" i="16"/>
  <c r="AA163" i="16"/>
  <c r="AA168" i="16" s="1"/>
  <c r="BY93" i="16"/>
  <c r="H119" i="16"/>
  <c r="V123" i="16"/>
  <c r="V124" i="16" s="1"/>
  <c r="T119" i="16"/>
  <c r="V125" i="16" s="1"/>
  <c r="V126" i="16" s="1"/>
  <c r="E136" i="16"/>
  <c r="H152" i="16"/>
  <c r="T147" i="16"/>
  <c r="T152" i="16" s="1"/>
  <c r="D159" i="16"/>
  <c r="E169" i="16"/>
  <c r="F169" i="16" s="1"/>
  <c r="G169" i="16" s="1"/>
  <c r="H169" i="16" s="1"/>
  <c r="I169" i="16" s="1"/>
  <c r="J169" i="16" s="1"/>
  <c r="K169" i="16" s="1"/>
  <c r="L169" i="16" s="1"/>
  <c r="M169" i="16" s="1"/>
  <c r="D175" i="16"/>
  <c r="T168" i="16"/>
  <c r="E185" i="16"/>
  <c r="F185" i="16" s="1"/>
  <c r="G185" i="16" s="1"/>
  <c r="H185" i="16" s="1"/>
  <c r="I185" i="16" s="1"/>
  <c r="J185" i="16" s="1"/>
  <c r="K185" i="16" s="1"/>
  <c r="L185" i="16" s="1"/>
  <c r="M185" i="16" s="1"/>
  <c r="D191" i="16"/>
  <c r="T184" i="16"/>
  <c r="H113" i="17"/>
  <c r="H16" i="17"/>
  <c r="H100" i="17" s="1"/>
  <c r="H101" i="17" s="1"/>
  <c r="BY5" i="17"/>
  <c r="L131" i="17"/>
  <c r="L136" i="17" s="1"/>
  <c r="L113" i="17"/>
  <c r="L16" i="17"/>
  <c r="L100" i="17" s="1"/>
  <c r="BY6" i="17"/>
  <c r="M131" i="17"/>
  <c r="M136" i="17" s="1"/>
  <c r="M113" i="17"/>
  <c r="M16" i="17"/>
  <c r="M100" i="17" s="1"/>
  <c r="O131" i="17"/>
  <c r="O136" i="17" s="1"/>
  <c r="O113" i="17"/>
  <c r="O16" i="17"/>
  <c r="O100" i="17" s="1"/>
  <c r="AA61" i="17"/>
  <c r="Z61" i="17"/>
  <c r="Y61" i="17"/>
  <c r="X61" i="17"/>
  <c r="W61" i="17"/>
  <c r="V61" i="17"/>
  <c r="BY10" i="17"/>
  <c r="Q11" i="17"/>
  <c r="K16" i="17"/>
  <c r="K100" i="17" s="1"/>
  <c r="BY15" i="17"/>
  <c r="CB15" i="17" s="1"/>
  <c r="F101" i="17"/>
  <c r="I101" i="17"/>
  <c r="J101" i="17"/>
  <c r="P24" i="17"/>
  <c r="Q27" i="17"/>
  <c r="BY42" i="17"/>
  <c r="BY43" i="17"/>
  <c r="BY45" i="17"/>
  <c r="BY46" i="17"/>
  <c r="BY61" i="17"/>
  <c r="AA163" i="17"/>
  <c r="AA168" i="17" s="1"/>
  <c r="BY93" i="17"/>
  <c r="V123" i="17"/>
  <c r="V124" i="17" s="1"/>
  <c r="E136" i="17"/>
  <c r="H152" i="17"/>
  <c r="T147" i="17"/>
  <c r="T152" i="17" s="1"/>
  <c r="D159" i="17"/>
  <c r="E169" i="17"/>
  <c r="F169" i="17" s="1"/>
  <c r="G169" i="17" s="1"/>
  <c r="H169" i="17" s="1"/>
  <c r="I169" i="17" s="1"/>
  <c r="J169" i="17" s="1"/>
  <c r="K169" i="17" s="1"/>
  <c r="L169" i="17" s="1"/>
  <c r="M169" i="17" s="1"/>
  <c r="D175" i="17"/>
  <c r="T168" i="17"/>
  <c r="E185" i="17"/>
  <c r="F185" i="17" s="1"/>
  <c r="G185" i="17" s="1"/>
  <c r="H185" i="17" s="1"/>
  <c r="I185" i="17" s="1"/>
  <c r="J185" i="17" s="1"/>
  <c r="K185" i="17" s="1"/>
  <c r="L185" i="17" s="1"/>
  <c r="M185" i="17" s="1"/>
  <c r="D191" i="17"/>
  <c r="T184" i="17"/>
  <c r="T8" i="18"/>
  <c r="R79" i="18"/>
  <c r="R78" i="18"/>
  <c r="R77" i="18"/>
  <c r="R76" i="18"/>
  <c r="R75" i="18"/>
  <c r="R74" i="18"/>
  <c r="R73" i="18"/>
  <c r="R72" i="18"/>
  <c r="R71" i="18"/>
  <c r="R70" i="18"/>
  <c r="R69" i="18"/>
  <c r="R68" i="18"/>
  <c r="R67" i="18"/>
  <c r="R66" i="18"/>
  <c r="R65" i="18"/>
  <c r="R64" i="18"/>
  <c r="R63" i="18"/>
  <c r="R62" i="18"/>
  <c r="R61" i="18"/>
  <c r="R60" i="18"/>
  <c r="R59" i="18"/>
  <c r="R58" i="18"/>
  <c r="R57" i="18"/>
  <c r="R56" i="18"/>
  <c r="R55" i="18"/>
  <c r="R54" i="18"/>
  <c r="R53" i="18"/>
  <c r="R52" i="18"/>
  <c r="R51" i="18"/>
  <c r="R50" i="18"/>
  <c r="R49" i="18"/>
  <c r="R48" i="18"/>
  <c r="R47" i="18"/>
  <c r="R46" i="18"/>
  <c r="R45" i="18"/>
  <c r="R44" i="18"/>
  <c r="R43" i="18"/>
  <c r="R42" i="18"/>
  <c r="R41" i="18"/>
  <c r="R40" i="18"/>
  <c r="R39" i="18"/>
  <c r="R38" i="18"/>
  <c r="R37" i="18"/>
  <c r="R36" i="18"/>
  <c r="R35" i="18"/>
  <c r="R34" i="18"/>
  <c r="R33" i="18"/>
  <c r="R32" i="18"/>
  <c r="R31" i="18"/>
  <c r="R30" i="18"/>
  <c r="R29" i="18"/>
  <c r="R28" i="18"/>
  <c r="R27" i="18"/>
  <c r="R26" i="18"/>
  <c r="R25" i="18"/>
  <c r="R24" i="18"/>
  <c r="R23" i="18"/>
  <c r="R22" i="18"/>
  <c r="R21" i="18"/>
  <c r="R20" i="18"/>
  <c r="R19" i="18"/>
  <c r="R18" i="18"/>
  <c r="R17" i="18"/>
  <c r="R16" i="18"/>
  <c r="R15" i="18"/>
  <c r="R14" i="18"/>
  <c r="R13" i="18"/>
  <c r="R12" i="18"/>
  <c r="R11" i="18"/>
  <c r="R10" i="18"/>
  <c r="R9" i="18"/>
  <c r="S9" i="18" s="1"/>
  <c r="H112" i="19"/>
  <c r="H16" i="19"/>
  <c r="H99" i="19" s="1"/>
  <c r="H100" i="19" s="1"/>
  <c r="BY5" i="19"/>
  <c r="J130" i="19"/>
  <c r="J135" i="19" s="1"/>
  <c r="J112" i="19"/>
  <c r="J16" i="19"/>
  <c r="J99" i="19" s="1"/>
  <c r="BY6" i="19"/>
  <c r="L191" i="19"/>
  <c r="L196" i="19" s="1"/>
  <c r="L145" i="19"/>
  <c r="L150" i="19" s="1"/>
  <c r="L16" i="19"/>
  <c r="BY7" i="19"/>
  <c r="AC62" i="19"/>
  <c r="AB62" i="19"/>
  <c r="AB55" i="19" s="1"/>
  <c r="AA62" i="19"/>
  <c r="AA55" i="19" s="1"/>
  <c r="Z62" i="19"/>
  <c r="Z55" i="19" s="1"/>
  <c r="Y62" i="19"/>
  <c r="Y55" i="19" s="1"/>
  <c r="X62" i="19"/>
  <c r="X55" i="19" s="1"/>
  <c r="W62" i="19"/>
  <c r="W55" i="19" s="1"/>
  <c r="V62" i="19"/>
  <c r="V55" i="19" s="1"/>
  <c r="U62" i="19"/>
  <c r="U55" i="19" s="1"/>
  <c r="T62" i="19"/>
  <c r="T55" i="19" s="1"/>
  <c r="S62" i="19"/>
  <c r="S55" i="19" s="1"/>
  <c r="R62" i="19"/>
  <c r="R55" i="19" s="1"/>
  <c r="Q62" i="19"/>
  <c r="Q55" i="19" s="1"/>
  <c r="BY11" i="19"/>
  <c r="N16" i="19"/>
  <c r="O16" i="19"/>
  <c r="K16" i="19"/>
  <c r="BY15" i="19"/>
  <c r="CB15" i="19" s="1"/>
  <c r="F100" i="19"/>
  <c r="I100" i="19"/>
  <c r="L98" i="19"/>
  <c r="M98" i="19"/>
  <c r="N98" i="19"/>
  <c r="O98" i="19"/>
  <c r="BY45" i="19"/>
  <c r="BY46" i="19"/>
  <c r="BY53" i="19"/>
  <c r="BY49" i="19" s="1"/>
  <c r="L132" i="19"/>
  <c r="BY57" i="19"/>
  <c r="BY62" i="19"/>
  <c r="L130" i="19"/>
  <c r="L135" i="19" s="1"/>
  <c r="L112" i="19"/>
  <c r="E135" i="19"/>
  <c r="E150" i="19"/>
  <c r="E151" i="19" s="1"/>
  <c r="F151" i="19" s="1"/>
  <c r="G151" i="19" s="1"/>
  <c r="H151" i="19" s="1"/>
  <c r="I151" i="19" s="1"/>
  <c r="J151" i="19" s="1"/>
  <c r="K151" i="19" s="1"/>
  <c r="L151" i="19" s="1"/>
  <c r="M151" i="19" s="1"/>
  <c r="N151" i="19" s="1"/>
  <c r="O151" i="19" s="1"/>
  <c r="P151" i="19" s="1"/>
  <c r="Q151" i="19" s="1"/>
  <c r="R151" i="19" s="1"/>
  <c r="S151" i="19" s="1"/>
  <c r="T151" i="19" s="1"/>
  <c r="U151" i="19" s="1"/>
  <c r="V151" i="19" s="1"/>
  <c r="W151" i="19" s="1"/>
  <c r="X151" i="19" s="1"/>
  <c r="Y151" i="19" s="1"/>
  <c r="Z151" i="19" s="1"/>
  <c r="AA151" i="19" s="1"/>
  <c r="AB151" i="19" s="1"/>
  <c r="H180" i="19"/>
  <c r="T175" i="19"/>
  <c r="T180" i="19" s="1"/>
  <c r="D187" i="19"/>
  <c r="E197" i="19"/>
  <c r="F197" i="19" s="1"/>
  <c r="G197" i="19" s="1"/>
  <c r="H197" i="19" s="1"/>
  <c r="I197" i="19" s="1"/>
  <c r="J197" i="19" s="1"/>
  <c r="K197" i="19" s="1"/>
  <c r="L197" i="19" s="1"/>
  <c r="M197" i="19" s="1"/>
  <c r="D203" i="19"/>
  <c r="T196" i="19"/>
  <c r="E213" i="19"/>
  <c r="F213" i="19" s="1"/>
  <c r="G213" i="19" s="1"/>
  <c r="H213" i="19" s="1"/>
  <c r="I213" i="19" s="1"/>
  <c r="J213" i="19" s="1"/>
  <c r="K213" i="19" s="1"/>
  <c r="L213" i="19" s="1"/>
  <c r="M213" i="19" s="1"/>
  <c r="D219" i="19"/>
  <c r="T212" i="19"/>
  <c r="H112" i="20"/>
  <c r="H16" i="20"/>
  <c r="H99" i="20" s="1"/>
  <c r="H100" i="20" s="1"/>
  <c r="BY5" i="20"/>
  <c r="T92" i="20"/>
  <c r="CB6" i="20"/>
  <c r="T62" i="20"/>
  <c r="S62" i="20"/>
  <c r="S55" i="20" s="1"/>
  <c r="R62" i="20"/>
  <c r="R55" i="20" s="1"/>
  <c r="Q62" i="20"/>
  <c r="BY11" i="20"/>
  <c r="J16" i="20"/>
  <c r="BY15" i="20"/>
  <c r="CB15" i="20" s="1"/>
  <c r="F100" i="20"/>
  <c r="I100" i="20"/>
  <c r="BY45" i="20"/>
  <c r="BY46" i="20"/>
  <c r="BY53" i="20"/>
  <c r="BY49" i="20" s="1"/>
  <c r="E135" i="20"/>
  <c r="H151" i="20"/>
  <c r="T146" i="20"/>
  <c r="T151" i="20" s="1"/>
  <c r="D158" i="20"/>
  <c r="E168" i="20"/>
  <c r="F168" i="20" s="1"/>
  <c r="G168" i="20" s="1"/>
  <c r="H168" i="20" s="1"/>
  <c r="I168" i="20" s="1"/>
  <c r="J168" i="20" s="1"/>
  <c r="K168" i="20" s="1"/>
  <c r="L168" i="20" s="1"/>
  <c r="M168" i="20" s="1"/>
  <c r="D174" i="20"/>
  <c r="T167" i="20"/>
  <c r="E184" i="20"/>
  <c r="F184" i="20" s="1"/>
  <c r="G184" i="20" s="1"/>
  <c r="H184" i="20" s="1"/>
  <c r="I184" i="20" s="1"/>
  <c r="J184" i="20" s="1"/>
  <c r="K184" i="20" s="1"/>
  <c r="L184" i="20" s="1"/>
  <c r="M184" i="20" s="1"/>
  <c r="D190" i="20"/>
  <c r="T183" i="20"/>
  <c r="T8" i="21"/>
  <c r="R79" i="21"/>
  <c r="R78" i="21"/>
  <c r="R77" i="21"/>
  <c r="R76" i="21"/>
  <c r="R75" i="21"/>
  <c r="R74" i="21"/>
  <c r="R73" i="21"/>
  <c r="R72" i="21"/>
  <c r="R71" i="21"/>
  <c r="R70" i="21"/>
  <c r="R69" i="21"/>
  <c r="R68" i="21"/>
  <c r="R67" i="21"/>
  <c r="R66" i="21"/>
  <c r="R65" i="21"/>
  <c r="R64" i="21"/>
  <c r="R63" i="21"/>
  <c r="R62" i="21"/>
  <c r="R61" i="21"/>
  <c r="R60" i="21"/>
  <c r="R59" i="21"/>
  <c r="R58" i="21"/>
  <c r="R57" i="21"/>
  <c r="R56" i="21"/>
  <c r="R55" i="21"/>
  <c r="R54" i="21"/>
  <c r="R53" i="21"/>
  <c r="R52" i="21"/>
  <c r="R51" i="21"/>
  <c r="R50" i="21"/>
  <c r="R49" i="21"/>
  <c r="R48" i="21"/>
  <c r="R47" i="21"/>
  <c r="R46" i="21"/>
  <c r="R45" i="21"/>
  <c r="R44" i="21"/>
  <c r="R43" i="21"/>
  <c r="R42" i="21"/>
  <c r="R41" i="21"/>
  <c r="R40" i="21"/>
  <c r="R39" i="21"/>
  <c r="R38" i="21"/>
  <c r="R37" i="21"/>
  <c r="R36" i="21"/>
  <c r="R35" i="21"/>
  <c r="R34" i="21"/>
  <c r="R33" i="21"/>
  <c r="R32" i="21"/>
  <c r="R31" i="21"/>
  <c r="R30" i="21"/>
  <c r="R29" i="21"/>
  <c r="R28" i="21"/>
  <c r="R27" i="21"/>
  <c r="R26" i="21"/>
  <c r="R25" i="21"/>
  <c r="R24" i="21"/>
  <c r="R23" i="21"/>
  <c r="R22" i="21"/>
  <c r="R21" i="21"/>
  <c r="R20" i="21"/>
  <c r="R19" i="21"/>
  <c r="R18" i="21"/>
  <c r="R17" i="21"/>
  <c r="R16" i="21"/>
  <c r="R15" i="21"/>
  <c r="R14" i="21"/>
  <c r="R13" i="21"/>
  <c r="R12" i="21"/>
  <c r="R11" i="21"/>
  <c r="R10" i="21"/>
  <c r="R9" i="21"/>
  <c r="S9" i="21" s="1"/>
  <c r="J8" i="22"/>
  <c r="H79" i="22"/>
  <c r="H78" i="22"/>
  <c r="H77" i="22"/>
  <c r="H76" i="22"/>
  <c r="H75" i="22"/>
  <c r="H74" i="22"/>
  <c r="H73" i="22"/>
  <c r="H72" i="22"/>
  <c r="H71" i="22"/>
  <c r="H70" i="22"/>
  <c r="H69" i="22"/>
  <c r="H68" i="22"/>
  <c r="H67" i="22"/>
  <c r="H66" i="22"/>
  <c r="H65" i="22"/>
  <c r="H64" i="22"/>
  <c r="H63" i="22"/>
  <c r="H62" i="22"/>
  <c r="H61" i="22"/>
  <c r="H60" i="22"/>
  <c r="H59" i="22"/>
  <c r="H58" i="22"/>
  <c r="H57" i="22"/>
  <c r="H56" i="22"/>
  <c r="H55" i="22"/>
  <c r="H54" i="22"/>
  <c r="H53" i="22"/>
  <c r="H52" i="22"/>
  <c r="H51" i="22"/>
  <c r="H50" i="22"/>
  <c r="H49" i="22"/>
  <c r="H48" i="22"/>
  <c r="H47" i="22"/>
  <c r="H46" i="22"/>
  <c r="H45" i="22"/>
  <c r="H44" i="22"/>
  <c r="H43" i="22"/>
  <c r="H42" i="22"/>
  <c r="H41" i="22"/>
  <c r="H40" i="22"/>
  <c r="H39" i="22"/>
  <c r="H38" i="22"/>
  <c r="H37" i="22"/>
  <c r="H36" i="22"/>
  <c r="H35" i="22"/>
  <c r="H34" i="22"/>
  <c r="H33" i="22"/>
  <c r="H32" i="22"/>
  <c r="H31" i="22"/>
  <c r="H30" i="22"/>
  <c r="H29" i="22"/>
  <c r="H28" i="22"/>
  <c r="H27" i="22"/>
  <c r="H26" i="22"/>
  <c r="H25" i="22"/>
  <c r="H24" i="22"/>
  <c r="H23" i="22"/>
  <c r="H22" i="22"/>
  <c r="H21" i="22"/>
  <c r="H20" i="22"/>
  <c r="H19" i="22"/>
  <c r="H18" i="22"/>
  <c r="H17" i="22"/>
  <c r="H16" i="22"/>
  <c r="H15" i="22"/>
  <c r="H14" i="22"/>
  <c r="H13" i="22"/>
  <c r="H12" i="22"/>
  <c r="H11" i="22"/>
  <c r="H10" i="22"/>
  <c r="H9" i="22"/>
  <c r="I9" i="22" s="1"/>
  <c r="O8" i="22"/>
  <c r="M79" i="22"/>
  <c r="M78" i="22"/>
  <c r="M77" i="22"/>
  <c r="M76" i="22"/>
  <c r="M75" i="22"/>
  <c r="M74" i="22"/>
  <c r="M73" i="22"/>
  <c r="M72" i="22"/>
  <c r="M71" i="22"/>
  <c r="M70" i="22"/>
  <c r="M69" i="22"/>
  <c r="M68" i="22"/>
  <c r="M67" i="22"/>
  <c r="M66" i="22"/>
  <c r="M65" i="22"/>
  <c r="M64" i="22"/>
  <c r="M63" i="22"/>
  <c r="M62" i="22"/>
  <c r="M61" i="22"/>
  <c r="M60" i="22"/>
  <c r="M59" i="22"/>
  <c r="M58" i="22"/>
  <c r="M57" i="22"/>
  <c r="M56" i="22"/>
  <c r="M55" i="22"/>
  <c r="M54" i="22"/>
  <c r="M53" i="22"/>
  <c r="M52" i="22"/>
  <c r="M51" i="22"/>
  <c r="M50" i="22"/>
  <c r="M49" i="22"/>
  <c r="M48" i="22"/>
  <c r="M47" i="22"/>
  <c r="M46" i="22"/>
  <c r="M45" i="22"/>
  <c r="M44" i="22"/>
  <c r="M43" i="22"/>
  <c r="M42" i="22"/>
  <c r="M41" i="22"/>
  <c r="M40" i="22"/>
  <c r="M39" i="22"/>
  <c r="M38" i="22"/>
  <c r="M37" i="22"/>
  <c r="M36" i="22"/>
  <c r="M35" i="22"/>
  <c r="M34" i="22"/>
  <c r="M33" i="22"/>
  <c r="M32" i="22"/>
  <c r="M31" i="22"/>
  <c r="M30" i="22"/>
  <c r="M29" i="22"/>
  <c r="M28" i="22"/>
  <c r="M27" i="22"/>
  <c r="M26" i="22"/>
  <c r="M25" i="22"/>
  <c r="M24" i="22"/>
  <c r="M23" i="22"/>
  <c r="M22" i="22"/>
  <c r="M21" i="22"/>
  <c r="M20" i="22"/>
  <c r="M19" i="22"/>
  <c r="M18" i="22"/>
  <c r="M17" i="22"/>
  <c r="M16" i="22"/>
  <c r="M15" i="22"/>
  <c r="M14" i="22"/>
  <c r="M13" i="22"/>
  <c r="M12" i="22"/>
  <c r="M11" i="22"/>
  <c r="M10" i="22"/>
  <c r="M9" i="22"/>
  <c r="N9" i="22" s="1"/>
  <c r="T8" i="22"/>
  <c r="R79" i="22"/>
  <c r="R78" i="22"/>
  <c r="R77" i="22"/>
  <c r="R76" i="22"/>
  <c r="R75" i="22"/>
  <c r="R74" i="22"/>
  <c r="R73" i="22"/>
  <c r="R72" i="22"/>
  <c r="R71" i="22"/>
  <c r="R70" i="22"/>
  <c r="R69" i="22"/>
  <c r="R68" i="22"/>
  <c r="R67" i="22"/>
  <c r="R66" i="22"/>
  <c r="R65" i="22"/>
  <c r="R64" i="22"/>
  <c r="R63" i="22"/>
  <c r="R62" i="22"/>
  <c r="R61" i="22"/>
  <c r="R60" i="22"/>
  <c r="R59" i="22"/>
  <c r="R58" i="22"/>
  <c r="R57" i="22"/>
  <c r="R56" i="22"/>
  <c r="R55" i="22"/>
  <c r="R54" i="22"/>
  <c r="R53" i="22"/>
  <c r="R52" i="22"/>
  <c r="R51" i="22"/>
  <c r="R50" i="22"/>
  <c r="R49" i="22"/>
  <c r="R48" i="22"/>
  <c r="R47" i="22"/>
  <c r="R46" i="22"/>
  <c r="R45" i="22"/>
  <c r="R44" i="22"/>
  <c r="R43" i="22"/>
  <c r="R42" i="22"/>
  <c r="R41" i="22"/>
  <c r="R40" i="22"/>
  <c r="R39" i="22"/>
  <c r="R38" i="22"/>
  <c r="R37" i="22"/>
  <c r="R36" i="22"/>
  <c r="R35" i="22"/>
  <c r="R34" i="22"/>
  <c r="R33" i="22"/>
  <c r="R32" i="22"/>
  <c r="R31" i="22"/>
  <c r="R30" i="22"/>
  <c r="R29" i="22"/>
  <c r="R28" i="22"/>
  <c r="R27" i="22"/>
  <c r="R26" i="22"/>
  <c r="R25" i="22"/>
  <c r="R24" i="22"/>
  <c r="R23" i="22"/>
  <c r="R22" i="22"/>
  <c r="R21" i="22"/>
  <c r="R20" i="22"/>
  <c r="R19" i="22"/>
  <c r="R18" i="22"/>
  <c r="R17" i="22"/>
  <c r="R16" i="22"/>
  <c r="R15" i="22"/>
  <c r="R14" i="22"/>
  <c r="R13" i="22"/>
  <c r="R12" i="22"/>
  <c r="R11" i="22"/>
  <c r="R10" i="22"/>
  <c r="R9" i="22"/>
  <c r="S9" i="22" s="1"/>
  <c r="E33" i="23"/>
  <c r="E35" i="23" s="1"/>
  <c r="F35" i="23" s="1"/>
  <c r="G35" i="23" s="1"/>
  <c r="H35" i="23" s="1"/>
  <c r="I35" i="23" s="1"/>
  <c r="J35" i="23" s="1"/>
  <c r="K35" i="23" s="1"/>
  <c r="L35" i="23" s="1"/>
  <c r="M35" i="23" s="1"/>
  <c r="N35" i="23" s="1"/>
  <c r="O35" i="23" s="1"/>
  <c r="P35" i="23" s="1"/>
  <c r="Q35" i="23" s="1"/>
  <c r="R35" i="23" s="1"/>
  <c r="S35" i="23" s="1"/>
  <c r="H128" i="26"/>
  <c r="H116" i="26"/>
  <c r="H16" i="26"/>
  <c r="H100" i="26" s="1"/>
  <c r="H101" i="26" s="1"/>
  <c r="BY5" i="26"/>
  <c r="L131" i="26"/>
  <c r="L136" i="26" s="1"/>
  <c r="L128" i="26"/>
  <c r="L113" i="26"/>
  <c r="L16" i="26"/>
  <c r="L100" i="26" s="1"/>
  <c r="BY6" i="26"/>
  <c r="M131" i="26"/>
  <c r="M136" i="26" s="1"/>
  <c r="M128" i="26"/>
  <c r="M113" i="26"/>
  <c r="M16" i="26"/>
  <c r="M100" i="26" s="1"/>
  <c r="O131" i="26"/>
  <c r="O136" i="26" s="1"/>
  <c r="O128" i="26"/>
  <c r="O113" i="26"/>
  <c r="O16" i="26"/>
  <c r="O100" i="26" s="1"/>
  <c r="AA61" i="26"/>
  <c r="Z61" i="26"/>
  <c r="Y61" i="26"/>
  <c r="X61" i="26"/>
  <c r="BY10" i="26"/>
  <c r="AA62" i="26"/>
  <c r="Z62" i="26"/>
  <c r="Y62" i="26"/>
  <c r="X62" i="26"/>
  <c r="W62" i="26"/>
  <c r="W55" i="26" s="1"/>
  <c r="V62" i="26"/>
  <c r="V55" i="26" s="1"/>
  <c r="U62" i="26"/>
  <c r="U55" i="26" s="1"/>
  <c r="T62" i="26"/>
  <c r="T55" i="26" s="1"/>
  <c r="S62" i="26"/>
  <c r="S55" i="26" s="1"/>
  <c r="R62" i="26"/>
  <c r="R55" i="26" s="1"/>
  <c r="BY11" i="26"/>
  <c r="K16" i="26"/>
  <c r="K100" i="26" s="1"/>
  <c r="BY15" i="26"/>
  <c r="CB15" i="26" s="1"/>
  <c r="F101" i="26"/>
  <c r="I101" i="26"/>
  <c r="J101" i="26"/>
  <c r="Q27" i="26"/>
  <c r="BY42" i="26"/>
  <c r="BY43" i="26"/>
  <c r="BY46" i="26"/>
  <c r="BY61" i="26"/>
  <c r="BY62" i="26"/>
  <c r="AA163" i="26"/>
  <c r="AA168" i="26" s="1"/>
  <c r="BY93" i="26"/>
  <c r="H119" i="26"/>
  <c r="V123" i="26"/>
  <c r="V124" i="26" s="1"/>
  <c r="T119" i="26"/>
  <c r="V125" i="26" s="1"/>
  <c r="V126" i="26" s="1"/>
  <c r="E136" i="26"/>
  <c r="H152" i="26"/>
  <c r="T147" i="26"/>
  <c r="T152" i="26" s="1"/>
  <c r="D159" i="26"/>
  <c r="E169" i="26"/>
  <c r="F169" i="26" s="1"/>
  <c r="G169" i="26" s="1"/>
  <c r="H169" i="26" s="1"/>
  <c r="I169" i="26" s="1"/>
  <c r="J169" i="26" s="1"/>
  <c r="K169" i="26" s="1"/>
  <c r="L169" i="26" s="1"/>
  <c r="M169" i="26" s="1"/>
  <c r="D175" i="26"/>
  <c r="T168" i="26"/>
  <c r="E185" i="26"/>
  <c r="F185" i="26" s="1"/>
  <c r="G185" i="26" s="1"/>
  <c r="H185" i="26" s="1"/>
  <c r="I185" i="26" s="1"/>
  <c r="J185" i="26" s="1"/>
  <c r="K185" i="26" s="1"/>
  <c r="L185" i="26" s="1"/>
  <c r="M185" i="26" s="1"/>
  <c r="D191" i="26"/>
  <c r="T184" i="26"/>
  <c r="F9" i="27"/>
  <c r="C10" i="27" s="1"/>
  <c r="J17" i="27"/>
  <c r="N8" i="27"/>
  <c r="F16" i="27"/>
  <c r="M17" i="27"/>
  <c r="N10" i="27"/>
  <c r="N11" i="27"/>
  <c r="N12" i="27"/>
  <c r="N13" i="27"/>
  <c r="N14" i="27"/>
  <c r="N15" i="27"/>
  <c r="N16" i="27"/>
  <c r="AQ158" i="7" l="1"/>
  <c r="AR158" i="7" s="1"/>
  <c r="AS158" i="7" s="1"/>
  <c r="AT158" i="7" s="1"/>
  <c r="AU158" i="7" s="1"/>
  <c r="AV158" i="7" s="1"/>
  <c r="AW158" i="7" s="1"/>
  <c r="AX158" i="7" s="1"/>
  <c r="AY158" i="7" s="1"/>
  <c r="AZ158" i="7" s="1"/>
  <c r="BA158" i="7" s="1"/>
  <c r="BB158" i="7" s="1"/>
  <c r="BC158" i="7" s="1"/>
  <c r="BD158" i="7" s="1"/>
  <c r="BE158" i="7" s="1"/>
  <c r="BF158" i="7" s="1"/>
  <c r="BG158" i="7" s="1"/>
  <c r="BH158" i="7" s="1"/>
  <c r="BI158" i="7" s="1"/>
  <c r="BJ158" i="7" s="1"/>
  <c r="BK158" i="7" s="1"/>
  <c r="BL158" i="7" s="1"/>
  <c r="BM158" i="7" s="1"/>
  <c r="BN158" i="7" s="1"/>
  <c r="BO158" i="7" s="1"/>
  <c r="BP158" i="7" s="1"/>
  <c r="BQ158" i="7" s="1"/>
  <c r="BR158" i="7" s="1"/>
  <c r="BS158" i="7" s="1"/>
  <c r="BT158" i="7" s="1"/>
  <c r="BU158" i="7" s="1"/>
  <c r="BV158" i="7" s="1"/>
  <c r="BW158" i="7" s="1"/>
  <c r="AG56" i="7"/>
  <c r="AD118" i="7"/>
  <c r="AG92" i="7"/>
  <c r="BY92" i="7" s="1"/>
  <c r="AP190" i="7"/>
  <c r="AQ190" i="7" s="1"/>
  <c r="AR190" i="7" s="1"/>
  <c r="AS190" i="7" s="1"/>
  <c r="AT190" i="7" s="1"/>
  <c r="AU190" i="7" s="1"/>
  <c r="AV190" i="7" s="1"/>
  <c r="AW190" i="7" s="1"/>
  <c r="AX190" i="7" s="1"/>
  <c r="AY190" i="7" s="1"/>
  <c r="AZ190" i="7" s="1"/>
  <c r="BA190" i="7" s="1"/>
  <c r="BB190" i="7" s="1"/>
  <c r="BC190" i="7" s="1"/>
  <c r="BD190" i="7" s="1"/>
  <c r="BE190" i="7" s="1"/>
  <c r="BF190" i="7" s="1"/>
  <c r="BG190" i="7" s="1"/>
  <c r="BH190" i="7" s="1"/>
  <c r="BI190" i="7" s="1"/>
  <c r="BJ190" i="7" s="1"/>
  <c r="BK190" i="7" s="1"/>
  <c r="BL190" i="7" s="1"/>
  <c r="BM190" i="7" s="1"/>
  <c r="BN190" i="7" s="1"/>
  <c r="BO190" i="7" s="1"/>
  <c r="BP190" i="7" s="1"/>
  <c r="BQ190" i="7" s="1"/>
  <c r="BR190" i="7" s="1"/>
  <c r="BS190" i="7" s="1"/>
  <c r="BT190" i="7" s="1"/>
  <c r="BU190" i="7" s="1"/>
  <c r="BV190" i="7" s="1"/>
  <c r="BW190" i="7" s="1"/>
  <c r="H124" i="7"/>
  <c r="AX142" i="7"/>
  <c r="AY142" i="7" s="1"/>
  <c r="AZ142" i="7" s="1"/>
  <c r="BA142" i="7" s="1"/>
  <c r="BB142" i="7" s="1"/>
  <c r="BC142" i="7" s="1"/>
  <c r="BD142" i="7" s="1"/>
  <c r="BE142" i="7" s="1"/>
  <c r="BF142" i="7" s="1"/>
  <c r="BG142" i="7" s="1"/>
  <c r="BH142" i="7" s="1"/>
  <c r="BI142" i="7" s="1"/>
  <c r="BJ142" i="7" s="1"/>
  <c r="BK142" i="7" s="1"/>
  <c r="BL142" i="7" s="1"/>
  <c r="BM142" i="7" s="1"/>
  <c r="BN142" i="7" s="1"/>
  <c r="BO142" i="7" s="1"/>
  <c r="BP142" i="7" s="1"/>
  <c r="BQ142" i="7" s="1"/>
  <c r="BR142" i="7" s="1"/>
  <c r="BS142" i="7" s="1"/>
  <c r="BT142" i="7" s="1"/>
  <c r="BU142" i="7" s="1"/>
  <c r="BV142" i="7" s="1"/>
  <c r="BW142" i="7" s="1"/>
  <c r="AC158" i="7"/>
  <c r="AD158" i="7" s="1"/>
  <c r="AE158" i="7" s="1"/>
  <c r="BX177" i="12"/>
  <c r="BX179" i="12" s="1"/>
  <c r="D181" i="12" s="1"/>
  <c r="AE90" i="7"/>
  <c r="AD110" i="7"/>
  <c r="AD136" i="7"/>
  <c r="O99" i="7"/>
  <c r="P99" i="7" s="1"/>
  <c r="AA34" i="28"/>
  <c r="AA27" i="28" s="1"/>
  <c r="Z34" i="28"/>
  <c r="Y34" i="28"/>
  <c r="X34" i="28"/>
  <c r="BY34" i="28" s="1"/>
  <c r="Y28" i="28"/>
  <c r="Y27" i="28" s="1"/>
  <c r="Y99" i="28" s="1"/>
  <c r="X28" i="28"/>
  <c r="X27" i="28" s="1"/>
  <c r="W28" i="28"/>
  <c r="W27" i="28" s="1"/>
  <c r="V28" i="28"/>
  <c r="AP81" i="28"/>
  <c r="AP64" i="28" s="1"/>
  <c r="AP14" i="28" s="1"/>
  <c r="AQ81" i="28"/>
  <c r="AQ64" i="28" s="1"/>
  <c r="AQ14" i="28" s="1"/>
  <c r="AS15" i="28" s="1"/>
  <c r="AR81" i="28"/>
  <c r="AR64" i="28" s="1"/>
  <c r="AS81" i="28"/>
  <c r="AS64" i="28" s="1"/>
  <c r="AT81" i="28"/>
  <c r="AT64" i="28" s="1"/>
  <c r="AU81" i="28"/>
  <c r="AU64" i="28" s="1"/>
  <c r="AV81" i="28"/>
  <c r="AV64" i="28" s="1"/>
  <c r="AW81" i="28"/>
  <c r="AW64" i="28" s="1"/>
  <c r="AW14" i="28" s="1"/>
  <c r="AY15" i="28" s="1"/>
  <c r="AX81" i="28"/>
  <c r="AX64" i="28" s="1"/>
  <c r="AX14" i="28" s="1"/>
  <c r="AY81" i="28"/>
  <c r="AY64" i="28" s="1"/>
  <c r="AY14" i="28" s="1"/>
  <c r="AY17" i="28" s="1"/>
  <c r="AZ81" i="28"/>
  <c r="AZ64" i="28" s="1"/>
  <c r="CE64" i="28" s="1"/>
  <c r="CE65" i="28" s="1"/>
  <c r="AO81" i="28"/>
  <c r="AO64" i="28" s="1"/>
  <c r="AO14" i="28" s="1"/>
  <c r="AB81" i="28"/>
  <c r="AA81" i="28"/>
  <c r="AA64" i="28" s="1"/>
  <c r="Z81" i="28"/>
  <c r="AZ14" i="28"/>
  <c r="AS175" i="28"/>
  <c r="AT175" i="28" s="1"/>
  <c r="AU175" i="28" s="1"/>
  <c r="AV175" i="28" s="1"/>
  <c r="AW175" i="28" s="1"/>
  <c r="AX175" i="28" s="1"/>
  <c r="AY175" i="28" s="1"/>
  <c r="AZ175" i="28" s="1"/>
  <c r="BA175" i="28" s="1"/>
  <c r="BB175" i="28" s="1"/>
  <c r="BC175" i="28" s="1"/>
  <c r="BD175" i="28" s="1"/>
  <c r="BE175" i="28" s="1"/>
  <c r="BF175" i="28" s="1"/>
  <c r="BG175" i="28" s="1"/>
  <c r="BH175" i="28" s="1"/>
  <c r="BI175" i="28" s="1"/>
  <c r="BJ175" i="28" s="1"/>
  <c r="BK175" i="28" s="1"/>
  <c r="BL175" i="28" s="1"/>
  <c r="BM175" i="28" s="1"/>
  <c r="BN175" i="28" s="1"/>
  <c r="BO175" i="28" s="1"/>
  <c r="BP175" i="28" s="1"/>
  <c r="BQ175" i="28" s="1"/>
  <c r="BR175" i="28" s="1"/>
  <c r="BS175" i="28" s="1"/>
  <c r="BT175" i="28" s="1"/>
  <c r="BU175" i="28" s="1"/>
  <c r="BV175" i="28" s="1"/>
  <c r="BW175" i="28" s="1"/>
  <c r="AV143" i="28"/>
  <c r="AW143" i="28" s="1"/>
  <c r="AX143" i="28" s="1"/>
  <c r="AY143" i="28" s="1"/>
  <c r="AZ143" i="28" s="1"/>
  <c r="BA143" i="28" s="1"/>
  <c r="BB143" i="28" s="1"/>
  <c r="BC143" i="28" s="1"/>
  <c r="BD143" i="28" s="1"/>
  <c r="BE143" i="28" s="1"/>
  <c r="BF143" i="28" s="1"/>
  <c r="BG143" i="28" s="1"/>
  <c r="BH143" i="28" s="1"/>
  <c r="BI143" i="28" s="1"/>
  <c r="BJ143" i="28" s="1"/>
  <c r="BK143" i="28" s="1"/>
  <c r="AD191" i="28"/>
  <c r="AE191" i="28" s="1"/>
  <c r="AD159" i="28"/>
  <c r="AE159" i="28" s="1"/>
  <c r="X99" i="28"/>
  <c r="H99" i="28"/>
  <c r="BY63" i="28"/>
  <c r="AP191" i="28"/>
  <c r="AQ191" i="28" s="1"/>
  <c r="AR191" i="28" s="1"/>
  <c r="AS191" i="28" s="1"/>
  <c r="AT191" i="28" s="1"/>
  <c r="AU191" i="28" s="1"/>
  <c r="AV191" i="28" s="1"/>
  <c r="AW191" i="28" s="1"/>
  <c r="AX191" i="28" s="1"/>
  <c r="AY191" i="28" s="1"/>
  <c r="AZ191" i="28" s="1"/>
  <c r="BA191" i="28" s="1"/>
  <c r="BB191" i="28" s="1"/>
  <c r="BC191" i="28" s="1"/>
  <c r="BD191" i="28" s="1"/>
  <c r="BE191" i="28" s="1"/>
  <c r="BF191" i="28" s="1"/>
  <c r="BG191" i="28" s="1"/>
  <c r="BH191" i="28" s="1"/>
  <c r="BI191" i="28" s="1"/>
  <c r="BJ191" i="28" s="1"/>
  <c r="BK191" i="28" s="1"/>
  <c r="BL191" i="28" s="1"/>
  <c r="BM191" i="28" s="1"/>
  <c r="BN191" i="28" s="1"/>
  <c r="BO191" i="28" s="1"/>
  <c r="BP191" i="28" s="1"/>
  <c r="BQ191" i="28" s="1"/>
  <c r="BR191" i="28" s="1"/>
  <c r="BS191" i="28" s="1"/>
  <c r="BT191" i="28" s="1"/>
  <c r="BU191" i="28" s="1"/>
  <c r="BV191" i="28" s="1"/>
  <c r="BW191" i="28" s="1"/>
  <c r="AP159" i="28"/>
  <c r="AQ159" i="28" s="1"/>
  <c r="AR159" i="28" s="1"/>
  <c r="AS159" i="28" s="1"/>
  <c r="AT159" i="28" s="1"/>
  <c r="AU159" i="28" s="1"/>
  <c r="AV159" i="28" s="1"/>
  <c r="AW159" i="28" s="1"/>
  <c r="AX159" i="28" s="1"/>
  <c r="AY159" i="28" s="1"/>
  <c r="AZ159" i="28" s="1"/>
  <c r="BA159" i="28" s="1"/>
  <c r="BB159" i="28" s="1"/>
  <c r="BC159" i="28" s="1"/>
  <c r="BD159" i="28" s="1"/>
  <c r="BE159" i="28" s="1"/>
  <c r="BF159" i="28" s="1"/>
  <c r="BG159" i="28" s="1"/>
  <c r="BH159" i="28" s="1"/>
  <c r="BI159" i="28" s="1"/>
  <c r="BJ159" i="28" s="1"/>
  <c r="BK159" i="28" s="1"/>
  <c r="BL159" i="28" s="1"/>
  <c r="BM159" i="28" s="1"/>
  <c r="BN159" i="28" s="1"/>
  <c r="BO159" i="28" s="1"/>
  <c r="BP159" i="28" s="1"/>
  <c r="BQ159" i="28" s="1"/>
  <c r="BR159" i="28" s="1"/>
  <c r="BS159" i="28" s="1"/>
  <c r="BT159" i="28" s="1"/>
  <c r="BU159" i="28" s="1"/>
  <c r="BV159" i="28" s="1"/>
  <c r="BW159" i="28" s="1"/>
  <c r="BY50" i="28"/>
  <c r="AV14" i="28"/>
  <c r="AX15" i="28" s="1"/>
  <c r="W38" i="28"/>
  <c r="BY47" i="28"/>
  <c r="AS14" i="28"/>
  <c r="AU15" i="28" s="1"/>
  <c r="AT14" i="28"/>
  <c r="AV15" i="28" s="1"/>
  <c r="AV17" i="28" s="1"/>
  <c r="AR14" i="28"/>
  <c r="AT15" i="28" s="1"/>
  <c r="AU14" i="28"/>
  <c r="AW15" i="28" s="1"/>
  <c r="AW17" i="28" s="1"/>
  <c r="R101" i="28"/>
  <c r="AQ62" i="28"/>
  <c r="AQ56" i="28" s="1"/>
  <c r="AQ99" i="28" s="1"/>
  <c r="AY62" i="28"/>
  <c r="AY56" i="28" s="1"/>
  <c r="AY99" i="28" s="1"/>
  <c r="AY101" i="28" s="1"/>
  <c r="AR62" i="28"/>
  <c r="AR56" i="28" s="1"/>
  <c r="AZ62" i="28"/>
  <c r="AZ56" i="28" s="1"/>
  <c r="AZ99" i="28" s="1"/>
  <c r="AS62" i="28"/>
  <c r="AS56" i="28" s="1"/>
  <c r="AS99" i="28" s="1"/>
  <c r="AT62" i="28"/>
  <c r="AT56" i="28" s="1"/>
  <c r="AT99" i="28" s="1"/>
  <c r="AU62" i="28"/>
  <c r="AU56" i="28" s="1"/>
  <c r="AV62" i="28"/>
  <c r="AV56" i="28" s="1"/>
  <c r="AV99" i="28" s="1"/>
  <c r="AW62" i="28"/>
  <c r="AW56" i="28" s="1"/>
  <c r="AW99" i="28" s="1"/>
  <c r="AO62" i="28"/>
  <c r="AP62" i="28"/>
  <c r="AX62" i="28"/>
  <c r="AX56" i="28" s="1"/>
  <c r="AX99" i="28" s="1"/>
  <c r="BL143" i="28"/>
  <c r="BM143" i="28" s="1"/>
  <c r="BN143" i="28" s="1"/>
  <c r="BO143" i="28" s="1"/>
  <c r="BP143" i="28" s="1"/>
  <c r="BQ143" i="28" s="1"/>
  <c r="BR143" i="28" s="1"/>
  <c r="BS143" i="28" s="1"/>
  <c r="BT143" i="28" s="1"/>
  <c r="BU143" i="28" s="1"/>
  <c r="BV143" i="28" s="1"/>
  <c r="BW143" i="28" s="1"/>
  <c r="AE175" i="28"/>
  <c r="T101" i="28"/>
  <c r="AP56" i="28"/>
  <c r="AP99" i="28" s="1"/>
  <c r="D165" i="28"/>
  <c r="L101" i="28"/>
  <c r="F102" i="28"/>
  <c r="F159" i="28"/>
  <c r="G159" i="28" s="1"/>
  <c r="H159" i="28" s="1"/>
  <c r="I159" i="28" s="1"/>
  <c r="J159" i="28" s="1"/>
  <c r="K159" i="28" s="1"/>
  <c r="L159" i="28" s="1"/>
  <c r="M159" i="28" s="1"/>
  <c r="AU99" i="28"/>
  <c r="AR99" i="28"/>
  <c r="N191" i="28"/>
  <c r="N175" i="28"/>
  <c r="D160" i="28"/>
  <c r="E143" i="28"/>
  <c r="F143" i="28" s="1"/>
  <c r="G143" i="28" s="1"/>
  <c r="H143" i="28" s="1"/>
  <c r="I143" i="28" s="1"/>
  <c r="J143" i="28" s="1"/>
  <c r="K143" i="28" s="1"/>
  <c r="L143" i="28" s="1"/>
  <c r="M143" i="28" s="1"/>
  <c r="N143" i="28" s="1"/>
  <c r="O143" i="28" s="1"/>
  <c r="P143" i="28" s="1"/>
  <c r="Q143" i="28" s="1"/>
  <c r="R143" i="28" s="1"/>
  <c r="S143" i="28" s="1"/>
  <c r="Q27" i="28"/>
  <c r="Q99" i="28" s="1"/>
  <c r="AE17" i="28"/>
  <c r="AE101" i="28" s="1"/>
  <c r="AA97" i="28"/>
  <c r="AA91" i="28" s="1"/>
  <c r="AA56" i="28"/>
  <c r="AA9" i="28"/>
  <c r="V125" i="28"/>
  <c r="V111" i="28"/>
  <c r="R125" i="28"/>
  <c r="R111" i="28"/>
  <c r="O125" i="28"/>
  <c r="O111" i="28"/>
  <c r="M125" i="28"/>
  <c r="M111" i="28"/>
  <c r="AB137" i="28"/>
  <c r="BY93" i="28"/>
  <c r="L125" i="28"/>
  <c r="L111" i="28"/>
  <c r="D127" i="28"/>
  <c r="D129" i="28" s="1"/>
  <c r="AB92" i="28"/>
  <c r="AB57" i="28"/>
  <c r="BZ5" i="28"/>
  <c r="G135" i="28"/>
  <c r="AB134" i="28"/>
  <c r="AC134" i="28" s="1"/>
  <c r="AO134" i="28" s="1"/>
  <c r="F104" i="5"/>
  <c r="J18" i="27"/>
  <c r="N22" i="27"/>
  <c r="F15" i="27"/>
  <c r="E15" i="1"/>
  <c r="F43" i="27"/>
  <c r="F42" i="27"/>
  <c r="F39" i="27"/>
  <c r="R28" i="27"/>
  <c r="F11" i="27"/>
  <c r="N185" i="26"/>
  <c r="N169" i="26"/>
  <c r="D154" i="26"/>
  <c r="H153" i="26"/>
  <c r="I153" i="26" s="1"/>
  <c r="J153" i="26" s="1"/>
  <c r="K153" i="26" s="1"/>
  <c r="L153" i="26" s="1"/>
  <c r="M153" i="26" s="1"/>
  <c r="E137" i="26"/>
  <c r="F137" i="26" s="1"/>
  <c r="G137" i="26" s="1"/>
  <c r="H137" i="26" s="1"/>
  <c r="I137" i="26" s="1"/>
  <c r="J137" i="26" s="1"/>
  <c r="K137" i="26" s="1"/>
  <c r="L137" i="26" s="1"/>
  <c r="M137" i="26" s="1"/>
  <c r="N137" i="26" s="1"/>
  <c r="O137" i="26" s="1"/>
  <c r="P137" i="26" s="1"/>
  <c r="Q137" i="26" s="1"/>
  <c r="R137" i="26" s="1"/>
  <c r="S137" i="26" s="1"/>
  <c r="Q26" i="26"/>
  <c r="Q98" i="26" s="1"/>
  <c r="Q100" i="26" s="1"/>
  <c r="BY27" i="26"/>
  <c r="K101" i="26"/>
  <c r="Z97" i="26"/>
  <c r="Z90" i="26" s="1"/>
  <c r="Y97" i="26"/>
  <c r="Y90" i="26" s="1"/>
  <c r="X97" i="26"/>
  <c r="X90" i="26" s="1"/>
  <c r="W97" i="26"/>
  <c r="W90" i="26" s="1"/>
  <c r="V97" i="26"/>
  <c r="V90" i="26" s="1"/>
  <c r="U97" i="26"/>
  <c r="U90" i="26" s="1"/>
  <c r="T97" i="26"/>
  <c r="T90" i="26" s="1"/>
  <c r="S97" i="26"/>
  <c r="CF14" i="26"/>
  <c r="CF11" i="26"/>
  <c r="CB11" i="26"/>
  <c r="CB10" i="26"/>
  <c r="X55" i="26"/>
  <c r="X9" i="26"/>
  <c r="Y55" i="26"/>
  <c r="Y9" i="26"/>
  <c r="Z55" i="26"/>
  <c r="O119" i="26"/>
  <c r="O105" i="26"/>
  <c r="M119" i="26"/>
  <c r="M105" i="26"/>
  <c r="AA92" i="26"/>
  <c r="CB6" i="26"/>
  <c r="L101" i="26"/>
  <c r="M101" i="26" s="1"/>
  <c r="N101" i="26" s="1"/>
  <c r="O101" i="26" s="1"/>
  <c r="P101" i="26" s="1"/>
  <c r="L119" i="26"/>
  <c r="L105" i="26"/>
  <c r="D121" i="26"/>
  <c r="D123" i="26" s="1"/>
  <c r="AA91" i="26"/>
  <c r="AA56" i="26"/>
  <c r="CG23" i="26"/>
  <c r="CE10" i="26"/>
  <c r="BZ5" i="26"/>
  <c r="CB5" i="26"/>
  <c r="CC5" i="26" s="1"/>
  <c r="S10" i="22"/>
  <c r="T9" i="22"/>
  <c r="N10" i="22"/>
  <c r="O9" i="22"/>
  <c r="I10" i="22"/>
  <c r="J9" i="22"/>
  <c r="S10" i="21"/>
  <c r="T9" i="21"/>
  <c r="N184" i="20"/>
  <c r="N168" i="20"/>
  <c r="D153" i="20"/>
  <c r="H152" i="20"/>
  <c r="I152" i="20" s="1"/>
  <c r="J152" i="20" s="1"/>
  <c r="K152" i="20" s="1"/>
  <c r="L152" i="20" s="1"/>
  <c r="M152" i="20" s="1"/>
  <c r="E136" i="20"/>
  <c r="F136" i="20" s="1"/>
  <c r="G136" i="20" s="1"/>
  <c r="H136" i="20" s="1"/>
  <c r="I136" i="20" s="1"/>
  <c r="J136" i="20" s="1"/>
  <c r="K136" i="20" s="1"/>
  <c r="L136" i="20" s="1"/>
  <c r="M136" i="20" s="1"/>
  <c r="N136" i="20" s="1"/>
  <c r="O136" i="20" s="1"/>
  <c r="P136" i="20" s="1"/>
  <c r="Q136" i="20" s="1"/>
  <c r="R136" i="20" s="1"/>
  <c r="S136" i="20" s="1"/>
  <c r="S97" i="20"/>
  <c r="S90" i="20" s="1"/>
  <c r="R97" i="20"/>
  <c r="R90" i="20" s="1"/>
  <c r="Q97" i="20"/>
  <c r="CF11" i="20"/>
  <c r="BZ9" i="20"/>
  <c r="CB9" i="20" s="1"/>
  <c r="CB11" i="20"/>
  <c r="BY62" i="20"/>
  <c r="Q55" i="20"/>
  <c r="T130" i="20"/>
  <c r="BY92" i="20"/>
  <c r="D120" i="20"/>
  <c r="D122" i="20" s="1"/>
  <c r="T91" i="20"/>
  <c r="CE10" i="20"/>
  <c r="BZ5" i="20"/>
  <c r="CB5" i="20"/>
  <c r="CC5" i="20" s="1"/>
  <c r="H118" i="20"/>
  <c r="H104" i="20"/>
  <c r="N213" i="19"/>
  <c r="N197" i="19"/>
  <c r="D182" i="19"/>
  <c r="H181" i="19"/>
  <c r="I181" i="19" s="1"/>
  <c r="J181" i="19" s="1"/>
  <c r="K181" i="19" s="1"/>
  <c r="L181" i="19" s="1"/>
  <c r="M181" i="19" s="1"/>
  <c r="E136" i="19"/>
  <c r="F136" i="19" s="1"/>
  <c r="G136" i="19" s="1"/>
  <c r="H136" i="19" s="1"/>
  <c r="I136" i="19" s="1"/>
  <c r="J136" i="19" s="1"/>
  <c r="K136" i="19" s="1"/>
  <c r="L136" i="19" s="1"/>
  <c r="M136" i="19" s="1"/>
  <c r="N136" i="19" s="1"/>
  <c r="O136" i="19" s="1"/>
  <c r="P136" i="19" s="1"/>
  <c r="Q136" i="19" s="1"/>
  <c r="R136" i="19" s="1"/>
  <c r="S136" i="19" s="1"/>
  <c r="L118" i="19"/>
  <c r="L104" i="19"/>
  <c r="BY37" i="19"/>
  <c r="O99" i="19"/>
  <c r="N99" i="19"/>
  <c r="AB97" i="19"/>
  <c r="AB90" i="19" s="1"/>
  <c r="AA97" i="19"/>
  <c r="AA90" i="19" s="1"/>
  <c r="Z97" i="19"/>
  <c r="Z90" i="19" s="1"/>
  <c r="Y97" i="19"/>
  <c r="Y90" i="19" s="1"/>
  <c r="X97" i="19"/>
  <c r="X90" i="19" s="1"/>
  <c r="W97" i="19"/>
  <c r="W90" i="19" s="1"/>
  <c r="V97" i="19"/>
  <c r="V90" i="19" s="1"/>
  <c r="U97" i="19"/>
  <c r="U90" i="19" s="1"/>
  <c r="T97" i="19"/>
  <c r="T90" i="19" s="1"/>
  <c r="S97" i="19"/>
  <c r="S90" i="19" s="1"/>
  <c r="R97" i="19"/>
  <c r="R90" i="19" s="1"/>
  <c r="Q97" i="19"/>
  <c r="CF14" i="19"/>
  <c r="BZ9" i="19"/>
  <c r="CB9" i="19" s="1"/>
  <c r="CB11" i="19"/>
  <c r="AC93" i="19"/>
  <c r="CB7" i="19"/>
  <c r="L99" i="19"/>
  <c r="AC92" i="19"/>
  <c r="CB6" i="19"/>
  <c r="J100" i="19"/>
  <c r="J118" i="19"/>
  <c r="J104" i="19"/>
  <c r="D120" i="19"/>
  <c r="AC91" i="19"/>
  <c r="BZ5" i="19"/>
  <c r="CB5" i="19"/>
  <c r="CC5" i="19" s="1"/>
  <c r="H118" i="19"/>
  <c r="H104" i="19"/>
  <c r="S10" i="18"/>
  <c r="T9" i="18"/>
  <c r="N185" i="17"/>
  <c r="N169" i="17"/>
  <c r="H153" i="17"/>
  <c r="I153" i="17" s="1"/>
  <c r="J153" i="17" s="1"/>
  <c r="K153" i="17" s="1"/>
  <c r="L153" i="17" s="1"/>
  <c r="M153" i="17" s="1"/>
  <c r="E137" i="17"/>
  <c r="F137" i="17" s="1"/>
  <c r="G137" i="17" s="1"/>
  <c r="H137" i="17" s="1"/>
  <c r="I137" i="17" s="1"/>
  <c r="J137" i="17" s="1"/>
  <c r="K137" i="17" s="1"/>
  <c r="L137" i="17" s="1"/>
  <c r="M137" i="17" s="1"/>
  <c r="N137" i="17" s="1"/>
  <c r="O137" i="17" s="1"/>
  <c r="P137" i="17" s="1"/>
  <c r="Q137" i="17" s="1"/>
  <c r="R137" i="17" s="1"/>
  <c r="S137" i="17" s="1"/>
  <c r="Q26" i="17"/>
  <c r="BY27" i="17"/>
  <c r="P147" i="17"/>
  <c r="P152" i="17" s="1"/>
  <c r="D154" i="17" s="1"/>
  <c r="P23" i="17"/>
  <c r="BY24" i="17"/>
  <c r="BY23" i="17" s="1"/>
  <c r="K101" i="17"/>
  <c r="Q16" i="17"/>
  <c r="AA62" i="17"/>
  <c r="Z62" i="17"/>
  <c r="Y62" i="17"/>
  <c r="X62" i="17"/>
  <c r="W62" i="17"/>
  <c r="V62" i="17"/>
  <c r="U62" i="17"/>
  <c r="U55" i="17" s="1"/>
  <c r="T62" i="17"/>
  <c r="T55" i="17" s="1"/>
  <c r="S62" i="17"/>
  <c r="S55" i="17" s="1"/>
  <c r="R62" i="17"/>
  <c r="R55" i="17" s="1"/>
  <c r="Q62" i="17"/>
  <c r="BY11" i="17"/>
  <c r="CB10" i="17"/>
  <c r="V55" i="17"/>
  <c r="V9" i="17"/>
  <c r="W55" i="17"/>
  <c r="W9" i="17"/>
  <c r="X55" i="17"/>
  <c r="X9" i="17"/>
  <c r="Y55" i="17"/>
  <c r="Y9" i="17"/>
  <c r="Z55" i="17"/>
  <c r="Z9" i="17"/>
  <c r="O119" i="17"/>
  <c r="O105" i="17"/>
  <c r="M119" i="17"/>
  <c r="M105" i="17"/>
  <c r="AA92" i="17"/>
  <c r="CB6" i="17"/>
  <c r="L101" i="17"/>
  <c r="M101" i="17" s="1"/>
  <c r="N101" i="17" s="1"/>
  <c r="O101" i="17" s="1"/>
  <c r="L119" i="17"/>
  <c r="L105" i="17"/>
  <c r="D121" i="17"/>
  <c r="D123" i="17" s="1"/>
  <c r="AA91" i="17"/>
  <c r="CE10" i="17"/>
  <c r="CE12" i="17" s="1"/>
  <c r="BZ5" i="17"/>
  <c r="CB5" i="17"/>
  <c r="CC5" i="17" s="1"/>
  <c r="H119" i="17"/>
  <c r="H105" i="17"/>
  <c r="N185" i="16"/>
  <c r="N169" i="16"/>
  <c r="H153" i="16"/>
  <c r="I153" i="16" s="1"/>
  <c r="J153" i="16" s="1"/>
  <c r="K153" i="16" s="1"/>
  <c r="L153" i="16" s="1"/>
  <c r="M153" i="16" s="1"/>
  <c r="E137" i="16"/>
  <c r="F137" i="16" s="1"/>
  <c r="G137" i="16" s="1"/>
  <c r="H137" i="16" s="1"/>
  <c r="I137" i="16" s="1"/>
  <c r="J137" i="16" s="1"/>
  <c r="K137" i="16" s="1"/>
  <c r="L137" i="16" s="1"/>
  <c r="M137" i="16" s="1"/>
  <c r="N137" i="16" s="1"/>
  <c r="O137" i="16" s="1"/>
  <c r="P137" i="16" s="1"/>
  <c r="Q137" i="16" s="1"/>
  <c r="R137" i="16" s="1"/>
  <c r="S137" i="16" s="1"/>
  <c r="Q26" i="16"/>
  <c r="BY27" i="16"/>
  <c r="P147" i="16"/>
  <c r="P152" i="16" s="1"/>
  <c r="D154" i="16" s="1"/>
  <c r="P23" i="16"/>
  <c r="BY24" i="16"/>
  <c r="BY23" i="16" s="1"/>
  <c r="K101" i="16"/>
  <c r="AA62" i="16"/>
  <c r="Z62" i="16"/>
  <c r="Y62" i="16"/>
  <c r="X62" i="16"/>
  <c r="W62" i="16"/>
  <c r="V62" i="16"/>
  <c r="U62" i="16"/>
  <c r="U55" i="16" s="1"/>
  <c r="T62" i="16"/>
  <c r="T55" i="16" s="1"/>
  <c r="S62" i="16"/>
  <c r="S55" i="16" s="1"/>
  <c r="R62" i="16"/>
  <c r="R55" i="16" s="1"/>
  <c r="Q62" i="16"/>
  <c r="BY11" i="16"/>
  <c r="CB10" i="16"/>
  <c r="V55" i="16"/>
  <c r="V9" i="16"/>
  <c r="W55" i="16"/>
  <c r="W9" i="16"/>
  <c r="X55" i="16"/>
  <c r="X9" i="16"/>
  <c r="Y55" i="16"/>
  <c r="Y9" i="16"/>
  <c r="Z55" i="16"/>
  <c r="Z9" i="16"/>
  <c r="P119" i="16"/>
  <c r="P105" i="16"/>
  <c r="O119" i="16"/>
  <c r="O105" i="16"/>
  <c r="M119" i="16"/>
  <c r="M105" i="16"/>
  <c r="AA92" i="16"/>
  <c r="CB6" i="16"/>
  <c r="L101" i="16"/>
  <c r="M101" i="16" s="1"/>
  <c r="N101" i="16" s="1"/>
  <c r="O101" i="16" s="1"/>
  <c r="L119" i="16"/>
  <c r="L105" i="16"/>
  <c r="D121" i="16"/>
  <c r="D123" i="16" s="1"/>
  <c r="AA91" i="16"/>
  <c r="AA56" i="16"/>
  <c r="CG23" i="16"/>
  <c r="CE10" i="16"/>
  <c r="CE12" i="16" s="1"/>
  <c r="BZ5" i="16"/>
  <c r="CB5" i="16"/>
  <c r="CC5" i="16" s="1"/>
  <c r="N185" i="15"/>
  <c r="N169" i="15"/>
  <c r="H153" i="15"/>
  <c r="I153" i="15" s="1"/>
  <c r="J153" i="15" s="1"/>
  <c r="K153" i="15" s="1"/>
  <c r="L153" i="15" s="1"/>
  <c r="M153" i="15" s="1"/>
  <c r="E137" i="15"/>
  <c r="F137" i="15" s="1"/>
  <c r="G137" i="15" s="1"/>
  <c r="H137" i="15" s="1"/>
  <c r="I137" i="15" s="1"/>
  <c r="J137" i="15" s="1"/>
  <c r="K137" i="15" s="1"/>
  <c r="L137" i="15" s="1"/>
  <c r="M137" i="15" s="1"/>
  <c r="N137" i="15" s="1"/>
  <c r="O137" i="15" s="1"/>
  <c r="P137" i="15" s="1"/>
  <c r="Q137" i="15" s="1"/>
  <c r="R137" i="15" s="1"/>
  <c r="S137" i="15" s="1"/>
  <c r="P26" i="15"/>
  <c r="BY27" i="15"/>
  <c r="P147" i="15"/>
  <c r="P152" i="15" s="1"/>
  <c r="D154" i="15" s="1"/>
  <c r="P23" i="15"/>
  <c r="BY24" i="15"/>
  <c r="BY23" i="15" s="1"/>
  <c r="K101" i="15"/>
  <c r="Z97" i="15"/>
  <c r="Z90" i="15" s="1"/>
  <c r="Y97" i="15"/>
  <c r="Y90" i="15" s="1"/>
  <c r="X97" i="15"/>
  <c r="X90" i="15" s="1"/>
  <c r="W97" i="15"/>
  <c r="W90" i="15" s="1"/>
  <c r="V97" i="15"/>
  <c r="V90" i="15" s="1"/>
  <c r="U97" i="15"/>
  <c r="U90" i="15" s="1"/>
  <c r="T97" i="15"/>
  <c r="T90" i="15" s="1"/>
  <c r="S97" i="15"/>
  <c r="S90" i="15" s="1"/>
  <c r="R97" i="15"/>
  <c r="R90" i="15" s="1"/>
  <c r="Q97" i="15"/>
  <c r="CF14" i="15"/>
  <c r="CF11" i="15"/>
  <c r="CB11" i="15"/>
  <c r="BZ9" i="15"/>
  <c r="CB9" i="15" s="1"/>
  <c r="CB10" i="15"/>
  <c r="P119" i="15"/>
  <c r="P105" i="15"/>
  <c r="M119" i="15"/>
  <c r="M105" i="15"/>
  <c r="AA92" i="15"/>
  <c r="CB6" i="15"/>
  <c r="L101" i="15"/>
  <c r="M101" i="15" s="1"/>
  <c r="N101" i="15" s="1"/>
  <c r="O101" i="15" s="1"/>
  <c r="L119" i="15"/>
  <c r="L105" i="15"/>
  <c r="D121" i="15"/>
  <c r="D123" i="15" s="1"/>
  <c r="AA91" i="15"/>
  <c r="CE10" i="15"/>
  <c r="BZ5" i="15"/>
  <c r="CB5" i="15"/>
  <c r="CC5" i="15" s="1"/>
  <c r="H119" i="15"/>
  <c r="H105" i="15"/>
  <c r="N182" i="14"/>
  <c r="N166" i="14"/>
  <c r="D151" i="14"/>
  <c r="H150" i="14"/>
  <c r="I150" i="14" s="1"/>
  <c r="J150" i="14" s="1"/>
  <c r="K150" i="14" s="1"/>
  <c r="L150" i="14" s="1"/>
  <c r="M150" i="14" s="1"/>
  <c r="E134" i="14"/>
  <c r="F134" i="14" s="1"/>
  <c r="G134" i="14" s="1"/>
  <c r="H134" i="14" s="1"/>
  <c r="I134" i="14" s="1"/>
  <c r="J134" i="14" s="1"/>
  <c r="K134" i="14" s="1"/>
  <c r="L134" i="14" s="1"/>
  <c r="M134" i="14" s="1"/>
  <c r="N134" i="14" s="1"/>
  <c r="O134" i="14" s="1"/>
  <c r="P134" i="14" s="1"/>
  <c r="Q134" i="14" s="1"/>
  <c r="R134" i="14" s="1"/>
  <c r="S134" i="14" s="1"/>
  <c r="S95" i="14"/>
  <c r="S88" i="14" s="1"/>
  <c r="R95" i="14"/>
  <c r="R88" i="14" s="1"/>
  <c r="Q95" i="14"/>
  <c r="CF11" i="14"/>
  <c r="BZ9" i="14"/>
  <c r="CB9" i="14" s="1"/>
  <c r="CB11" i="14"/>
  <c r="BY60" i="14"/>
  <c r="Q53" i="14"/>
  <c r="T128" i="14"/>
  <c r="BY90" i="14"/>
  <c r="D118" i="14"/>
  <c r="D120" i="14" s="1"/>
  <c r="T89" i="14"/>
  <c r="CE10" i="14"/>
  <c r="BZ5" i="14"/>
  <c r="CB5" i="14"/>
  <c r="CC5" i="14" s="1"/>
  <c r="H116" i="14"/>
  <c r="H102" i="14"/>
  <c r="S10" i="13"/>
  <c r="T9" i="13"/>
  <c r="N180" i="12"/>
  <c r="N164" i="12"/>
  <c r="T147" i="12"/>
  <c r="D149" i="12"/>
  <c r="H148" i="12"/>
  <c r="I148" i="12" s="1"/>
  <c r="J148" i="12" s="1"/>
  <c r="K148" i="12" s="1"/>
  <c r="L148" i="12" s="1"/>
  <c r="M148" i="12" s="1"/>
  <c r="S95" i="12"/>
  <c r="S88" i="12" s="1"/>
  <c r="R95" i="12"/>
  <c r="R88" i="12" s="1"/>
  <c r="Q95" i="12"/>
  <c r="Q88" i="12" s="1"/>
  <c r="P95" i="12"/>
  <c r="CF11" i="12"/>
  <c r="BZ9" i="12"/>
  <c r="CB9" i="12" s="1"/>
  <c r="CB11" i="12"/>
  <c r="CB54" i="12" s="1"/>
  <c r="BY60" i="12"/>
  <c r="K53" i="12"/>
  <c r="T24" i="23"/>
  <c r="CK24" i="23" s="1"/>
  <c r="T126" i="12"/>
  <c r="BY90" i="12"/>
  <c r="D118" i="12"/>
  <c r="D120" i="12" s="1"/>
  <c r="T89" i="12"/>
  <c r="CE10" i="12"/>
  <c r="BZ5" i="12"/>
  <c r="CB5" i="12"/>
  <c r="H116" i="12"/>
  <c r="H102" i="12"/>
  <c r="C11" i="8"/>
  <c r="F78" i="11"/>
  <c r="C43" i="11"/>
  <c r="E62" i="11"/>
  <c r="E66" i="11"/>
  <c r="R36" i="11"/>
  <c r="F15" i="11"/>
  <c r="S10" i="8"/>
  <c r="T9" i="8"/>
  <c r="D10" i="8"/>
  <c r="E9" i="8"/>
  <c r="N190" i="7"/>
  <c r="N174" i="7"/>
  <c r="D159" i="7"/>
  <c r="H158" i="7"/>
  <c r="I158" i="7" s="1"/>
  <c r="J158" i="7" s="1"/>
  <c r="K158" i="7" s="1"/>
  <c r="L158" i="7" s="1"/>
  <c r="M158" i="7" s="1"/>
  <c r="E142" i="7"/>
  <c r="F142" i="7" s="1"/>
  <c r="G142" i="7" s="1"/>
  <c r="H142" i="7" s="1"/>
  <c r="I142" i="7" s="1"/>
  <c r="J142" i="7" s="1"/>
  <c r="K142" i="7" s="1"/>
  <c r="L142" i="7" s="1"/>
  <c r="M142" i="7" s="1"/>
  <c r="N142" i="7" s="1"/>
  <c r="O142" i="7" s="1"/>
  <c r="P142" i="7" s="1"/>
  <c r="Q142" i="7" s="1"/>
  <c r="R142" i="7" s="1"/>
  <c r="S142" i="7" s="1"/>
  <c r="Q26" i="7"/>
  <c r="Q98" i="7" s="1"/>
  <c r="K101" i="7"/>
  <c r="L101" i="7" s="1"/>
  <c r="M101" i="7" s="1"/>
  <c r="N101" i="7" s="1"/>
  <c r="O101" i="7" s="1"/>
  <c r="P101" i="7" s="1"/>
  <c r="AA90" i="7"/>
  <c r="AA55" i="7"/>
  <c r="AA9" i="7"/>
  <c r="F111" i="5"/>
  <c r="C115" i="5" s="1"/>
  <c r="V124" i="7"/>
  <c r="V110" i="7"/>
  <c r="M20" i="9"/>
  <c r="F23" i="9" s="1"/>
  <c r="G23" i="9" s="1"/>
  <c r="M19" i="9"/>
  <c r="F22" i="9" s="1"/>
  <c r="G22" i="9" s="1"/>
  <c r="M18" i="9"/>
  <c r="M17" i="9"/>
  <c r="V17" i="9"/>
  <c r="F20" i="9" s="1"/>
  <c r="M16" i="9"/>
  <c r="L16" i="9"/>
  <c r="R124" i="7"/>
  <c r="R110" i="7"/>
  <c r="O124" i="7"/>
  <c r="O110" i="7"/>
  <c r="M124" i="7"/>
  <c r="M110" i="7"/>
  <c r="AB136" i="7"/>
  <c r="L124" i="7"/>
  <c r="L110" i="7"/>
  <c r="D126" i="7"/>
  <c r="D128" i="7" s="1"/>
  <c r="CB23" i="7"/>
  <c r="BZ5" i="7"/>
  <c r="G134" i="7"/>
  <c r="AB133" i="7"/>
  <c r="AC133" i="7" s="1"/>
  <c r="AO133" i="7" s="1"/>
  <c r="N185" i="6"/>
  <c r="N169" i="6"/>
  <c r="D154" i="6"/>
  <c r="H153" i="6"/>
  <c r="I153" i="6" s="1"/>
  <c r="J153" i="6" s="1"/>
  <c r="K153" i="6" s="1"/>
  <c r="L153" i="6" s="1"/>
  <c r="M153" i="6" s="1"/>
  <c r="E137" i="6"/>
  <c r="F137" i="6" s="1"/>
  <c r="G137" i="6" s="1"/>
  <c r="H137" i="6" s="1"/>
  <c r="I137" i="6" s="1"/>
  <c r="J137" i="6" s="1"/>
  <c r="K137" i="6" s="1"/>
  <c r="L137" i="6" s="1"/>
  <c r="M137" i="6" s="1"/>
  <c r="N137" i="6" s="1"/>
  <c r="O137" i="6" s="1"/>
  <c r="P137" i="6" s="1"/>
  <c r="Q137" i="6" s="1"/>
  <c r="R137" i="6" s="1"/>
  <c r="S137" i="6" s="1"/>
  <c r="D126" i="11"/>
  <c r="C104" i="11"/>
  <c r="F105" i="11" s="1"/>
  <c r="E69" i="11"/>
  <c r="E67" i="11"/>
  <c r="Q26" i="6"/>
  <c r="Q98" i="6" s="1"/>
  <c r="BY27" i="6"/>
  <c r="K101" i="6"/>
  <c r="AE96" i="6"/>
  <c r="AE90" i="6" s="1"/>
  <c r="AD96" i="6"/>
  <c r="AD90" i="6" s="1"/>
  <c r="AC96" i="6"/>
  <c r="AC90" i="6" s="1"/>
  <c r="AB96" i="6"/>
  <c r="AB90" i="6" s="1"/>
  <c r="AA96" i="6"/>
  <c r="AA90" i="6" s="1"/>
  <c r="Z96" i="6"/>
  <c r="X55" i="6"/>
  <c r="X9" i="6"/>
  <c r="Y55" i="6"/>
  <c r="Y9" i="6"/>
  <c r="O119" i="6"/>
  <c r="O105" i="6"/>
  <c r="M119" i="6"/>
  <c r="M105" i="6"/>
  <c r="AF131" i="6"/>
  <c r="BY92" i="6"/>
  <c r="L101" i="6"/>
  <c r="M101" i="6" s="1"/>
  <c r="N101" i="6" s="1"/>
  <c r="O101" i="6" s="1"/>
  <c r="P101" i="6" s="1"/>
  <c r="L119" i="6"/>
  <c r="L105" i="6"/>
  <c r="D121" i="6"/>
  <c r="D123" i="6" s="1"/>
  <c r="AF125" i="6" s="1"/>
  <c r="AF91" i="6"/>
  <c r="AF56" i="6"/>
  <c r="CG23" i="6"/>
  <c r="BZ5" i="6"/>
  <c r="R42" i="6"/>
  <c r="BY42" i="6" s="1"/>
  <c r="P37" i="15"/>
  <c r="K37" i="19"/>
  <c r="P37" i="19"/>
  <c r="P98" i="19" s="1"/>
  <c r="P99" i="19" s="1"/>
  <c r="BY39" i="12"/>
  <c r="F70" i="5"/>
  <c r="E69" i="5"/>
  <c r="E58" i="5"/>
  <c r="E57" i="5"/>
  <c r="F44" i="5"/>
  <c r="BY32" i="12"/>
  <c r="BY26" i="12" s="1"/>
  <c r="H26" i="12"/>
  <c r="H96" i="12" s="1"/>
  <c r="H97" i="12" s="1"/>
  <c r="H98" i="12" s="1"/>
  <c r="Y33" i="26"/>
  <c r="X33" i="26"/>
  <c r="W33" i="26"/>
  <c r="V33" i="26"/>
  <c r="U33" i="26"/>
  <c r="T33" i="26"/>
  <c r="BY33" i="26" s="1"/>
  <c r="Z33" i="17"/>
  <c r="Y33" i="17"/>
  <c r="X33" i="17"/>
  <c r="W33" i="17"/>
  <c r="V33" i="17"/>
  <c r="U33" i="17"/>
  <c r="T33" i="17"/>
  <c r="S33" i="17"/>
  <c r="BY33" i="17" s="1"/>
  <c r="Z33" i="16"/>
  <c r="Y33" i="16"/>
  <c r="X33" i="16"/>
  <c r="W33" i="16"/>
  <c r="V33" i="16"/>
  <c r="U33" i="16"/>
  <c r="T33" i="16"/>
  <c r="S33" i="16"/>
  <c r="BY33" i="16" s="1"/>
  <c r="Z33" i="15"/>
  <c r="Y33" i="15"/>
  <c r="X33" i="15"/>
  <c r="W33" i="15"/>
  <c r="V33" i="15"/>
  <c r="U33" i="15"/>
  <c r="T33" i="15"/>
  <c r="S33" i="15"/>
  <c r="BY33" i="15" s="1"/>
  <c r="BY33" i="7"/>
  <c r="Y33" i="6"/>
  <c r="X33" i="6"/>
  <c r="W33" i="6"/>
  <c r="V33" i="6"/>
  <c r="U33" i="6"/>
  <c r="BY33" i="6" s="1"/>
  <c r="F50" i="5"/>
  <c r="C51" i="5" s="1"/>
  <c r="Y27" i="7"/>
  <c r="Y26" i="7" s="1"/>
  <c r="Y98" i="7" s="1"/>
  <c r="X27" i="7"/>
  <c r="X26" i="7" s="1"/>
  <c r="X98" i="7" s="1"/>
  <c r="W27" i="7"/>
  <c r="W26" i="7" s="1"/>
  <c r="W98" i="7" s="1"/>
  <c r="W100" i="7" s="1"/>
  <c r="W101" i="7" s="1"/>
  <c r="V27" i="7"/>
  <c r="U26" i="6"/>
  <c r="V26" i="6"/>
  <c r="W26" i="6"/>
  <c r="X26" i="6"/>
  <c r="Y26" i="6"/>
  <c r="S26" i="15"/>
  <c r="T26" i="15"/>
  <c r="U26" i="15"/>
  <c r="V26" i="15"/>
  <c r="W26" i="15"/>
  <c r="X26" i="15"/>
  <c r="Y26" i="15"/>
  <c r="Z26" i="15"/>
  <c r="S26" i="16"/>
  <c r="T26" i="16"/>
  <c r="U26" i="16"/>
  <c r="V26" i="16"/>
  <c r="W26" i="16"/>
  <c r="X26" i="16"/>
  <c r="Y26" i="16"/>
  <c r="Z26" i="16"/>
  <c r="S26" i="17"/>
  <c r="T26" i="17"/>
  <c r="U26" i="17"/>
  <c r="V26" i="17"/>
  <c r="W26" i="17"/>
  <c r="X26" i="17"/>
  <c r="Y26" i="17"/>
  <c r="Z26" i="17"/>
  <c r="T26" i="26"/>
  <c r="U26" i="26"/>
  <c r="V26" i="26"/>
  <c r="W26" i="26"/>
  <c r="X26" i="26"/>
  <c r="Y26" i="26"/>
  <c r="AA63" i="7"/>
  <c r="AF80" i="6"/>
  <c r="AE80" i="6"/>
  <c r="AE63" i="6" s="1"/>
  <c r="AE98" i="6" s="1"/>
  <c r="AD80" i="6"/>
  <c r="AD63" i="6" s="1"/>
  <c r="AD98" i="6" s="1"/>
  <c r="AC80" i="6"/>
  <c r="AC63" i="6" s="1"/>
  <c r="AC98" i="6" s="1"/>
  <c r="AB80" i="6"/>
  <c r="AB63" i="6" s="1"/>
  <c r="AB98" i="6" s="1"/>
  <c r="AA80" i="6"/>
  <c r="AA63" i="6" s="1"/>
  <c r="AA98" i="6" s="1"/>
  <c r="Z80" i="6"/>
  <c r="Z63" i="6" s="1"/>
  <c r="F66" i="5"/>
  <c r="F65" i="5"/>
  <c r="F62" i="5" s="1"/>
  <c r="N19" i="5"/>
  <c r="BY80" i="6"/>
  <c r="R63" i="6"/>
  <c r="R36" i="5"/>
  <c r="R40" i="5" s="1"/>
  <c r="F15" i="5"/>
  <c r="D1" i="3"/>
  <c r="CB87" i="12"/>
  <c r="CB86" i="12"/>
  <c r="CB85" i="12" a="1"/>
  <c r="CB85" i="12" s="1"/>
  <c r="CB61" i="12" a="1"/>
  <c r="CB61" i="12" s="1"/>
  <c r="CB53" i="12" a="1"/>
  <c r="CB53" i="12" s="1"/>
  <c r="CB47" i="12" a="1"/>
  <c r="CB47" i="12" s="1"/>
  <c r="CB46" i="12"/>
  <c r="CB45" i="12"/>
  <c r="CB44" i="12"/>
  <c r="CB37" i="12" a="1"/>
  <c r="CB37" i="12" s="1"/>
  <c r="CB80" i="12" s="1"/>
  <c r="CB34" i="12" a="1"/>
  <c r="CB34" i="12" s="1"/>
  <c r="CB77" i="12" s="1"/>
  <c r="CB26" i="12" a="1"/>
  <c r="CB26" i="12" s="1"/>
  <c r="CB69" i="12" s="1"/>
  <c r="CB23" i="12" a="1"/>
  <c r="CB23" i="12" s="1"/>
  <c r="CB66" i="12" s="1"/>
  <c r="CB22" i="12"/>
  <c r="CB65" i="12" s="1"/>
  <c r="CB21" i="12"/>
  <c r="CB64" i="12" s="1"/>
  <c r="CB20" i="12"/>
  <c r="CB63" i="12" s="1"/>
  <c r="CB19" i="12"/>
  <c r="CB62" i="12" s="1"/>
  <c r="CB18" i="12"/>
  <c r="CB17" i="12" a="1"/>
  <c r="CB17" i="12" s="1"/>
  <c r="N28" i="1"/>
  <c r="N30" i="1" s="1"/>
  <c r="O27" i="1"/>
  <c r="M34" i="1"/>
  <c r="M35" i="1" s="1"/>
  <c r="M32" i="1"/>
  <c r="M38" i="1" s="1"/>
  <c r="G26" i="10"/>
  <c r="G29" i="10" s="1"/>
  <c r="G33" i="10" s="1"/>
  <c r="L34" i="1"/>
  <c r="L35" i="1" s="1"/>
  <c r="L32" i="1"/>
  <c r="N16" i="11"/>
  <c r="N16" i="5"/>
  <c r="O10" i="1"/>
  <c r="K10" i="1"/>
  <c r="P10" i="1" s="1"/>
  <c r="N14" i="11"/>
  <c r="N14" i="5"/>
  <c r="O8" i="1"/>
  <c r="O21" i="1" s="1"/>
  <c r="K8" i="1"/>
  <c r="P8" i="1" s="1"/>
  <c r="N13" i="11"/>
  <c r="N13" i="5"/>
  <c r="O7" i="1"/>
  <c r="O20" i="1" s="1"/>
  <c r="K7" i="1"/>
  <c r="P7" i="1" s="1"/>
  <c r="N12" i="11"/>
  <c r="N12" i="5"/>
  <c r="O6" i="1"/>
  <c r="O19" i="1" s="1"/>
  <c r="K6" i="1"/>
  <c r="P6" i="1" s="1"/>
  <c r="N5" i="1"/>
  <c r="M12" i="1"/>
  <c r="N11" i="11"/>
  <c r="N11" i="5"/>
  <c r="O5" i="1"/>
  <c r="O18" i="1" s="1"/>
  <c r="K5" i="1"/>
  <c r="P5" i="1" s="1"/>
  <c r="F92" i="5"/>
  <c r="F92" i="11"/>
  <c r="N8" i="11"/>
  <c r="J12" i="1"/>
  <c r="K13" i="1" s="1"/>
  <c r="O2" i="1"/>
  <c r="O22" i="1" s="1"/>
  <c r="K2" i="1"/>
  <c r="L17" i="5"/>
  <c r="L17" i="11"/>
  <c r="L17" i="27"/>
  <c r="AG118" i="7" l="1"/>
  <c r="AG110" i="7" s="1"/>
  <c r="Q21" i="1"/>
  <c r="P21" i="1"/>
  <c r="Q20" i="1"/>
  <c r="P20" i="1"/>
  <c r="Q19" i="1"/>
  <c r="P19" i="1"/>
  <c r="AC37" i="7"/>
  <c r="AC98" i="7" s="1"/>
  <c r="AD37" i="7"/>
  <c r="Q18" i="1"/>
  <c r="Q22" i="1" s="1"/>
  <c r="P18" i="1"/>
  <c r="P22" i="1" s="1"/>
  <c r="G20" i="9"/>
  <c r="Z49" i="28"/>
  <c r="AA37" i="7"/>
  <c r="AA14" i="28"/>
  <c r="Z14" i="28"/>
  <c r="Z17" i="28" s="1"/>
  <c r="U14" i="28"/>
  <c r="Y14" i="28"/>
  <c r="Y17" i="28" s="1"/>
  <c r="Y101" i="28" s="1"/>
  <c r="BY49" i="28"/>
  <c r="BY38" i="28" s="1"/>
  <c r="Z38" i="28"/>
  <c r="H100" i="28"/>
  <c r="I100" i="28" s="1"/>
  <c r="J100" i="28" s="1"/>
  <c r="K100" i="28" s="1"/>
  <c r="L100" i="28" s="1"/>
  <c r="M100" i="28" s="1"/>
  <c r="N100" i="28" s="1"/>
  <c r="O100" i="28" s="1"/>
  <c r="P100" i="28" s="1"/>
  <c r="H101" i="28"/>
  <c r="H102" i="28" s="1"/>
  <c r="I102" i="28" s="1"/>
  <c r="J102" i="28" s="1"/>
  <c r="K102" i="28" s="1"/>
  <c r="L102" i="28" s="1"/>
  <c r="M102" i="28" s="1"/>
  <c r="N102" i="28" s="1"/>
  <c r="O102" i="28" s="1"/>
  <c r="P102" i="28" s="1"/>
  <c r="Z64" i="28"/>
  <c r="BY81" i="28"/>
  <c r="AQ15" i="28"/>
  <c r="AQ17" i="28" s="1"/>
  <c r="AQ101" i="28" s="1"/>
  <c r="AO17" i="28"/>
  <c r="AZ15" i="28"/>
  <c r="AZ17" i="28" s="1"/>
  <c r="AZ101" i="28" s="1"/>
  <c r="AX17" i="28"/>
  <c r="AX101" i="28" s="1"/>
  <c r="AR15" i="28"/>
  <c r="AP17" i="28"/>
  <c r="AP101" i="28" s="1"/>
  <c r="Z28" i="28"/>
  <c r="V27" i="28"/>
  <c r="V99" i="28" s="1"/>
  <c r="W99" i="28"/>
  <c r="W101" i="28" s="1"/>
  <c r="AV101" i="28"/>
  <c r="AU17" i="28"/>
  <c r="AR17" i="28"/>
  <c r="AR101" i="28" s="1"/>
  <c r="AU101" i="28"/>
  <c r="AW101" i="28"/>
  <c r="AT17" i="28"/>
  <c r="AT101" i="28" s="1"/>
  <c r="AS17" i="28"/>
  <c r="AS101" i="28" s="1"/>
  <c r="AO56" i="28"/>
  <c r="AO99" i="28" s="1"/>
  <c r="AO101" i="28" s="1"/>
  <c r="AO102" i="28" s="1"/>
  <c r="BY62" i="28"/>
  <c r="AA99" i="28"/>
  <c r="CA7" i="28"/>
  <c r="AB121" i="28"/>
  <c r="BY57" i="28"/>
  <c r="AB119" i="28"/>
  <c r="BY92" i="28"/>
  <c r="D145" i="28"/>
  <c r="D147" i="28" s="1"/>
  <c r="BY9" i="28"/>
  <c r="Z91" i="28"/>
  <c r="Q101" i="28"/>
  <c r="Q102" i="28" s="1"/>
  <c r="R102" i="28" s="1"/>
  <c r="S102" i="28" s="1"/>
  <c r="T102" i="28" s="1"/>
  <c r="Q100" i="28"/>
  <c r="R100" i="28" s="1"/>
  <c r="S100" i="28" s="1"/>
  <c r="T100" i="28" s="1"/>
  <c r="U100" i="28" s="1"/>
  <c r="V100" i="28" s="1"/>
  <c r="W100" i="28" s="1"/>
  <c r="X100" i="28" s="1"/>
  <c r="Y100" i="28" s="1"/>
  <c r="N159" i="28"/>
  <c r="O175" i="28"/>
  <c r="P175" i="28" s="1"/>
  <c r="Q175" i="28" s="1"/>
  <c r="R175" i="28" s="1"/>
  <c r="S175" i="28" s="1"/>
  <c r="T175" i="28" s="1"/>
  <c r="U175" i="28" s="1"/>
  <c r="V175" i="28" s="1"/>
  <c r="W175" i="28" s="1"/>
  <c r="X175" i="28" s="1"/>
  <c r="Y175" i="28" s="1"/>
  <c r="Z175" i="28" s="1"/>
  <c r="O191" i="28"/>
  <c r="P191" i="28" s="1"/>
  <c r="Q191" i="28" s="1"/>
  <c r="R191" i="28" s="1"/>
  <c r="S191" i="28" s="1"/>
  <c r="T191" i="28" s="1"/>
  <c r="U191" i="28" s="1"/>
  <c r="V191" i="28" s="1"/>
  <c r="W191" i="28" s="1"/>
  <c r="X191" i="28" s="1"/>
  <c r="Y191" i="28" s="1"/>
  <c r="Z191" i="28" s="1"/>
  <c r="D193" i="28"/>
  <c r="D195" i="28" s="1"/>
  <c r="R14" i="19"/>
  <c r="Y16" i="7"/>
  <c r="Y100" i="7" s="1"/>
  <c r="Z16" i="7"/>
  <c r="P2" i="1"/>
  <c r="O12" i="1"/>
  <c r="AF12" i="6"/>
  <c r="J18" i="5"/>
  <c r="J24" i="5" s="1"/>
  <c r="N17" i="5"/>
  <c r="J18" i="11"/>
  <c r="N17" i="11"/>
  <c r="Z48" i="26"/>
  <c r="Z37" i="26" s="1"/>
  <c r="S48" i="26"/>
  <c r="BY48" i="26" s="1"/>
  <c r="Z48" i="17"/>
  <c r="S48" i="17"/>
  <c r="BY48" i="17" s="1"/>
  <c r="Z48" i="16"/>
  <c r="S48" i="16"/>
  <c r="BY48" i="16" s="1"/>
  <c r="Z48" i="15"/>
  <c r="S48" i="15"/>
  <c r="BY48" i="15" s="1"/>
  <c r="Z48" i="6"/>
  <c r="Z37" i="6" s="1"/>
  <c r="S48" i="6"/>
  <c r="BY48" i="6" s="1"/>
  <c r="L38" i="1"/>
  <c r="L36" i="1"/>
  <c r="O28" i="1"/>
  <c r="O30" i="1" s="1"/>
  <c r="P27" i="1"/>
  <c r="N34" i="1"/>
  <c r="N35" i="1" s="1"/>
  <c r="N32" i="1"/>
  <c r="N38" i="1" s="1"/>
  <c r="CB60" i="12"/>
  <c r="CC17" i="12"/>
  <c r="AA82" i="26"/>
  <c r="Z82" i="26"/>
  <c r="Z63" i="26" s="1"/>
  <c r="Y82" i="26"/>
  <c r="Y63" i="26" s="1"/>
  <c r="X82" i="26"/>
  <c r="X63" i="26" s="1"/>
  <c r="W82" i="26"/>
  <c r="W63" i="26" s="1"/>
  <c r="V82" i="26"/>
  <c r="V63" i="26" s="1"/>
  <c r="U82" i="26"/>
  <c r="U63" i="26" s="1"/>
  <c r="T82" i="26"/>
  <c r="T63" i="26" s="1"/>
  <c r="S82" i="26"/>
  <c r="S63" i="26" s="1"/>
  <c r="R82" i="26"/>
  <c r="T82" i="20"/>
  <c r="T63" i="20" s="1"/>
  <c r="S82" i="20"/>
  <c r="S63" i="20" s="1"/>
  <c r="R82" i="20"/>
  <c r="R63" i="20" s="1"/>
  <c r="Q82" i="20"/>
  <c r="AC82" i="19"/>
  <c r="AC63" i="19" s="1"/>
  <c r="AB82" i="19"/>
  <c r="AB63" i="19" s="1"/>
  <c r="AB98" i="19" s="1"/>
  <c r="AA82" i="19"/>
  <c r="AA63" i="19" s="1"/>
  <c r="Z82" i="19"/>
  <c r="Z63" i="19" s="1"/>
  <c r="Y82" i="19"/>
  <c r="Y63" i="19" s="1"/>
  <c r="X82" i="19"/>
  <c r="X63" i="19" s="1"/>
  <c r="W82" i="19"/>
  <c r="W63" i="19" s="1"/>
  <c r="V82" i="19"/>
  <c r="V63" i="19" s="1"/>
  <c r="U82" i="19"/>
  <c r="U63" i="19" s="1"/>
  <c r="T82" i="19"/>
  <c r="T63" i="19" s="1"/>
  <c r="S82" i="19"/>
  <c r="S63" i="19" s="1"/>
  <c r="R82" i="19"/>
  <c r="R63" i="19" s="1"/>
  <c r="Q82" i="19"/>
  <c r="AA82" i="17"/>
  <c r="Z82" i="17"/>
  <c r="Z63" i="17" s="1"/>
  <c r="Y82" i="17"/>
  <c r="Y63" i="17" s="1"/>
  <c r="X82" i="17"/>
  <c r="X63" i="17" s="1"/>
  <c r="W82" i="17"/>
  <c r="W63" i="17" s="1"/>
  <c r="V82" i="17"/>
  <c r="V63" i="17" s="1"/>
  <c r="U82" i="17"/>
  <c r="U63" i="17" s="1"/>
  <c r="T82" i="17"/>
  <c r="T63" i="17" s="1"/>
  <c r="S82" i="17"/>
  <c r="S63" i="17" s="1"/>
  <c r="R82" i="17"/>
  <c r="R63" i="17" s="1"/>
  <c r="Q82" i="17"/>
  <c r="AA82" i="16"/>
  <c r="Z82" i="16"/>
  <c r="Z63" i="16" s="1"/>
  <c r="Y82" i="16"/>
  <c r="Y63" i="16" s="1"/>
  <c r="X82" i="16"/>
  <c r="X63" i="16" s="1"/>
  <c r="W82" i="16"/>
  <c r="W63" i="16" s="1"/>
  <c r="V82" i="16"/>
  <c r="V63" i="16" s="1"/>
  <c r="U82" i="16"/>
  <c r="U63" i="16" s="1"/>
  <c r="T82" i="16"/>
  <c r="T63" i="16" s="1"/>
  <c r="S82" i="16"/>
  <c r="S63" i="16" s="1"/>
  <c r="R82" i="16"/>
  <c r="R63" i="16" s="1"/>
  <c r="Q82" i="16"/>
  <c r="AA82" i="15"/>
  <c r="AA63" i="15" s="1"/>
  <c r="Z82" i="15"/>
  <c r="Z63" i="15" s="1"/>
  <c r="Y82" i="15"/>
  <c r="Y63" i="15" s="1"/>
  <c r="X82" i="15"/>
  <c r="X63" i="15" s="1"/>
  <c r="W82" i="15"/>
  <c r="W63" i="15" s="1"/>
  <c r="V82" i="15"/>
  <c r="V63" i="15" s="1"/>
  <c r="U82" i="15"/>
  <c r="U63" i="15" s="1"/>
  <c r="T82" i="15"/>
  <c r="T63" i="15" s="1"/>
  <c r="S82" i="15"/>
  <c r="S63" i="15" s="1"/>
  <c r="R82" i="15"/>
  <c r="R63" i="15" s="1"/>
  <c r="Q82" i="15"/>
  <c r="T80" i="14"/>
  <c r="T61" i="14" s="1"/>
  <c r="S80" i="14"/>
  <c r="S61" i="14" s="1"/>
  <c r="R80" i="14"/>
  <c r="R61" i="14" s="1"/>
  <c r="Q80" i="14"/>
  <c r="T80" i="12"/>
  <c r="T61" i="12" s="1"/>
  <c r="S80" i="12"/>
  <c r="S61" i="12" s="1"/>
  <c r="R80" i="12"/>
  <c r="R61" i="12" s="1"/>
  <c r="Q80" i="12"/>
  <c r="N40" i="12"/>
  <c r="M40" i="12"/>
  <c r="L40" i="12"/>
  <c r="K40" i="12"/>
  <c r="J40" i="12"/>
  <c r="I40" i="12"/>
  <c r="E62" i="5"/>
  <c r="C72" i="5"/>
  <c r="N41" i="12"/>
  <c r="M41" i="12"/>
  <c r="L41" i="12"/>
  <c r="K41" i="12"/>
  <c r="J41" i="12"/>
  <c r="I41" i="12"/>
  <c r="BY41" i="12" s="1"/>
  <c r="E66" i="5"/>
  <c r="Z63" i="7"/>
  <c r="BY80" i="7"/>
  <c r="V26" i="7"/>
  <c r="V98" i="7" s="1"/>
  <c r="Y35" i="26"/>
  <c r="Y34" i="26" s="1"/>
  <c r="X35" i="26"/>
  <c r="X34" i="26" s="1"/>
  <c r="W35" i="26"/>
  <c r="W34" i="26" s="1"/>
  <c r="V35" i="26"/>
  <c r="V34" i="26" s="1"/>
  <c r="U35" i="26"/>
  <c r="U34" i="26" s="1"/>
  <c r="T35" i="26"/>
  <c r="Z35" i="17"/>
  <c r="Z34" i="17" s="1"/>
  <c r="Y35" i="17"/>
  <c r="Y34" i="17" s="1"/>
  <c r="X35" i="17"/>
  <c r="X34" i="17" s="1"/>
  <c r="W35" i="17"/>
  <c r="W34" i="17" s="1"/>
  <c r="V35" i="17"/>
  <c r="V34" i="17" s="1"/>
  <c r="U35" i="17"/>
  <c r="U34" i="17" s="1"/>
  <c r="T35" i="17"/>
  <c r="T34" i="17" s="1"/>
  <c r="S35" i="17"/>
  <c r="Z35" i="16"/>
  <c r="Z34" i="16" s="1"/>
  <c r="Y35" i="16"/>
  <c r="Y34" i="16" s="1"/>
  <c r="X35" i="16"/>
  <c r="X34" i="16" s="1"/>
  <c r="W35" i="16"/>
  <c r="W34" i="16" s="1"/>
  <c r="V35" i="16"/>
  <c r="V34" i="16" s="1"/>
  <c r="U35" i="16"/>
  <c r="U34" i="16" s="1"/>
  <c r="T35" i="16"/>
  <c r="T34" i="16" s="1"/>
  <c r="S35" i="16"/>
  <c r="Z35" i="15"/>
  <c r="Z34" i="15" s="1"/>
  <c r="Y35" i="15"/>
  <c r="Y34" i="15" s="1"/>
  <c r="X35" i="15"/>
  <c r="X34" i="15" s="1"/>
  <c r="W35" i="15"/>
  <c r="W34" i="15" s="1"/>
  <c r="V35" i="15"/>
  <c r="V34" i="15" s="1"/>
  <c r="U35" i="15"/>
  <c r="U34" i="15" s="1"/>
  <c r="T35" i="15"/>
  <c r="T34" i="15" s="1"/>
  <c r="S35" i="15"/>
  <c r="Y35" i="6"/>
  <c r="Y34" i="6" s="1"/>
  <c r="X35" i="6"/>
  <c r="X34" i="6" s="1"/>
  <c r="W35" i="6"/>
  <c r="W34" i="6" s="1"/>
  <c r="V35" i="6"/>
  <c r="V34" i="6" s="1"/>
  <c r="U35" i="6"/>
  <c r="F52" i="5"/>
  <c r="R30" i="5"/>
  <c r="R20" i="5"/>
  <c r="F78" i="5"/>
  <c r="CE39" i="12"/>
  <c r="M14" i="19"/>
  <c r="K98" i="19"/>
  <c r="T42" i="20"/>
  <c r="T37" i="20" s="1"/>
  <c r="S42" i="20"/>
  <c r="S37" i="20" s="1"/>
  <c r="S98" i="20" s="1"/>
  <c r="R42" i="20"/>
  <c r="R37" i="20" s="1"/>
  <c r="Q42" i="20"/>
  <c r="Q37" i="20" s="1"/>
  <c r="P42" i="20"/>
  <c r="P37" i="20" s="1"/>
  <c r="O42" i="20"/>
  <c r="O37" i="20" s="1"/>
  <c r="N42" i="20"/>
  <c r="N37" i="20" s="1"/>
  <c r="M42" i="20"/>
  <c r="M37" i="20" s="1"/>
  <c r="L42" i="20"/>
  <c r="L37" i="20" s="1"/>
  <c r="K42" i="20"/>
  <c r="K37" i="20" s="1"/>
  <c r="J42" i="20"/>
  <c r="T42" i="14"/>
  <c r="T37" i="14" s="1"/>
  <c r="S42" i="14"/>
  <c r="S37" i="14" s="1"/>
  <c r="S96" i="14" s="1"/>
  <c r="R42" i="14"/>
  <c r="R37" i="14" s="1"/>
  <c r="Q42" i="14"/>
  <c r="Q37" i="14" s="1"/>
  <c r="P42" i="14"/>
  <c r="P37" i="14" s="1"/>
  <c r="O42" i="14"/>
  <c r="O37" i="14" s="1"/>
  <c r="N42" i="14"/>
  <c r="N37" i="14" s="1"/>
  <c r="M42" i="14"/>
  <c r="M37" i="14" s="1"/>
  <c r="L42" i="14"/>
  <c r="L37" i="14" s="1"/>
  <c r="K42" i="14"/>
  <c r="K37" i="14" s="1"/>
  <c r="J42" i="14"/>
  <c r="T42" i="12"/>
  <c r="T37" i="12" s="1"/>
  <c r="S42" i="12"/>
  <c r="S37" i="12" s="1"/>
  <c r="S96" i="12" s="1"/>
  <c r="R42" i="12"/>
  <c r="R37" i="12" s="1"/>
  <c r="R96" i="12" s="1"/>
  <c r="Q42" i="12"/>
  <c r="Q37" i="12" s="1"/>
  <c r="P42" i="12"/>
  <c r="P37" i="12" s="1"/>
  <c r="O42" i="12"/>
  <c r="N42" i="12"/>
  <c r="M42" i="12"/>
  <c r="L42" i="12"/>
  <c r="K42" i="12"/>
  <c r="J42" i="12"/>
  <c r="I42" i="12"/>
  <c r="BY42" i="12" s="1"/>
  <c r="E67" i="5"/>
  <c r="BY56" i="6"/>
  <c r="AF113" i="6"/>
  <c r="BY91" i="6"/>
  <c r="D139" i="6"/>
  <c r="D141" i="6" s="1"/>
  <c r="BY9" i="6"/>
  <c r="Z90" i="6"/>
  <c r="BY26" i="6"/>
  <c r="Q100" i="6"/>
  <c r="Q101" i="6" s="1"/>
  <c r="Q99" i="6"/>
  <c r="N153" i="6"/>
  <c r="O169" i="6"/>
  <c r="P169" i="6" s="1"/>
  <c r="Q169" i="6" s="1"/>
  <c r="R169" i="6" s="1"/>
  <c r="S169" i="6" s="1"/>
  <c r="T169" i="6" s="1"/>
  <c r="U169" i="6" s="1"/>
  <c r="V169" i="6" s="1"/>
  <c r="W169" i="6" s="1"/>
  <c r="X169" i="6" s="1"/>
  <c r="Y169" i="6" s="1"/>
  <c r="Z169" i="6" s="1"/>
  <c r="AA169" i="6" s="1"/>
  <c r="AB169" i="6" s="1"/>
  <c r="AC169" i="6" s="1"/>
  <c r="AD169" i="6" s="1"/>
  <c r="AE169" i="6" s="1"/>
  <c r="AF169" i="6" s="1"/>
  <c r="AG169" i="6" s="1"/>
  <c r="AH169" i="6" s="1"/>
  <c r="AI169" i="6" s="1"/>
  <c r="AJ169" i="6" s="1"/>
  <c r="AK169" i="6" s="1"/>
  <c r="AL169" i="6" s="1"/>
  <c r="AM169" i="6" s="1"/>
  <c r="AN169" i="6" s="1"/>
  <c r="AO169" i="6" s="1"/>
  <c r="AP169" i="6" s="1"/>
  <c r="AQ169" i="6" s="1"/>
  <c r="AR169" i="6" s="1"/>
  <c r="AS169" i="6" s="1"/>
  <c r="AT169" i="6" s="1"/>
  <c r="AU169" i="6" s="1"/>
  <c r="AV169" i="6" s="1"/>
  <c r="AW169" i="6" s="1"/>
  <c r="AX169" i="6" s="1"/>
  <c r="AY169" i="6" s="1"/>
  <c r="AZ169" i="6" s="1"/>
  <c r="BA169" i="6" s="1"/>
  <c r="BB169" i="6" s="1"/>
  <c r="BC169" i="6" s="1"/>
  <c r="BD169" i="6" s="1"/>
  <c r="BE169" i="6" s="1"/>
  <c r="BF169" i="6" s="1"/>
  <c r="BG169" i="6" s="1"/>
  <c r="BH169" i="6" s="1"/>
  <c r="BI169" i="6" s="1"/>
  <c r="BJ169" i="6" s="1"/>
  <c r="BK169" i="6" s="1"/>
  <c r="BL169" i="6" s="1"/>
  <c r="BM169" i="6" s="1"/>
  <c r="BN169" i="6" s="1"/>
  <c r="BO169" i="6" s="1"/>
  <c r="BP169" i="6" s="1"/>
  <c r="BQ169" i="6" s="1"/>
  <c r="BR169" i="6" s="1"/>
  <c r="BS169" i="6" s="1"/>
  <c r="BT169" i="6" s="1"/>
  <c r="BU169" i="6" s="1"/>
  <c r="BV169" i="6" s="1"/>
  <c r="BW169" i="6" s="1"/>
  <c r="D171" i="6"/>
  <c r="D173" i="6" s="1"/>
  <c r="O185" i="6"/>
  <c r="P185" i="6" s="1"/>
  <c r="Q185" i="6" s="1"/>
  <c r="R185" i="6" s="1"/>
  <c r="S185" i="6" s="1"/>
  <c r="T185" i="6" s="1"/>
  <c r="U185" i="6" s="1"/>
  <c r="V185" i="6" s="1"/>
  <c r="W185" i="6" s="1"/>
  <c r="X185" i="6" s="1"/>
  <c r="Y185" i="6" s="1"/>
  <c r="Z185" i="6" s="1"/>
  <c r="AA185" i="6" s="1"/>
  <c r="AB185" i="6" s="1"/>
  <c r="AC185" i="6" s="1"/>
  <c r="AD185" i="6" s="1"/>
  <c r="AE185" i="6" s="1"/>
  <c r="AF185" i="6" s="1"/>
  <c r="AG185" i="6" s="1"/>
  <c r="AH185" i="6" s="1"/>
  <c r="AI185" i="6" s="1"/>
  <c r="AJ185" i="6" s="1"/>
  <c r="AK185" i="6" s="1"/>
  <c r="AL185" i="6" s="1"/>
  <c r="AM185" i="6" s="1"/>
  <c r="AN185" i="6" s="1"/>
  <c r="AO185" i="6" s="1"/>
  <c r="AP185" i="6" s="1"/>
  <c r="AQ185" i="6" s="1"/>
  <c r="AR185" i="6" s="1"/>
  <c r="AS185" i="6" s="1"/>
  <c r="AT185" i="6" s="1"/>
  <c r="AU185" i="6" s="1"/>
  <c r="AV185" i="6" s="1"/>
  <c r="AW185" i="6" s="1"/>
  <c r="AX185" i="6" s="1"/>
  <c r="AY185" i="6" s="1"/>
  <c r="AZ185" i="6" s="1"/>
  <c r="BA185" i="6" s="1"/>
  <c r="BB185" i="6" s="1"/>
  <c r="BC185" i="6" s="1"/>
  <c r="BD185" i="6" s="1"/>
  <c r="BE185" i="6" s="1"/>
  <c r="BF185" i="6" s="1"/>
  <c r="BG185" i="6" s="1"/>
  <c r="BH185" i="6" s="1"/>
  <c r="BI185" i="6" s="1"/>
  <c r="BJ185" i="6" s="1"/>
  <c r="BK185" i="6" s="1"/>
  <c r="BL185" i="6" s="1"/>
  <c r="BM185" i="6" s="1"/>
  <c r="BN185" i="6" s="1"/>
  <c r="BO185" i="6" s="1"/>
  <c r="BP185" i="6" s="1"/>
  <c r="BQ185" i="6" s="1"/>
  <c r="BR185" i="6" s="1"/>
  <c r="BS185" i="6" s="1"/>
  <c r="BT185" i="6" s="1"/>
  <c r="BU185" i="6" s="1"/>
  <c r="BV185" i="6" s="1"/>
  <c r="BW185" i="6" s="1"/>
  <c r="D187" i="6"/>
  <c r="D189" i="6" s="1"/>
  <c r="AB120" i="7"/>
  <c r="BY56" i="7"/>
  <c r="AB118" i="7"/>
  <c r="BY91" i="7"/>
  <c r="D144" i="7"/>
  <c r="D146" i="7" s="1"/>
  <c r="V16" i="9"/>
  <c r="W17" i="9"/>
  <c r="G27" i="9"/>
  <c r="G29" i="9"/>
  <c r="V19" i="9"/>
  <c r="W19" i="9" s="1"/>
  <c r="G28" i="9"/>
  <c r="V20" i="9"/>
  <c r="W20" i="9" s="1"/>
  <c r="BY9" i="7"/>
  <c r="Z90" i="7"/>
  <c r="Q100" i="7"/>
  <c r="Q101" i="7" s="1"/>
  <c r="R101" i="7" s="1"/>
  <c r="S101" i="7" s="1"/>
  <c r="T101" i="7" s="1"/>
  <c r="T139" i="7" s="1"/>
  <c r="T141" i="7" s="1"/>
  <c r="T142" i="7" s="1"/>
  <c r="U142" i="7" s="1"/>
  <c r="V142" i="7" s="1"/>
  <c r="W142" i="7" s="1"/>
  <c r="X142" i="7" s="1"/>
  <c r="Y142" i="7" s="1"/>
  <c r="Z142" i="7" s="1"/>
  <c r="Q99" i="7"/>
  <c r="R99" i="7" s="1"/>
  <c r="S99" i="7" s="1"/>
  <c r="T99" i="7" s="1"/>
  <c r="U99" i="7" s="1"/>
  <c r="N158" i="7"/>
  <c r="O174" i="7"/>
  <c r="P174" i="7" s="1"/>
  <c r="Q174" i="7" s="1"/>
  <c r="R174" i="7" s="1"/>
  <c r="S174" i="7" s="1"/>
  <c r="T174" i="7" s="1"/>
  <c r="U174" i="7" s="1"/>
  <c r="V174" i="7" s="1"/>
  <c r="W174" i="7" s="1"/>
  <c r="X174" i="7" s="1"/>
  <c r="Y174" i="7" s="1"/>
  <c r="Z174" i="7" s="1"/>
  <c r="O190" i="7"/>
  <c r="P190" i="7" s="1"/>
  <c r="Q190" i="7" s="1"/>
  <c r="R190" i="7" s="1"/>
  <c r="S190" i="7" s="1"/>
  <c r="T190" i="7" s="1"/>
  <c r="U190" i="7" s="1"/>
  <c r="V190" i="7" s="1"/>
  <c r="W190" i="7" s="1"/>
  <c r="X190" i="7" s="1"/>
  <c r="Y190" i="7" s="1"/>
  <c r="Z190" i="7" s="1"/>
  <c r="D192" i="7"/>
  <c r="D194" i="7" s="1"/>
  <c r="D11" i="8"/>
  <c r="E10" i="8"/>
  <c r="S11" i="8"/>
  <c r="T10" i="8"/>
  <c r="F70" i="11"/>
  <c r="C72" i="11" s="1"/>
  <c r="E58" i="11"/>
  <c r="E57" i="11"/>
  <c r="F44" i="11"/>
  <c r="R30" i="11"/>
  <c r="R20" i="11"/>
  <c r="C93" i="11"/>
  <c r="CB3" i="23"/>
  <c r="CB48" i="12"/>
  <c r="CC5" i="12"/>
  <c r="CE11" i="12"/>
  <c r="CE12" i="12"/>
  <c r="T23" i="23"/>
  <c r="T110" i="12"/>
  <c r="BY89" i="12"/>
  <c r="CB52" i="12"/>
  <c r="CC9" i="12"/>
  <c r="P88" i="12"/>
  <c r="T95" i="12"/>
  <c r="N148" i="12"/>
  <c r="O164" i="12"/>
  <c r="P164" i="12" s="1"/>
  <c r="Q164" i="12" s="1"/>
  <c r="R164" i="12" s="1"/>
  <c r="S164" i="12" s="1"/>
  <c r="T164" i="12" s="1"/>
  <c r="U164" i="12" s="1"/>
  <c r="V164" i="12" s="1"/>
  <c r="W164" i="12" s="1"/>
  <c r="X164" i="12" s="1"/>
  <c r="Y164" i="12" s="1"/>
  <c r="Z164" i="12" s="1"/>
  <c r="AA164" i="12" s="1"/>
  <c r="AB164" i="12" s="1"/>
  <c r="AC164" i="12" s="1"/>
  <c r="AD164" i="12" s="1"/>
  <c r="AE164" i="12" s="1"/>
  <c r="AF164" i="12" s="1"/>
  <c r="AG164" i="12" s="1"/>
  <c r="AH164" i="12" s="1"/>
  <c r="AI164" i="12" s="1"/>
  <c r="AJ164" i="12" s="1"/>
  <c r="AK164" i="12" s="1"/>
  <c r="AL164" i="12" s="1"/>
  <c r="AM164" i="12" s="1"/>
  <c r="AN164" i="12" s="1"/>
  <c r="AO164" i="12" s="1"/>
  <c r="AP164" i="12" s="1"/>
  <c r="AQ164" i="12" s="1"/>
  <c r="AR164" i="12" s="1"/>
  <c r="AS164" i="12" s="1"/>
  <c r="AT164" i="12" s="1"/>
  <c r="AU164" i="12" s="1"/>
  <c r="AV164" i="12" s="1"/>
  <c r="AW164" i="12" s="1"/>
  <c r="AX164" i="12" s="1"/>
  <c r="AY164" i="12" s="1"/>
  <c r="AZ164" i="12" s="1"/>
  <c r="BA164" i="12" s="1"/>
  <c r="BB164" i="12" s="1"/>
  <c r="BC164" i="12" s="1"/>
  <c r="BD164" i="12" s="1"/>
  <c r="BE164" i="12" s="1"/>
  <c r="BF164" i="12" s="1"/>
  <c r="BG164" i="12" s="1"/>
  <c r="BH164" i="12" s="1"/>
  <c r="BI164" i="12" s="1"/>
  <c r="BJ164" i="12" s="1"/>
  <c r="BK164" i="12" s="1"/>
  <c r="BL164" i="12" s="1"/>
  <c r="BM164" i="12" s="1"/>
  <c r="BN164" i="12" s="1"/>
  <c r="BO164" i="12" s="1"/>
  <c r="BP164" i="12" s="1"/>
  <c r="BQ164" i="12" s="1"/>
  <c r="BR164" i="12" s="1"/>
  <c r="BS164" i="12" s="1"/>
  <c r="BT164" i="12" s="1"/>
  <c r="BU164" i="12" s="1"/>
  <c r="BV164" i="12" s="1"/>
  <c r="BW164" i="12" s="1"/>
  <c r="BX164" i="12" s="1"/>
  <c r="D166" i="12"/>
  <c r="D168" i="12" s="1"/>
  <c r="D170" i="12" s="1"/>
  <c r="O180" i="12"/>
  <c r="P180" i="12" s="1"/>
  <c r="Q180" i="12" s="1"/>
  <c r="R180" i="12" s="1"/>
  <c r="S180" i="12" s="1"/>
  <c r="T180" i="12" s="1"/>
  <c r="U180" i="12" s="1"/>
  <c r="V180" i="12" s="1"/>
  <c r="W180" i="12" s="1"/>
  <c r="X180" i="12" s="1"/>
  <c r="Y180" i="12" s="1"/>
  <c r="Z180" i="12" s="1"/>
  <c r="AA180" i="12" s="1"/>
  <c r="AB180" i="12" s="1"/>
  <c r="AC180" i="12" s="1"/>
  <c r="AD180" i="12" s="1"/>
  <c r="AE180" i="12" s="1"/>
  <c r="AF180" i="12" s="1"/>
  <c r="AG180" i="12" s="1"/>
  <c r="AH180" i="12" s="1"/>
  <c r="AI180" i="12" s="1"/>
  <c r="AJ180" i="12" s="1"/>
  <c r="AK180" i="12" s="1"/>
  <c r="AL180" i="12" s="1"/>
  <c r="AM180" i="12" s="1"/>
  <c r="AN180" i="12" s="1"/>
  <c r="AO180" i="12" s="1"/>
  <c r="AP180" i="12" s="1"/>
  <c r="AQ180" i="12" s="1"/>
  <c r="AR180" i="12" s="1"/>
  <c r="AS180" i="12" s="1"/>
  <c r="AT180" i="12" s="1"/>
  <c r="AU180" i="12" s="1"/>
  <c r="AV180" i="12" s="1"/>
  <c r="AW180" i="12" s="1"/>
  <c r="AX180" i="12" s="1"/>
  <c r="AY180" i="12" s="1"/>
  <c r="AZ180" i="12" s="1"/>
  <c r="BA180" i="12" s="1"/>
  <c r="BB180" i="12" s="1"/>
  <c r="BC180" i="12" s="1"/>
  <c r="BD180" i="12" s="1"/>
  <c r="BE180" i="12" s="1"/>
  <c r="BF180" i="12" s="1"/>
  <c r="BG180" i="12" s="1"/>
  <c r="BH180" i="12" s="1"/>
  <c r="BI180" i="12" s="1"/>
  <c r="BJ180" i="12" s="1"/>
  <c r="BK180" i="12" s="1"/>
  <c r="BL180" i="12" s="1"/>
  <c r="BM180" i="12" s="1"/>
  <c r="BN180" i="12" s="1"/>
  <c r="BO180" i="12" s="1"/>
  <c r="BP180" i="12" s="1"/>
  <c r="BQ180" i="12" s="1"/>
  <c r="BR180" i="12" s="1"/>
  <c r="BS180" i="12" s="1"/>
  <c r="BT180" i="12" s="1"/>
  <c r="BU180" i="12" s="1"/>
  <c r="BV180" i="12" s="1"/>
  <c r="BW180" i="12" s="1"/>
  <c r="BX180" i="12" s="1"/>
  <c r="D182" i="12"/>
  <c r="D184" i="12" s="1"/>
  <c r="D186" i="12" s="1"/>
  <c r="S11" i="13"/>
  <c r="T10" i="13"/>
  <c r="CE11" i="14"/>
  <c r="CE12" i="14"/>
  <c r="T110" i="14"/>
  <c r="BY89" i="14"/>
  <c r="D136" i="14"/>
  <c r="D138" i="14" s="1"/>
  <c r="CC9" i="14"/>
  <c r="Q88" i="14"/>
  <c r="T95" i="14"/>
  <c r="N150" i="14"/>
  <c r="O166" i="14"/>
  <c r="P166" i="14" s="1"/>
  <c r="Q166" i="14" s="1"/>
  <c r="R166" i="14" s="1"/>
  <c r="S166" i="14" s="1"/>
  <c r="T166" i="14" s="1"/>
  <c r="U166" i="14" s="1"/>
  <c r="V166" i="14" s="1"/>
  <c r="W166" i="14" s="1"/>
  <c r="X166" i="14" s="1"/>
  <c r="Y166" i="14" s="1"/>
  <c r="Z166" i="14" s="1"/>
  <c r="AA166" i="14" s="1"/>
  <c r="AB166" i="14" s="1"/>
  <c r="AC166" i="14" s="1"/>
  <c r="AD166" i="14" s="1"/>
  <c r="AE166" i="14" s="1"/>
  <c r="AF166" i="14" s="1"/>
  <c r="AG166" i="14" s="1"/>
  <c r="AH166" i="14" s="1"/>
  <c r="AI166" i="14" s="1"/>
  <c r="AJ166" i="14" s="1"/>
  <c r="AK166" i="14" s="1"/>
  <c r="AL166" i="14" s="1"/>
  <c r="AM166" i="14" s="1"/>
  <c r="AN166" i="14" s="1"/>
  <c r="AO166" i="14" s="1"/>
  <c r="AP166" i="14" s="1"/>
  <c r="AQ166" i="14" s="1"/>
  <c r="AR166" i="14" s="1"/>
  <c r="AS166" i="14" s="1"/>
  <c r="AT166" i="14" s="1"/>
  <c r="AU166" i="14" s="1"/>
  <c r="AV166" i="14" s="1"/>
  <c r="AW166" i="14" s="1"/>
  <c r="AX166" i="14" s="1"/>
  <c r="AY166" i="14" s="1"/>
  <c r="AZ166" i="14" s="1"/>
  <c r="BA166" i="14" s="1"/>
  <c r="BB166" i="14" s="1"/>
  <c r="BC166" i="14" s="1"/>
  <c r="BD166" i="14" s="1"/>
  <c r="BE166" i="14" s="1"/>
  <c r="BF166" i="14" s="1"/>
  <c r="BG166" i="14" s="1"/>
  <c r="BH166" i="14" s="1"/>
  <c r="BI166" i="14" s="1"/>
  <c r="BJ166" i="14" s="1"/>
  <c r="BK166" i="14" s="1"/>
  <c r="BL166" i="14" s="1"/>
  <c r="BM166" i="14" s="1"/>
  <c r="BN166" i="14" s="1"/>
  <c r="BO166" i="14" s="1"/>
  <c r="BP166" i="14" s="1"/>
  <c r="BQ166" i="14" s="1"/>
  <c r="BR166" i="14" s="1"/>
  <c r="BS166" i="14" s="1"/>
  <c r="BT166" i="14" s="1"/>
  <c r="BU166" i="14" s="1"/>
  <c r="BV166" i="14" s="1"/>
  <c r="BW166" i="14" s="1"/>
  <c r="D168" i="14"/>
  <c r="D170" i="14" s="1"/>
  <c r="O182" i="14"/>
  <c r="P182" i="14" s="1"/>
  <c r="Q182" i="14" s="1"/>
  <c r="R182" i="14" s="1"/>
  <c r="S182" i="14" s="1"/>
  <c r="T182" i="14" s="1"/>
  <c r="U182" i="14" s="1"/>
  <c r="V182" i="14" s="1"/>
  <c r="W182" i="14" s="1"/>
  <c r="X182" i="14" s="1"/>
  <c r="Y182" i="14" s="1"/>
  <c r="Z182" i="14" s="1"/>
  <c r="AA182" i="14" s="1"/>
  <c r="AB182" i="14" s="1"/>
  <c r="AC182" i="14" s="1"/>
  <c r="AD182" i="14" s="1"/>
  <c r="AE182" i="14" s="1"/>
  <c r="AF182" i="14" s="1"/>
  <c r="AG182" i="14" s="1"/>
  <c r="AH182" i="14" s="1"/>
  <c r="AI182" i="14" s="1"/>
  <c r="AJ182" i="14" s="1"/>
  <c r="AK182" i="14" s="1"/>
  <c r="AL182" i="14" s="1"/>
  <c r="AM182" i="14" s="1"/>
  <c r="AN182" i="14" s="1"/>
  <c r="AO182" i="14" s="1"/>
  <c r="AP182" i="14" s="1"/>
  <c r="AQ182" i="14" s="1"/>
  <c r="AR182" i="14" s="1"/>
  <c r="AS182" i="14" s="1"/>
  <c r="AT182" i="14" s="1"/>
  <c r="AU182" i="14" s="1"/>
  <c r="AV182" i="14" s="1"/>
  <c r="AW182" i="14" s="1"/>
  <c r="AX182" i="14" s="1"/>
  <c r="AY182" i="14" s="1"/>
  <c r="AZ182" i="14" s="1"/>
  <c r="BA182" i="14" s="1"/>
  <c r="BB182" i="14" s="1"/>
  <c r="BC182" i="14" s="1"/>
  <c r="BD182" i="14" s="1"/>
  <c r="BE182" i="14" s="1"/>
  <c r="BF182" i="14" s="1"/>
  <c r="BG182" i="14" s="1"/>
  <c r="BH182" i="14" s="1"/>
  <c r="BI182" i="14" s="1"/>
  <c r="BJ182" i="14" s="1"/>
  <c r="BK182" i="14" s="1"/>
  <c r="BL182" i="14" s="1"/>
  <c r="BM182" i="14" s="1"/>
  <c r="BN182" i="14" s="1"/>
  <c r="BO182" i="14" s="1"/>
  <c r="BP182" i="14" s="1"/>
  <c r="BQ182" i="14" s="1"/>
  <c r="BR182" i="14" s="1"/>
  <c r="BS182" i="14" s="1"/>
  <c r="BT182" i="14" s="1"/>
  <c r="BU182" i="14" s="1"/>
  <c r="BV182" i="14" s="1"/>
  <c r="BW182" i="14" s="1"/>
  <c r="D184" i="14"/>
  <c r="D186" i="14" s="1"/>
  <c r="CE11" i="15"/>
  <c r="CE12" i="15"/>
  <c r="AA113" i="15"/>
  <c r="BY91" i="15"/>
  <c r="AA131" i="15"/>
  <c r="BY92" i="15"/>
  <c r="CC9" i="15"/>
  <c r="Q90" i="15"/>
  <c r="AA97" i="15"/>
  <c r="CA23" i="15"/>
  <c r="R14" i="15"/>
  <c r="P98" i="15"/>
  <c r="P100" i="15" s="1"/>
  <c r="P101" i="15" s="1"/>
  <c r="BY26" i="15"/>
  <c r="N153" i="15"/>
  <c r="O169" i="15"/>
  <c r="P169" i="15" s="1"/>
  <c r="Q169" i="15" s="1"/>
  <c r="R169" i="15" s="1"/>
  <c r="S169" i="15" s="1"/>
  <c r="T169" i="15" s="1"/>
  <c r="U169" i="15" s="1"/>
  <c r="V169" i="15" s="1"/>
  <c r="W169" i="15" s="1"/>
  <c r="X169" i="15" s="1"/>
  <c r="Y169" i="15" s="1"/>
  <c r="Z169" i="15" s="1"/>
  <c r="AA169" i="15" s="1"/>
  <c r="AB169" i="15" s="1"/>
  <c r="AC169" i="15" s="1"/>
  <c r="AD169" i="15" s="1"/>
  <c r="AE169" i="15" s="1"/>
  <c r="AF169" i="15" s="1"/>
  <c r="AG169" i="15" s="1"/>
  <c r="AH169" i="15" s="1"/>
  <c r="AI169" i="15" s="1"/>
  <c r="AJ169" i="15" s="1"/>
  <c r="AK169" i="15" s="1"/>
  <c r="AL169" i="15" s="1"/>
  <c r="AM169" i="15" s="1"/>
  <c r="AN169" i="15" s="1"/>
  <c r="AO169" i="15" s="1"/>
  <c r="AP169" i="15" s="1"/>
  <c r="AQ169" i="15" s="1"/>
  <c r="AR169" i="15" s="1"/>
  <c r="AS169" i="15" s="1"/>
  <c r="AT169" i="15" s="1"/>
  <c r="AU169" i="15" s="1"/>
  <c r="AV169" i="15" s="1"/>
  <c r="AW169" i="15" s="1"/>
  <c r="AX169" i="15" s="1"/>
  <c r="AY169" i="15" s="1"/>
  <c r="AZ169" i="15" s="1"/>
  <c r="BA169" i="15" s="1"/>
  <c r="BB169" i="15" s="1"/>
  <c r="BC169" i="15" s="1"/>
  <c r="BD169" i="15" s="1"/>
  <c r="BE169" i="15" s="1"/>
  <c r="BF169" i="15" s="1"/>
  <c r="BG169" i="15" s="1"/>
  <c r="BH169" i="15" s="1"/>
  <c r="BI169" i="15" s="1"/>
  <c r="BJ169" i="15" s="1"/>
  <c r="BK169" i="15" s="1"/>
  <c r="BL169" i="15" s="1"/>
  <c r="BM169" i="15" s="1"/>
  <c r="BN169" i="15" s="1"/>
  <c r="BO169" i="15" s="1"/>
  <c r="BP169" i="15" s="1"/>
  <c r="BQ169" i="15" s="1"/>
  <c r="BR169" i="15" s="1"/>
  <c r="BS169" i="15" s="1"/>
  <c r="BT169" i="15" s="1"/>
  <c r="BU169" i="15" s="1"/>
  <c r="BV169" i="15" s="1"/>
  <c r="BW169" i="15" s="1"/>
  <c r="D171" i="15"/>
  <c r="D173" i="15" s="1"/>
  <c r="O185" i="15"/>
  <c r="P185" i="15" s="1"/>
  <c r="Q185" i="15" s="1"/>
  <c r="R185" i="15" s="1"/>
  <c r="S185" i="15" s="1"/>
  <c r="T185" i="15" s="1"/>
  <c r="U185" i="15" s="1"/>
  <c r="V185" i="15" s="1"/>
  <c r="W185" i="15" s="1"/>
  <c r="X185" i="15" s="1"/>
  <c r="Y185" i="15" s="1"/>
  <c r="Z185" i="15" s="1"/>
  <c r="AA185" i="15" s="1"/>
  <c r="AB185" i="15" s="1"/>
  <c r="AC185" i="15" s="1"/>
  <c r="AD185" i="15" s="1"/>
  <c r="AE185" i="15" s="1"/>
  <c r="AF185" i="15" s="1"/>
  <c r="AG185" i="15" s="1"/>
  <c r="AH185" i="15" s="1"/>
  <c r="AI185" i="15" s="1"/>
  <c r="AJ185" i="15" s="1"/>
  <c r="AK185" i="15" s="1"/>
  <c r="AL185" i="15" s="1"/>
  <c r="AM185" i="15" s="1"/>
  <c r="AN185" i="15" s="1"/>
  <c r="AO185" i="15" s="1"/>
  <c r="AP185" i="15" s="1"/>
  <c r="AQ185" i="15" s="1"/>
  <c r="AR185" i="15" s="1"/>
  <c r="AS185" i="15" s="1"/>
  <c r="AT185" i="15" s="1"/>
  <c r="AU185" i="15" s="1"/>
  <c r="AV185" i="15" s="1"/>
  <c r="AW185" i="15" s="1"/>
  <c r="AX185" i="15" s="1"/>
  <c r="AY185" i="15" s="1"/>
  <c r="AZ185" i="15" s="1"/>
  <c r="BA185" i="15" s="1"/>
  <c r="BB185" i="15" s="1"/>
  <c r="BC185" i="15" s="1"/>
  <c r="BD185" i="15" s="1"/>
  <c r="BE185" i="15" s="1"/>
  <c r="BF185" i="15" s="1"/>
  <c r="BG185" i="15" s="1"/>
  <c r="BH185" i="15" s="1"/>
  <c r="BI185" i="15" s="1"/>
  <c r="BJ185" i="15" s="1"/>
  <c r="BK185" i="15" s="1"/>
  <c r="BL185" i="15" s="1"/>
  <c r="BM185" i="15" s="1"/>
  <c r="BN185" i="15" s="1"/>
  <c r="BO185" i="15" s="1"/>
  <c r="BP185" i="15" s="1"/>
  <c r="BQ185" i="15" s="1"/>
  <c r="BR185" i="15" s="1"/>
  <c r="BS185" i="15" s="1"/>
  <c r="BT185" i="15" s="1"/>
  <c r="BU185" i="15" s="1"/>
  <c r="BV185" i="15" s="1"/>
  <c r="BW185" i="15" s="1"/>
  <c r="D187" i="15"/>
  <c r="D189" i="15" s="1"/>
  <c r="BY56" i="16"/>
  <c r="AA113" i="16"/>
  <c r="BY91" i="16"/>
  <c r="AA131" i="16"/>
  <c r="BY92" i="16"/>
  <c r="BY9" i="16"/>
  <c r="Z97" i="16"/>
  <c r="Z90" i="16" s="1"/>
  <c r="Y97" i="16"/>
  <c r="Y90" i="16" s="1"/>
  <c r="X97" i="16"/>
  <c r="X90" i="16" s="1"/>
  <c r="W97" i="16"/>
  <c r="W90" i="16" s="1"/>
  <c r="V97" i="16"/>
  <c r="V90" i="16" s="1"/>
  <c r="U97" i="16"/>
  <c r="U90" i="16" s="1"/>
  <c r="T97" i="16"/>
  <c r="T90" i="16" s="1"/>
  <c r="S97" i="16"/>
  <c r="S90" i="16" s="1"/>
  <c r="R97" i="16"/>
  <c r="CF14" i="16"/>
  <c r="CF11" i="16"/>
  <c r="CE11" i="16"/>
  <c r="CB11" i="16"/>
  <c r="Q121" i="16"/>
  <c r="R121" i="16" s="1"/>
  <c r="Q55" i="16"/>
  <c r="BY62" i="16"/>
  <c r="CA23" i="16"/>
  <c r="R14" i="16"/>
  <c r="P98" i="16"/>
  <c r="P100" i="16" s="1"/>
  <c r="P101" i="16" s="1"/>
  <c r="BY26" i="16"/>
  <c r="N153" i="16"/>
  <c r="O169" i="16"/>
  <c r="P169" i="16" s="1"/>
  <c r="Q169" i="16" s="1"/>
  <c r="R169" i="16" s="1"/>
  <c r="S169" i="16" s="1"/>
  <c r="T169" i="16" s="1"/>
  <c r="U169" i="16" s="1"/>
  <c r="V169" i="16" s="1"/>
  <c r="W169" i="16" s="1"/>
  <c r="X169" i="16" s="1"/>
  <c r="Y169" i="16" s="1"/>
  <c r="Z169" i="16" s="1"/>
  <c r="AA169" i="16" s="1"/>
  <c r="AB169" i="16" s="1"/>
  <c r="AC169" i="16" s="1"/>
  <c r="AD169" i="16" s="1"/>
  <c r="AE169" i="16" s="1"/>
  <c r="AF169" i="16" s="1"/>
  <c r="AG169" i="16" s="1"/>
  <c r="AH169" i="16" s="1"/>
  <c r="AI169" i="16" s="1"/>
  <c r="AJ169" i="16" s="1"/>
  <c r="AK169" i="16" s="1"/>
  <c r="AL169" i="16" s="1"/>
  <c r="AM169" i="16" s="1"/>
  <c r="AN169" i="16" s="1"/>
  <c r="AO169" i="16" s="1"/>
  <c r="AP169" i="16" s="1"/>
  <c r="AQ169" i="16" s="1"/>
  <c r="AR169" i="16" s="1"/>
  <c r="AS169" i="16" s="1"/>
  <c r="AT169" i="16" s="1"/>
  <c r="AU169" i="16" s="1"/>
  <c r="AV169" i="16" s="1"/>
  <c r="AW169" i="16" s="1"/>
  <c r="AX169" i="16" s="1"/>
  <c r="AY169" i="16" s="1"/>
  <c r="AZ169" i="16" s="1"/>
  <c r="BA169" i="16" s="1"/>
  <c r="BB169" i="16" s="1"/>
  <c r="BC169" i="16" s="1"/>
  <c r="BD169" i="16" s="1"/>
  <c r="BE169" i="16" s="1"/>
  <c r="BF169" i="16" s="1"/>
  <c r="BG169" i="16" s="1"/>
  <c r="BH169" i="16" s="1"/>
  <c r="BI169" i="16" s="1"/>
  <c r="BJ169" i="16" s="1"/>
  <c r="BK169" i="16" s="1"/>
  <c r="BL169" i="16" s="1"/>
  <c r="BM169" i="16" s="1"/>
  <c r="BN169" i="16" s="1"/>
  <c r="BO169" i="16" s="1"/>
  <c r="BP169" i="16" s="1"/>
  <c r="BQ169" i="16" s="1"/>
  <c r="BR169" i="16" s="1"/>
  <c r="BS169" i="16" s="1"/>
  <c r="BT169" i="16" s="1"/>
  <c r="BU169" i="16" s="1"/>
  <c r="BV169" i="16" s="1"/>
  <c r="BW169" i="16" s="1"/>
  <c r="D171" i="16"/>
  <c r="D173" i="16" s="1"/>
  <c r="O185" i="16"/>
  <c r="P185" i="16" s="1"/>
  <c r="Q185" i="16" s="1"/>
  <c r="R185" i="16" s="1"/>
  <c r="S185" i="16" s="1"/>
  <c r="T185" i="16" s="1"/>
  <c r="U185" i="16" s="1"/>
  <c r="V185" i="16" s="1"/>
  <c r="W185" i="16" s="1"/>
  <c r="X185" i="16" s="1"/>
  <c r="Y185" i="16" s="1"/>
  <c r="Z185" i="16" s="1"/>
  <c r="AA185" i="16" s="1"/>
  <c r="AB185" i="16" s="1"/>
  <c r="AC185" i="16" s="1"/>
  <c r="AD185" i="16" s="1"/>
  <c r="AE185" i="16" s="1"/>
  <c r="AF185" i="16" s="1"/>
  <c r="AG185" i="16" s="1"/>
  <c r="AH185" i="16" s="1"/>
  <c r="AI185" i="16" s="1"/>
  <c r="AJ185" i="16" s="1"/>
  <c r="AK185" i="16" s="1"/>
  <c r="AL185" i="16" s="1"/>
  <c r="AM185" i="16" s="1"/>
  <c r="AN185" i="16" s="1"/>
  <c r="AO185" i="16" s="1"/>
  <c r="AP185" i="16" s="1"/>
  <c r="AQ185" i="16" s="1"/>
  <c r="AR185" i="16" s="1"/>
  <c r="AS185" i="16" s="1"/>
  <c r="AT185" i="16" s="1"/>
  <c r="AU185" i="16" s="1"/>
  <c r="AV185" i="16" s="1"/>
  <c r="AW185" i="16" s="1"/>
  <c r="AX185" i="16" s="1"/>
  <c r="AY185" i="16" s="1"/>
  <c r="AZ185" i="16" s="1"/>
  <c r="BA185" i="16" s="1"/>
  <c r="BB185" i="16" s="1"/>
  <c r="BC185" i="16" s="1"/>
  <c r="BD185" i="16" s="1"/>
  <c r="BE185" i="16" s="1"/>
  <c r="BF185" i="16" s="1"/>
  <c r="BG185" i="16" s="1"/>
  <c r="BH185" i="16" s="1"/>
  <c r="BI185" i="16" s="1"/>
  <c r="BJ185" i="16" s="1"/>
  <c r="BK185" i="16" s="1"/>
  <c r="BL185" i="16" s="1"/>
  <c r="BM185" i="16" s="1"/>
  <c r="BN185" i="16" s="1"/>
  <c r="BO185" i="16" s="1"/>
  <c r="BP185" i="16" s="1"/>
  <c r="BQ185" i="16" s="1"/>
  <c r="BR185" i="16" s="1"/>
  <c r="BS185" i="16" s="1"/>
  <c r="BT185" i="16" s="1"/>
  <c r="BU185" i="16" s="1"/>
  <c r="BV185" i="16" s="1"/>
  <c r="BW185" i="16" s="1"/>
  <c r="D187" i="16"/>
  <c r="D189" i="16" s="1"/>
  <c r="AA113" i="17"/>
  <c r="BY91" i="17"/>
  <c r="AA131" i="17"/>
  <c r="BY92" i="17"/>
  <c r="BY9" i="17"/>
  <c r="Z97" i="17"/>
  <c r="Z90" i="17" s="1"/>
  <c r="Y97" i="17"/>
  <c r="Y90" i="17" s="1"/>
  <c r="X97" i="17"/>
  <c r="X90" i="17" s="1"/>
  <c r="W97" i="17"/>
  <c r="W90" i="17" s="1"/>
  <c r="V97" i="17"/>
  <c r="V90" i="17" s="1"/>
  <c r="U97" i="17"/>
  <c r="U90" i="17" s="1"/>
  <c r="T97" i="17"/>
  <c r="T90" i="17" s="1"/>
  <c r="S97" i="17"/>
  <c r="S90" i="17" s="1"/>
  <c r="R97" i="17"/>
  <c r="CF14" i="17"/>
  <c r="CF11" i="17"/>
  <c r="CE11" i="17"/>
  <c r="CB11" i="17"/>
  <c r="Q121" i="17"/>
  <c r="R121" i="17" s="1"/>
  <c r="Q55" i="17"/>
  <c r="BY62" i="17"/>
  <c r="CA23" i="17"/>
  <c r="R14" i="17"/>
  <c r="P98" i="17"/>
  <c r="P100" i="17" s="1"/>
  <c r="P101" i="17" s="1"/>
  <c r="BY26" i="17"/>
  <c r="N153" i="17"/>
  <c r="O169" i="17"/>
  <c r="P169" i="17" s="1"/>
  <c r="Q169" i="17" s="1"/>
  <c r="R169" i="17" s="1"/>
  <c r="S169" i="17" s="1"/>
  <c r="T169" i="17" s="1"/>
  <c r="U169" i="17" s="1"/>
  <c r="V169" i="17" s="1"/>
  <c r="W169" i="17" s="1"/>
  <c r="X169" i="17" s="1"/>
  <c r="Y169" i="17" s="1"/>
  <c r="Z169" i="17" s="1"/>
  <c r="AA169" i="17" s="1"/>
  <c r="AB169" i="17" s="1"/>
  <c r="AC169" i="17" s="1"/>
  <c r="AD169" i="17" s="1"/>
  <c r="AE169" i="17" s="1"/>
  <c r="AF169" i="17" s="1"/>
  <c r="AG169" i="17" s="1"/>
  <c r="AH169" i="17" s="1"/>
  <c r="AI169" i="17" s="1"/>
  <c r="AJ169" i="17" s="1"/>
  <c r="AK169" i="17" s="1"/>
  <c r="AL169" i="17" s="1"/>
  <c r="AM169" i="17" s="1"/>
  <c r="AN169" i="17" s="1"/>
  <c r="AO169" i="17" s="1"/>
  <c r="AP169" i="17" s="1"/>
  <c r="AQ169" i="17" s="1"/>
  <c r="AR169" i="17" s="1"/>
  <c r="AS169" i="17" s="1"/>
  <c r="AT169" i="17" s="1"/>
  <c r="AU169" i="17" s="1"/>
  <c r="AV169" i="17" s="1"/>
  <c r="AW169" i="17" s="1"/>
  <c r="AX169" i="17" s="1"/>
  <c r="AY169" i="17" s="1"/>
  <c r="AZ169" i="17" s="1"/>
  <c r="BA169" i="17" s="1"/>
  <c r="BB169" i="17" s="1"/>
  <c r="BC169" i="17" s="1"/>
  <c r="BD169" i="17" s="1"/>
  <c r="BE169" i="17" s="1"/>
  <c r="BF169" i="17" s="1"/>
  <c r="BG169" i="17" s="1"/>
  <c r="BH169" i="17" s="1"/>
  <c r="BI169" i="17" s="1"/>
  <c r="BJ169" i="17" s="1"/>
  <c r="BK169" i="17" s="1"/>
  <c r="BL169" i="17" s="1"/>
  <c r="BM169" i="17" s="1"/>
  <c r="BN169" i="17" s="1"/>
  <c r="BO169" i="17" s="1"/>
  <c r="BP169" i="17" s="1"/>
  <c r="BQ169" i="17" s="1"/>
  <c r="BR169" i="17" s="1"/>
  <c r="BS169" i="17" s="1"/>
  <c r="BT169" i="17" s="1"/>
  <c r="BU169" i="17" s="1"/>
  <c r="BV169" i="17" s="1"/>
  <c r="BW169" i="17" s="1"/>
  <c r="D171" i="17"/>
  <c r="D173" i="17" s="1"/>
  <c r="O185" i="17"/>
  <c r="P185" i="17" s="1"/>
  <c r="Q185" i="17" s="1"/>
  <c r="R185" i="17" s="1"/>
  <c r="S185" i="17" s="1"/>
  <c r="T185" i="17" s="1"/>
  <c r="U185" i="17" s="1"/>
  <c r="V185" i="17" s="1"/>
  <c r="W185" i="17" s="1"/>
  <c r="X185" i="17" s="1"/>
  <c r="Y185" i="17" s="1"/>
  <c r="Z185" i="17" s="1"/>
  <c r="AA185" i="17" s="1"/>
  <c r="AB185" i="17" s="1"/>
  <c r="AC185" i="17" s="1"/>
  <c r="AD185" i="17" s="1"/>
  <c r="AE185" i="17" s="1"/>
  <c r="AF185" i="17" s="1"/>
  <c r="AG185" i="17" s="1"/>
  <c r="AH185" i="17" s="1"/>
  <c r="AI185" i="17" s="1"/>
  <c r="AJ185" i="17" s="1"/>
  <c r="AK185" i="17" s="1"/>
  <c r="AL185" i="17" s="1"/>
  <c r="AM185" i="17" s="1"/>
  <c r="AN185" i="17" s="1"/>
  <c r="AO185" i="17" s="1"/>
  <c r="AP185" i="17" s="1"/>
  <c r="AQ185" i="17" s="1"/>
  <c r="AR185" i="17" s="1"/>
  <c r="AS185" i="17" s="1"/>
  <c r="AT185" i="17" s="1"/>
  <c r="AU185" i="17" s="1"/>
  <c r="AV185" i="17" s="1"/>
  <c r="AW185" i="17" s="1"/>
  <c r="AX185" i="17" s="1"/>
  <c r="AY185" i="17" s="1"/>
  <c r="AZ185" i="17" s="1"/>
  <c r="BA185" i="17" s="1"/>
  <c r="BB185" i="17" s="1"/>
  <c r="BC185" i="17" s="1"/>
  <c r="BD185" i="17" s="1"/>
  <c r="BE185" i="17" s="1"/>
  <c r="BF185" i="17" s="1"/>
  <c r="BG185" i="17" s="1"/>
  <c r="BH185" i="17" s="1"/>
  <c r="BI185" i="17" s="1"/>
  <c r="BJ185" i="17" s="1"/>
  <c r="BK185" i="17" s="1"/>
  <c r="BL185" i="17" s="1"/>
  <c r="BM185" i="17" s="1"/>
  <c r="BN185" i="17" s="1"/>
  <c r="BO185" i="17" s="1"/>
  <c r="BP185" i="17" s="1"/>
  <c r="BQ185" i="17" s="1"/>
  <c r="BR185" i="17" s="1"/>
  <c r="BS185" i="17" s="1"/>
  <c r="BT185" i="17" s="1"/>
  <c r="BU185" i="17" s="1"/>
  <c r="BV185" i="17" s="1"/>
  <c r="BW185" i="17" s="1"/>
  <c r="D187" i="17"/>
  <c r="D189" i="17" s="1"/>
  <c r="S11" i="18"/>
  <c r="T10" i="18"/>
  <c r="AC112" i="19"/>
  <c r="BY91" i="19"/>
  <c r="D122" i="19"/>
  <c r="AC130" i="19"/>
  <c r="BY92" i="19"/>
  <c r="AC191" i="19"/>
  <c r="AC145" i="19"/>
  <c r="BY93" i="19"/>
  <c r="CC9" i="19"/>
  <c r="Q90" i="19"/>
  <c r="AC97" i="19"/>
  <c r="N181" i="19"/>
  <c r="O197" i="19"/>
  <c r="P197" i="19" s="1"/>
  <c r="Q197" i="19" s="1"/>
  <c r="R197" i="19" s="1"/>
  <c r="S197" i="19" s="1"/>
  <c r="T197" i="19" s="1"/>
  <c r="U197" i="19" s="1"/>
  <c r="V197" i="19" s="1"/>
  <c r="W197" i="19" s="1"/>
  <c r="X197" i="19" s="1"/>
  <c r="Y197" i="19" s="1"/>
  <c r="Z197" i="19" s="1"/>
  <c r="AA197" i="19" s="1"/>
  <c r="AB197" i="19" s="1"/>
  <c r="O213" i="19"/>
  <c r="P213" i="19" s="1"/>
  <c r="Q213" i="19" s="1"/>
  <c r="R213" i="19" s="1"/>
  <c r="S213" i="19" s="1"/>
  <c r="T213" i="19" s="1"/>
  <c r="U213" i="19" s="1"/>
  <c r="V213" i="19" s="1"/>
  <c r="W213" i="19" s="1"/>
  <c r="X213" i="19" s="1"/>
  <c r="Y213" i="19" s="1"/>
  <c r="Z213" i="19" s="1"/>
  <c r="AA213" i="19" s="1"/>
  <c r="AB213" i="19" s="1"/>
  <c r="AC213" i="19" s="1"/>
  <c r="AD213" i="19" s="1"/>
  <c r="AE213" i="19" s="1"/>
  <c r="AF213" i="19" s="1"/>
  <c r="AG213" i="19" s="1"/>
  <c r="AH213" i="19" s="1"/>
  <c r="AI213" i="19" s="1"/>
  <c r="AJ213" i="19" s="1"/>
  <c r="AK213" i="19" s="1"/>
  <c r="AL213" i="19" s="1"/>
  <c r="AM213" i="19" s="1"/>
  <c r="AN213" i="19" s="1"/>
  <c r="AO213" i="19" s="1"/>
  <c r="AP213" i="19" s="1"/>
  <c r="AQ213" i="19" s="1"/>
  <c r="AR213" i="19" s="1"/>
  <c r="AS213" i="19" s="1"/>
  <c r="AT213" i="19" s="1"/>
  <c r="AU213" i="19" s="1"/>
  <c r="AV213" i="19" s="1"/>
  <c r="AW213" i="19" s="1"/>
  <c r="AX213" i="19" s="1"/>
  <c r="AY213" i="19" s="1"/>
  <c r="AZ213" i="19" s="1"/>
  <c r="BA213" i="19" s="1"/>
  <c r="BB213" i="19" s="1"/>
  <c r="BC213" i="19" s="1"/>
  <c r="BD213" i="19" s="1"/>
  <c r="BE213" i="19" s="1"/>
  <c r="BF213" i="19" s="1"/>
  <c r="BG213" i="19" s="1"/>
  <c r="BH213" i="19" s="1"/>
  <c r="BI213" i="19" s="1"/>
  <c r="BJ213" i="19" s="1"/>
  <c r="BK213" i="19" s="1"/>
  <c r="BL213" i="19" s="1"/>
  <c r="BM213" i="19" s="1"/>
  <c r="BN213" i="19" s="1"/>
  <c r="BO213" i="19" s="1"/>
  <c r="BP213" i="19" s="1"/>
  <c r="BQ213" i="19" s="1"/>
  <c r="BR213" i="19" s="1"/>
  <c r="BS213" i="19" s="1"/>
  <c r="BT213" i="19" s="1"/>
  <c r="BU213" i="19" s="1"/>
  <c r="BV213" i="19" s="1"/>
  <c r="BW213" i="19" s="1"/>
  <c r="D215" i="19"/>
  <c r="D217" i="19" s="1"/>
  <c r="CE11" i="20"/>
  <c r="CE12" i="20"/>
  <c r="T112" i="20"/>
  <c r="BY91" i="20"/>
  <c r="D138" i="20"/>
  <c r="D140" i="20" s="1"/>
  <c r="CC9" i="20"/>
  <c r="Q90" i="20"/>
  <c r="T97" i="20"/>
  <c r="N152" i="20"/>
  <c r="O168" i="20"/>
  <c r="P168" i="20" s="1"/>
  <c r="Q168" i="20" s="1"/>
  <c r="R168" i="20" s="1"/>
  <c r="S168" i="20" s="1"/>
  <c r="T168" i="20" s="1"/>
  <c r="U168" i="20" s="1"/>
  <c r="V168" i="20" s="1"/>
  <c r="W168" i="20" s="1"/>
  <c r="X168" i="20" s="1"/>
  <c r="Y168" i="20" s="1"/>
  <c r="Z168" i="20" s="1"/>
  <c r="AA168" i="20" s="1"/>
  <c r="AB168" i="20" s="1"/>
  <c r="AC168" i="20" s="1"/>
  <c r="AD168" i="20" s="1"/>
  <c r="AE168" i="20" s="1"/>
  <c r="AF168" i="20" s="1"/>
  <c r="AG168" i="20" s="1"/>
  <c r="AH168" i="20" s="1"/>
  <c r="AI168" i="20" s="1"/>
  <c r="AJ168" i="20" s="1"/>
  <c r="AK168" i="20" s="1"/>
  <c r="AL168" i="20" s="1"/>
  <c r="AM168" i="20" s="1"/>
  <c r="AN168" i="20" s="1"/>
  <c r="AO168" i="20" s="1"/>
  <c r="AP168" i="20" s="1"/>
  <c r="AQ168" i="20" s="1"/>
  <c r="AR168" i="20" s="1"/>
  <c r="AS168" i="20" s="1"/>
  <c r="AT168" i="20" s="1"/>
  <c r="AU168" i="20" s="1"/>
  <c r="AV168" i="20" s="1"/>
  <c r="AW168" i="20" s="1"/>
  <c r="AX168" i="20" s="1"/>
  <c r="AY168" i="20" s="1"/>
  <c r="AZ168" i="20" s="1"/>
  <c r="BA168" i="20" s="1"/>
  <c r="BB168" i="20" s="1"/>
  <c r="BC168" i="20" s="1"/>
  <c r="BD168" i="20" s="1"/>
  <c r="BE168" i="20" s="1"/>
  <c r="BF168" i="20" s="1"/>
  <c r="BG168" i="20" s="1"/>
  <c r="BH168" i="20" s="1"/>
  <c r="BI168" i="20" s="1"/>
  <c r="BJ168" i="20" s="1"/>
  <c r="BK168" i="20" s="1"/>
  <c r="BL168" i="20" s="1"/>
  <c r="BM168" i="20" s="1"/>
  <c r="BN168" i="20" s="1"/>
  <c r="BO168" i="20" s="1"/>
  <c r="BP168" i="20" s="1"/>
  <c r="BQ168" i="20" s="1"/>
  <c r="BR168" i="20" s="1"/>
  <c r="BS168" i="20" s="1"/>
  <c r="BT168" i="20" s="1"/>
  <c r="BU168" i="20" s="1"/>
  <c r="BV168" i="20" s="1"/>
  <c r="BW168" i="20" s="1"/>
  <c r="D170" i="20"/>
  <c r="D172" i="20" s="1"/>
  <c r="O184" i="20"/>
  <c r="P184" i="20" s="1"/>
  <c r="Q184" i="20" s="1"/>
  <c r="R184" i="20" s="1"/>
  <c r="S184" i="20" s="1"/>
  <c r="T184" i="20" s="1"/>
  <c r="U184" i="20" s="1"/>
  <c r="V184" i="20" s="1"/>
  <c r="W184" i="20" s="1"/>
  <c r="X184" i="20" s="1"/>
  <c r="Y184" i="20" s="1"/>
  <c r="Z184" i="20" s="1"/>
  <c r="AA184" i="20" s="1"/>
  <c r="AB184" i="20" s="1"/>
  <c r="AC184" i="20" s="1"/>
  <c r="AD184" i="20" s="1"/>
  <c r="AE184" i="20" s="1"/>
  <c r="AF184" i="20" s="1"/>
  <c r="AG184" i="20" s="1"/>
  <c r="AH184" i="20" s="1"/>
  <c r="AI184" i="20" s="1"/>
  <c r="AJ184" i="20" s="1"/>
  <c r="AK184" i="20" s="1"/>
  <c r="AL184" i="20" s="1"/>
  <c r="AM184" i="20" s="1"/>
  <c r="AN184" i="20" s="1"/>
  <c r="AO184" i="20" s="1"/>
  <c r="AP184" i="20" s="1"/>
  <c r="AQ184" i="20" s="1"/>
  <c r="AR184" i="20" s="1"/>
  <c r="AS184" i="20" s="1"/>
  <c r="AT184" i="20" s="1"/>
  <c r="AU184" i="20" s="1"/>
  <c r="AV184" i="20" s="1"/>
  <c r="AW184" i="20" s="1"/>
  <c r="AX184" i="20" s="1"/>
  <c r="AY184" i="20" s="1"/>
  <c r="AZ184" i="20" s="1"/>
  <c r="BA184" i="20" s="1"/>
  <c r="BB184" i="20" s="1"/>
  <c r="BC184" i="20" s="1"/>
  <c r="BD184" i="20" s="1"/>
  <c r="BE184" i="20" s="1"/>
  <c r="BF184" i="20" s="1"/>
  <c r="BG184" i="20" s="1"/>
  <c r="BH184" i="20" s="1"/>
  <c r="BI184" i="20" s="1"/>
  <c r="BJ184" i="20" s="1"/>
  <c r="BK184" i="20" s="1"/>
  <c r="BL184" i="20" s="1"/>
  <c r="BM184" i="20" s="1"/>
  <c r="BN184" i="20" s="1"/>
  <c r="BO184" i="20" s="1"/>
  <c r="BP184" i="20" s="1"/>
  <c r="BQ184" i="20" s="1"/>
  <c r="BR184" i="20" s="1"/>
  <c r="BS184" i="20" s="1"/>
  <c r="BT184" i="20" s="1"/>
  <c r="BU184" i="20" s="1"/>
  <c r="BV184" i="20" s="1"/>
  <c r="BW184" i="20" s="1"/>
  <c r="D186" i="20"/>
  <c r="D188" i="20" s="1"/>
  <c r="S11" i="21"/>
  <c r="T10" i="21"/>
  <c r="I11" i="22"/>
  <c r="J10" i="22"/>
  <c r="N11" i="22"/>
  <c r="O10" i="22"/>
  <c r="S11" i="22"/>
  <c r="T10" i="22"/>
  <c r="CE11" i="26"/>
  <c r="CE12" i="26"/>
  <c r="BY56" i="26"/>
  <c r="AA113" i="26"/>
  <c r="BY91" i="26"/>
  <c r="AA131" i="26"/>
  <c r="BY92" i="26"/>
  <c r="BY9" i="26"/>
  <c r="CE34" i="26"/>
  <c r="CE37" i="26" s="1"/>
  <c r="CE26" i="26"/>
  <c r="S90" i="26"/>
  <c r="AA97" i="26"/>
  <c r="BY97" i="26" s="1"/>
  <c r="BY26" i="26"/>
  <c r="Q101" i="26"/>
  <c r="N153" i="26"/>
  <c r="O169" i="26"/>
  <c r="P169" i="26" s="1"/>
  <c r="Q169" i="26" s="1"/>
  <c r="R169" i="26" s="1"/>
  <c r="S169" i="26" s="1"/>
  <c r="T169" i="26" s="1"/>
  <c r="U169" i="26" s="1"/>
  <c r="V169" i="26" s="1"/>
  <c r="W169" i="26" s="1"/>
  <c r="X169" i="26" s="1"/>
  <c r="Y169" i="26" s="1"/>
  <c r="Z169" i="26" s="1"/>
  <c r="AA169" i="26" s="1"/>
  <c r="AB169" i="26" s="1"/>
  <c r="AC169" i="26" s="1"/>
  <c r="AD169" i="26" s="1"/>
  <c r="AE169" i="26" s="1"/>
  <c r="AF169" i="26" s="1"/>
  <c r="AG169" i="26" s="1"/>
  <c r="AH169" i="26" s="1"/>
  <c r="AI169" i="26" s="1"/>
  <c r="AJ169" i="26" s="1"/>
  <c r="AK169" i="26" s="1"/>
  <c r="AL169" i="26" s="1"/>
  <c r="AM169" i="26" s="1"/>
  <c r="AN169" i="26" s="1"/>
  <c r="AO169" i="26" s="1"/>
  <c r="AP169" i="26" s="1"/>
  <c r="AQ169" i="26" s="1"/>
  <c r="AR169" i="26" s="1"/>
  <c r="AS169" i="26" s="1"/>
  <c r="AT169" i="26" s="1"/>
  <c r="AU169" i="26" s="1"/>
  <c r="AV169" i="26" s="1"/>
  <c r="AW169" i="26" s="1"/>
  <c r="AX169" i="26" s="1"/>
  <c r="AY169" i="26" s="1"/>
  <c r="AZ169" i="26" s="1"/>
  <c r="BA169" i="26" s="1"/>
  <c r="BB169" i="26" s="1"/>
  <c r="BC169" i="26" s="1"/>
  <c r="BD169" i="26" s="1"/>
  <c r="BE169" i="26" s="1"/>
  <c r="BF169" i="26" s="1"/>
  <c r="BG169" i="26" s="1"/>
  <c r="BH169" i="26" s="1"/>
  <c r="BI169" i="26" s="1"/>
  <c r="BJ169" i="26" s="1"/>
  <c r="BK169" i="26" s="1"/>
  <c r="BL169" i="26" s="1"/>
  <c r="BM169" i="26" s="1"/>
  <c r="BN169" i="26" s="1"/>
  <c r="BO169" i="26" s="1"/>
  <c r="BP169" i="26" s="1"/>
  <c r="BQ169" i="26" s="1"/>
  <c r="BR169" i="26" s="1"/>
  <c r="BS169" i="26" s="1"/>
  <c r="BT169" i="26" s="1"/>
  <c r="BU169" i="26" s="1"/>
  <c r="BV169" i="26" s="1"/>
  <c r="BW169" i="26" s="1"/>
  <c r="D171" i="26"/>
  <c r="D173" i="26" s="1"/>
  <c r="O185" i="26"/>
  <c r="P185" i="26" s="1"/>
  <c r="Q185" i="26" s="1"/>
  <c r="R185" i="26" s="1"/>
  <c r="S185" i="26" s="1"/>
  <c r="T185" i="26" s="1"/>
  <c r="U185" i="26" s="1"/>
  <c r="V185" i="26" s="1"/>
  <c r="W185" i="26" s="1"/>
  <c r="X185" i="26" s="1"/>
  <c r="Y185" i="26" s="1"/>
  <c r="Z185" i="26" s="1"/>
  <c r="AA185" i="26" s="1"/>
  <c r="AB185" i="26" s="1"/>
  <c r="AC185" i="26" s="1"/>
  <c r="AD185" i="26" s="1"/>
  <c r="AE185" i="26" s="1"/>
  <c r="AF185" i="26" s="1"/>
  <c r="AG185" i="26" s="1"/>
  <c r="AH185" i="26" s="1"/>
  <c r="AI185" i="26" s="1"/>
  <c r="AJ185" i="26" s="1"/>
  <c r="AK185" i="26" s="1"/>
  <c r="AL185" i="26" s="1"/>
  <c r="AM185" i="26" s="1"/>
  <c r="AN185" i="26" s="1"/>
  <c r="AO185" i="26" s="1"/>
  <c r="AP185" i="26" s="1"/>
  <c r="AQ185" i="26" s="1"/>
  <c r="AR185" i="26" s="1"/>
  <c r="AS185" i="26" s="1"/>
  <c r="AT185" i="26" s="1"/>
  <c r="AU185" i="26" s="1"/>
  <c r="AV185" i="26" s="1"/>
  <c r="AW185" i="26" s="1"/>
  <c r="AX185" i="26" s="1"/>
  <c r="AY185" i="26" s="1"/>
  <c r="AZ185" i="26" s="1"/>
  <c r="BA185" i="26" s="1"/>
  <c r="BB185" i="26" s="1"/>
  <c r="BC185" i="26" s="1"/>
  <c r="BD185" i="26" s="1"/>
  <c r="BE185" i="26" s="1"/>
  <c r="BF185" i="26" s="1"/>
  <c r="BG185" i="26" s="1"/>
  <c r="BH185" i="26" s="1"/>
  <c r="BI185" i="26" s="1"/>
  <c r="BJ185" i="26" s="1"/>
  <c r="BK185" i="26" s="1"/>
  <c r="BL185" i="26" s="1"/>
  <c r="BM185" i="26" s="1"/>
  <c r="BN185" i="26" s="1"/>
  <c r="BO185" i="26" s="1"/>
  <c r="BP185" i="26" s="1"/>
  <c r="BQ185" i="26" s="1"/>
  <c r="BR185" i="26" s="1"/>
  <c r="BS185" i="26" s="1"/>
  <c r="BT185" i="26" s="1"/>
  <c r="BU185" i="26" s="1"/>
  <c r="BV185" i="26" s="1"/>
  <c r="BW185" i="26" s="1"/>
  <c r="D187" i="26"/>
  <c r="D189" i="26" s="1"/>
  <c r="F22" i="27"/>
  <c r="C23" i="27" s="1"/>
  <c r="F31" i="27"/>
  <c r="J26" i="27"/>
  <c r="AD90" i="7" l="1"/>
  <c r="AG96" i="7"/>
  <c r="AG90" i="7" s="1"/>
  <c r="D176" i="7"/>
  <c r="D178" i="7" s="1"/>
  <c r="E7" i="9"/>
  <c r="E8" i="9"/>
  <c r="AC16" i="7"/>
  <c r="AC100" i="7"/>
  <c r="V99" i="7"/>
  <c r="W99" i="7" s="1"/>
  <c r="X99" i="7" s="1"/>
  <c r="Y99" i="7" s="1"/>
  <c r="AB12" i="28"/>
  <c r="AA12" i="28"/>
  <c r="AA17" i="28" s="1"/>
  <c r="V12" i="28"/>
  <c r="U12" i="28"/>
  <c r="BY12" i="28" s="1"/>
  <c r="Z27" i="28"/>
  <c r="Z99" i="28" s="1"/>
  <c r="BY28" i="28"/>
  <c r="BY27" i="28" s="1"/>
  <c r="U17" i="28"/>
  <c r="U101" i="28" s="1"/>
  <c r="D177" i="28"/>
  <c r="D179" i="28" s="1"/>
  <c r="AA101" i="28"/>
  <c r="O159" i="28"/>
  <c r="P159" i="28" s="1"/>
  <c r="Q159" i="28" s="1"/>
  <c r="R159" i="28" s="1"/>
  <c r="S159" i="28" s="1"/>
  <c r="T159" i="28" s="1"/>
  <c r="U159" i="28" s="1"/>
  <c r="V159" i="28" s="1"/>
  <c r="W159" i="28" s="1"/>
  <c r="X159" i="28" s="1"/>
  <c r="Y159" i="28" s="1"/>
  <c r="Z159" i="28" s="1"/>
  <c r="D161" i="28"/>
  <c r="D163" i="28" s="1"/>
  <c r="T140" i="28"/>
  <c r="T142" i="28" s="1"/>
  <c r="U102" i="28"/>
  <c r="BZ9" i="28"/>
  <c r="AB97" i="28"/>
  <c r="AB111" i="28"/>
  <c r="N21" i="5"/>
  <c r="AE63" i="7" s="1"/>
  <c r="J25" i="5"/>
  <c r="F32" i="27"/>
  <c r="F36" i="27"/>
  <c r="F35" i="27"/>
  <c r="F29" i="27"/>
  <c r="F28" i="27"/>
  <c r="F24" i="27"/>
  <c r="F30" i="27"/>
  <c r="F33" i="27"/>
  <c r="F34" i="27"/>
  <c r="F37" i="27"/>
  <c r="F38" i="27"/>
  <c r="O153" i="26"/>
  <c r="P153" i="26" s="1"/>
  <c r="Q153" i="26" s="1"/>
  <c r="R153" i="26" s="1"/>
  <c r="S153" i="26" s="1"/>
  <c r="T153" i="26" s="1"/>
  <c r="U153" i="26" s="1"/>
  <c r="V153" i="26" s="1"/>
  <c r="W153" i="26" s="1"/>
  <c r="X153" i="26" s="1"/>
  <c r="Y153" i="26" s="1"/>
  <c r="Z153" i="26" s="1"/>
  <c r="AA153" i="26" s="1"/>
  <c r="AB153" i="26" s="1"/>
  <c r="AC153" i="26" s="1"/>
  <c r="AD153" i="26" s="1"/>
  <c r="AE153" i="26" s="1"/>
  <c r="AF153" i="26" s="1"/>
  <c r="AG153" i="26" s="1"/>
  <c r="AH153" i="26" s="1"/>
  <c r="AI153" i="26" s="1"/>
  <c r="AJ153" i="26" s="1"/>
  <c r="AK153" i="26" s="1"/>
  <c r="AL153" i="26" s="1"/>
  <c r="AM153" i="26" s="1"/>
  <c r="AN153" i="26" s="1"/>
  <c r="AO153" i="26" s="1"/>
  <c r="AP153" i="26" s="1"/>
  <c r="AQ153" i="26" s="1"/>
  <c r="AR153" i="26" s="1"/>
  <c r="AS153" i="26" s="1"/>
  <c r="AT153" i="26" s="1"/>
  <c r="AU153" i="26" s="1"/>
  <c r="AV153" i="26" s="1"/>
  <c r="AW153" i="26" s="1"/>
  <c r="AX153" i="26" s="1"/>
  <c r="AY153" i="26" s="1"/>
  <c r="AZ153" i="26" s="1"/>
  <c r="BA153" i="26" s="1"/>
  <c r="BB153" i="26" s="1"/>
  <c r="BC153" i="26" s="1"/>
  <c r="BD153" i="26" s="1"/>
  <c r="BE153" i="26" s="1"/>
  <c r="BF153" i="26" s="1"/>
  <c r="BG153" i="26" s="1"/>
  <c r="BH153" i="26" s="1"/>
  <c r="BI153" i="26" s="1"/>
  <c r="BJ153" i="26" s="1"/>
  <c r="BK153" i="26" s="1"/>
  <c r="BL153" i="26" s="1"/>
  <c r="BM153" i="26" s="1"/>
  <c r="BN153" i="26" s="1"/>
  <c r="BO153" i="26" s="1"/>
  <c r="BP153" i="26" s="1"/>
  <c r="BQ153" i="26" s="1"/>
  <c r="BR153" i="26" s="1"/>
  <c r="BS153" i="26" s="1"/>
  <c r="BT153" i="26" s="1"/>
  <c r="BU153" i="26" s="1"/>
  <c r="BV153" i="26" s="1"/>
  <c r="BW153" i="26" s="1"/>
  <c r="D155" i="26"/>
  <c r="D157" i="26" s="1"/>
  <c r="BZ9" i="26"/>
  <c r="AA96" i="26"/>
  <c r="CB9" i="26"/>
  <c r="CC9" i="26" s="1"/>
  <c r="D139" i="26"/>
  <c r="D141" i="26" s="1"/>
  <c r="AA105" i="26"/>
  <c r="S12" i="22"/>
  <c r="T11" i="22"/>
  <c r="N12" i="22"/>
  <c r="O11" i="22"/>
  <c r="I12" i="22"/>
  <c r="J11" i="22"/>
  <c r="S12" i="21"/>
  <c r="T11" i="21"/>
  <c r="O152" i="20"/>
  <c r="P152" i="20" s="1"/>
  <c r="Q152" i="20" s="1"/>
  <c r="R152" i="20" s="1"/>
  <c r="S152" i="20" s="1"/>
  <c r="T152" i="20" s="1"/>
  <c r="U152" i="20" s="1"/>
  <c r="V152" i="20" s="1"/>
  <c r="W152" i="20" s="1"/>
  <c r="X152" i="20" s="1"/>
  <c r="Y152" i="20" s="1"/>
  <c r="Z152" i="20" s="1"/>
  <c r="AA152" i="20" s="1"/>
  <c r="AB152" i="20" s="1"/>
  <c r="AC152" i="20" s="1"/>
  <c r="AD152" i="20" s="1"/>
  <c r="AE152" i="20" s="1"/>
  <c r="AF152" i="20" s="1"/>
  <c r="AG152" i="20" s="1"/>
  <c r="AH152" i="20" s="1"/>
  <c r="AI152" i="20" s="1"/>
  <c r="AJ152" i="20" s="1"/>
  <c r="AK152" i="20" s="1"/>
  <c r="AL152" i="20" s="1"/>
  <c r="AM152" i="20" s="1"/>
  <c r="AN152" i="20" s="1"/>
  <c r="AO152" i="20" s="1"/>
  <c r="AP152" i="20" s="1"/>
  <c r="AQ152" i="20" s="1"/>
  <c r="AR152" i="20" s="1"/>
  <c r="AS152" i="20" s="1"/>
  <c r="AT152" i="20" s="1"/>
  <c r="AU152" i="20" s="1"/>
  <c r="AV152" i="20" s="1"/>
  <c r="AW152" i="20" s="1"/>
  <c r="AX152" i="20" s="1"/>
  <c r="AY152" i="20" s="1"/>
  <c r="AZ152" i="20" s="1"/>
  <c r="BA152" i="20" s="1"/>
  <c r="BB152" i="20" s="1"/>
  <c r="BC152" i="20" s="1"/>
  <c r="BD152" i="20" s="1"/>
  <c r="BE152" i="20" s="1"/>
  <c r="BF152" i="20" s="1"/>
  <c r="BG152" i="20" s="1"/>
  <c r="BH152" i="20" s="1"/>
  <c r="BI152" i="20" s="1"/>
  <c r="BJ152" i="20" s="1"/>
  <c r="BK152" i="20" s="1"/>
  <c r="BL152" i="20" s="1"/>
  <c r="BM152" i="20" s="1"/>
  <c r="BN152" i="20" s="1"/>
  <c r="BO152" i="20" s="1"/>
  <c r="BP152" i="20" s="1"/>
  <c r="BQ152" i="20" s="1"/>
  <c r="BR152" i="20" s="1"/>
  <c r="BS152" i="20" s="1"/>
  <c r="BT152" i="20" s="1"/>
  <c r="BU152" i="20" s="1"/>
  <c r="BV152" i="20" s="1"/>
  <c r="BW152" i="20" s="1"/>
  <c r="D154" i="20"/>
  <c r="D156" i="20" s="1"/>
  <c r="T90" i="20"/>
  <c r="BY97" i="20"/>
  <c r="BZ91" i="20"/>
  <c r="BY98" i="20" s="1"/>
  <c r="V122" i="20"/>
  <c r="V123" i="20" s="1"/>
  <c r="T104" i="20"/>
  <c r="O181" i="19"/>
  <c r="P181" i="19" s="1"/>
  <c r="Q181" i="19" s="1"/>
  <c r="R181" i="19" s="1"/>
  <c r="S181" i="19" s="1"/>
  <c r="T181" i="19" s="1"/>
  <c r="U181" i="19" s="1"/>
  <c r="V181" i="19" s="1"/>
  <c r="W181" i="19" s="1"/>
  <c r="X181" i="19" s="1"/>
  <c r="Y181" i="19" s="1"/>
  <c r="Z181" i="19" s="1"/>
  <c r="AA181" i="19" s="1"/>
  <c r="AB181" i="19" s="1"/>
  <c r="AC181" i="19" s="1"/>
  <c r="AD181" i="19" s="1"/>
  <c r="AE181" i="19" s="1"/>
  <c r="AF181" i="19" s="1"/>
  <c r="AG181" i="19" s="1"/>
  <c r="AH181" i="19" s="1"/>
  <c r="AI181" i="19" s="1"/>
  <c r="AJ181" i="19" s="1"/>
  <c r="AK181" i="19" s="1"/>
  <c r="AL181" i="19" s="1"/>
  <c r="AM181" i="19" s="1"/>
  <c r="AN181" i="19" s="1"/>
  <c r="AO181" i="19" s="1"/>
  <c r="AP181" i="19" s="1"/>
  <c r="AQ181" i="19" s="1"/>
  <c r="AR181" i="19" s="1"/>
  <c r="AS181" i="19" s="1"/>
  <c r="AT181" i="19" s="1"/>
  <c r="AU181" i="19" s="1"/>
  <c r="AV181" i="19" s="1"/>
  <c r="AW181" i="19" s="1"/>
  <c r="AX181" i="19" s="1"/>
  <c r="AY181" i="19" s="1"/>
  <c r="AZ181" i="19" s="1"/>
  <c r="BA181" i="19" s="1"/>
  <c r="BB181" i="19" s="1"/>
  <c r="BC181" i="19" s="1"/>
  <c r="BD181" i="19" s="1"/>
  <c r="BE181" i="19" s="1"/>
  <c r="BF181" i="19" s="1"/>
  <c r="BG181" i="19" s="1"/>
  <c r="BH181" i="19" s="1"/>
  <c r="BI181" i="19" s="1"/>
  <c r="BJ181" i="19" s="1"/>
  <c r="BK181" i="19" s="1"/>
  <c r="BL181" i="19" s="1"/>
  <c r="BM181" i="19" s="1"/>
  <c r="BN181" i="19" s="1"/>
  <c r="BO181" i="19" s="1"/>
  <c r="BP181" i="19" s="1"/>
  <c r="BQ181" i="19" s="1"/>
  <c r="BR181" i="19" s="1"/>
  <c r="BS181" i="19" s="1"/>
  <c r="BT181" i="19" s="1"/>
  <c r="BU181" i="19" s="1"/>
  <c r="BV181" i="19" s="1"/>
  <c r="BW181" i="19" s="1"/>
  <c r="D183" i="19"/>
  <c r="D185" i="19" s="1"/>
  <c r="AC90" i="19"/>
  <c r="BY97" i="19"/>
  <c r="D153" i="19"/>
  <c r="D155" i="19" s="1"/>
  <c r="AC135" i="19"/>
  <c r="D138" i="19"/>
  <c r="D140" i="19" s="1"/>
  <c r="BZ91" i="19"/>
  <c r="V122" i="19"/>
  <c r="V123" i="19" s="1"/>
  <c r="AC104" i="19"/>
  <c r="S12" i="18"/>
  <c r="T11" i="18"/>
  <c r="O153" i="17"/>
  <c r="P153" i="17" s="1"/>
  <c r="Q153" i="17" s="1"/>
  <c r="R153" i="17" s="1"/>
  <c r="S153" i="17" s="1"/>
  <c r="T153" i="17" s="1"/>
  <c r="U153" i="17" s="1"/>
  <c r="V153" i="17" s="1"/>
  <c r="W153" i="17" s="1"/>
  <c r="X153" i="17" s="1"/>
  <c r="Y153" i="17" s="1"/>
  <c r="Z153" i="17" s="1"/>
  <c r="AA153" i="17" s="1"/>
  <c r="AB153" i="17" s="1"/>
  <c r="AC153" i="17" s="1"/>
  <c r="AD153" i="17" s="1"/>
  <c r="AE153" i="17" s="1"/>
  <c r="AF153" i="17" s="1"/>
  <c r="AG153" i="17" s="1"/>
  <c r="AH153" i="17" s="1"/>
  <c r="AI153" i="17" s="1"/>
  <c r="AJ153" i="17" s="1"/>
  <c r="AK153" i="17" s="1"/>
  <c r="AL153" i="17" s="1"/>
  <c r="AM153" i="17" s="1"/>
  <c r="AN153" i="17" s="1"/>
  <c r="AO153" i="17" s="1"/>
  <c r="AP153" i="17" s="1"/>
  <c r="AQ153" i="17" s="1"/>
  <c r="AR153" i="17" s="1"/>
  <c r="AS153" i="17" s="1"/>
  <c r="AT153" i="17" s="1"/>
  <c r="AU153" i="17" s="1"/>
  <c r="AV153" i="17" s="1"/>
  <c r="AW153" i="17" s="1"/>
  <c r="AX153" i="17" s="1"/>
  <c r="AY153" i="17" s="1"/>
  <c r="AZ153" i="17" s="1"/>
  <c r="BA153" i="17" s="1"/>
  <c r="BB153" i="17" s="1"/>
  <c r="BC153" i="17" s="1"/>
  <c r="BD153" i="17" s="1"/>
  <c r="BE153" i="17" s="1"/>
  <c r="BF153" i="17" s="1"/>
  <c r="BG153" i="17" s="1"/>
  <c r="BH153" i="17" s="1"/>
  <c r="BI153" i="17" s="1"/>
  <c r="BJ153" i="17" s="1"/>
  <c r="BK153" i="17" s="1"/>
  <c r="BL153" i="17" s="1"/>
  <c r="BM153" i="17" s="1"/>
  <c r="BN153" i="17" s="1"/>
  <c r="BO153" i="17" s="1"/>
  <c r="BP153" i="17" s="1"/>
  <c r="BQ153" i="17" s="1"/>
  <c r="BR153" i="17" s="1"/>
  <c r="BS153" i="17" s="1"/>
  <c r="BT153" i="17" s="1"/>
  <c r="BU153" i="17" s="1"/>
  <c r="BV153" i="17" s="1"/>
  <c r="BW153" i="17" s="1"/>
  <c r="D155" i="17"/>
  <c r="D157" i="17" s="1"/>
  <c r="R16" i="17"/>
  <c r="R90" i="17"/>
  <c r="AA97" i="17"/>
  <c r="BY97" i="17" s="1"/>
  <c r="BZ9" i="17"/>
  <c r="AA96" i="17"/>
  <c r="CB9" i="17"/>
  <c r="CC9" i="17" s="1"/>
  <c r="AA136" i="17"/>
  <c r="D139" i="17"/>
  <c r="D141" i="17" s="1"/>
  <c r="AA105" i="17"/>
  <c r="O153" i="16"/>
  <c r="P153" i="16" s="1"/>
  <c r="Q153" i="16" s="1"/>
  <c r="R153" i="16" s="1"/>
  <c r="S153" i="16" s="1"/>
  <c r="T153" i="16" s="1"/>
  <c r="U153" i="16" s="1"/>
  <c r="V153" i="16" s="1"/>
  <c r="W153" i="16" s="1"/>
  <c r="X153" i="16" s="1"/>
  <c r="Y153" i="16" s="1"/>
  <c r="Z153" i="16" s="1"/>
  <c r="AA153" i="16" s="1"/>
  <c r="AB153" i="16" s="1"/>
  <c r="AC153" i="16" s="1"/>
  <c r="AD153" i="16" s="1"/>
  <c r="AE153" i="16" s="1"/>
  <c r="AF153" i="16" s="1"/>
  <c r="AG153" i="16" s="1"/>
  <c r="AH153" i="16" s="1"/>
  <c r="AI153" i="16" s="1"/>
  <c r="AJ153" i="16" s="1"/>
  <c r="AK153" i="16" s="1"/>
  <c r="AL153" i="16" s="1"/>
  <c r="AM153" i="16" s="1"/>
  <c r="AN153" i="16" s="1"/>
  <c r="AO153" i="16" s="1"/>
  <c r="AP153" i="16" s="1"/>
  <c r="AQ153" i="16" s="1"/>
  <c r="AR153" i="16" s="1"/>
  <c r="AS153" i="16" s="1"/>
  <c r="AT153" i="16" s="1"/>
  <c r="AU153" i="16" s="1"/>
  <c r="AV153" i="16" s="1"/>
  <c r="AW153" i="16" s="1"/>
  <c r="AX153" i="16" s="1"/>
  <c r="AY153" i="16" s="1"/>
  <c r="AZ153" i="16" s="1"/>
  <c r="BA153" i="16" s="1"/>
  <c r="BB153" i="16" s="1"/>
  <c r="BC153" i="16" s="1"/>
  <c r="BD153" i="16" s="1"/>
  <c r="BE153" i="16" s="1"/>
  <c r="BF153" i="16" s="1"/>
  <c r="BG153" i="16" s="1"/>
  <c r="BH153" i="16" s="1"/>
  <c r="BI153" i="16" s="1"/>
  <c r="BJ153" i="16" s="1"/>
  <c r="BK153" i="16" s="1"/>
  <c r="BL153" i="16" s="1"/>
  <c r="BM153" i="16" s="1"/>
  <c r="BN153" i="16" s="1"/>
  <c r="BO153" i="16" s="1"/>
  <c r="BP153" i="16" s="1"/>
  <c r="BQ153" i="16" s="1"/>
  <c r="BR153" i="16" s="1"/>
  <c r="BS153" i="16" s="1"/>
  <c r="BT153" i="16" s="1"/>
  <c r="BU153" i="16" s="1"/>
  <c r="BV153" i="16" s="1"/>
  <c r="BW153" i="16" s="1"/>
  <c r="D155" i="16"/>
  <c r="D157" i="16" s="1"/>
  <c r="R90" i="16"/>
  <c r="AA97" i="16"/>
  <c r="BY97" i="16" s="1"/>
  <c r="BZ9" i="16"/>
  <c r="AA96" i="16"/>
  <c r="CB9" i="16"/>
  <c r="CC9" i="16" s="1"/>
  <c r="D139" i="16"/>
  <c r="D141" i="16" s="1"/>
  <c r="AA105" i="16"/>
  <c r="O153" i="15"/>
  <c r="P153" i="15" s="1"/>
  <c r="Q153" i="15" s="1"/>
  <c r="R153" i="15" s="1"/>
  <c r="S153" i="15" s="1"/>
  <c r="T153" i="15" s="1"/>
  <c r="U153" i="15" s="1"/>
  <c r="V153" i="15" s="1"/>
  <c r="W153" i="15" s="1"/>
  <c r="X153" i="15" s="1"/>
  <c r="Y153" i="15" s="1"/>
  <c r="Z153" i="15" s="1"/>
  <c r="AA153" i="15" s="1"/>
  <c r="AB153" i="15" s="1"/>
  <c r="AC153" i="15" s="1"/>
  <c r="AD153" i="15" s="1"/>
  <c r="AE153" i="15" s="1"/>
  <c r="AF153" i="15" s="1"/>
  <c r="AG153" i="15" s="1"/>
  <c r="AH153" i="15" s="1"/>
  <c r="AI153" i="15" s="1"/>
  <c r="AJ153" i="15" s="1"/>
  <c r="AK153" i="15" s="1"/>
  <c r="AL153" i="15" s="1"/>
  <c r="AM153" i="15" s="1"/>
  <c r="AN153" i="15" s="1"/>
  <c r="AO153" i="15" s="1"/>
  <c r="AP153" i="15" s="1"/>
  <c r="AQ153" i="15" s="1"/>
  <c r="AR153" i="15" s="1"/>
  <c r="AS153" i="15" s="1"/>
  <c r="AT153" i="15" s="1"/>
  <c r="AU153" i="15" s="1"/>
  <c r="AV153" i="15" s="1"/>
  <c r="AW153" i="15" s="1"/>
  <c r="AX153" i="15" s="1"/>
  <c r="AY153" i="15" s="1"/>
  <c r="AZ153" i="15" s="1"/>
  <c r="BA153" i="15" s="1"/>
  <c r="BB153" i="15" s="1"/>
  <c r="BC153" i="15" s="1"/>
  <c r="BD153" i="15" s="1"/>
  <c r="BE153" i="15" s="1"/>
  <c r="BF153" i="15" s="1"/>
  <c r="BG153" i="15" s="1"/>
  <c r="BH153" i="15" s="1"/>
  <c r="BI153" i="15" s="1"/>
  <c r="BJ153" i="15" s="1"/>
  <c r="BK153" i="15" s="1"/>
  <c r="BL153" i="15" s="1"/>
  <c r="BM153" i="15" s="1"/>
  <c r="BN153" i="15" s="1"/>
  <c r="BO153" i="15" s="1"/>
  <c r="BP153" i="15" s="1"/>
  <c r="BQ153" i="15" s="1"/>
  <c r="BR153" i="15" s="1"/>
  <c r="BS153" i="15" s="1"/>
  <c r="BT153" i="15" s="1"/>
  <c r="BU153" i="15" s="1"/>
  <c r="BV153" i="15" s="1"/>
  <c r="BW153" i="15" s="1"/>
  <c r="D155" i="15"/>
  <c r="D157" i="15" s="1"/>
  <c r="R16" i="15"/>
  <c r="AA90" i="15"/>
  <c r="BY97" i="15"/>
  <c r="AA136" i="15"/>
  <c r="D139" i="15"/>
  <c r="D141" i="15" s="1"/>
  <c r="BZ91" i="15"/>
  <c r="BY98" i="15" s="1"/>
  <c r="AA119" i="15"/>
  <c r="AA105" i="15"/>
  <c r="O150" i="14"/>
  <c r="P150" i="14" s="1"/>
  <c r="Q150" i="14" s="1"/>
  <c r="R150" i="14" s="1"/>
  <c r="S150" i="14" s="1"/>
  <c r="T150" i="14" s="1"/>
  <c r="U150" i="14" s="1"/>
  <c r="V150" i="14" s="1"/>
  <c r="W150" i="14" s="1"/>
  <c r="X150" i="14" s="1"/>
  <c r="Y150" i="14" s="1"/>
  <c r="Z150" i="14" s="1"/>
  <c r="AA150" i="14" s="1"/>
  <c r="AB150" i="14" s="1"/>
  <c r="AC150" i="14" s="1"/>
  <c r="AD150" i="14" s="1"/>
  <c r="AE150" i="14" s="1"/>
  <c r="AF150" i="14" s="1"/>
  <c r="AG150" i="14" s="1"/>
  <c r="AH150" i="14" s="1"/>
  <c r="AI150" i="14" s="1"/>
  <c r="AJ150" i="14" s="1"/>
  <c r="AK150" i="14" s="1"/>
  <c r="AL150" i="14" s="1"/>
  <c r="AM150" i="14" s="1"/>
  <c r="AN150" i="14" s="1"/>
  <c r="AO150" i="14" s="1"/>
  <c r="AP150" i="14" s="1"/>
  <c r="AQ150" i="14" s="1"/>
  <c r="AR150" i="14" s="1"/>
  <c r="AS150" i="14" s="1"/>
  <c r="AT150" i="14" s="1"/>
  <c r="AU150" i="14" s="1"/>
  <c r="AV150" i="14" s="1"/>
  <c r="AW150" i="14" s="1"/>
  <c r="AX150" i="14" s="1"/>
  <c r="AY150" i="14" s="1"/>
  <c r="AZ150" i="14" s="1"/>
  <c r="BA150" i="14" s="1"/>
  <c r="BB150" i="14" s="1"/>
  <c r="BC150" i="14" s="1"/>
  <c r="BD150" i="14" s="1"/>
  <c r="BE150" i="14" s="1"/>
  <c r="BF150" i="14" s="1"/>
  <c r="BG150" i="14" s="1"/>
  <c r="BH150" i="14" s="1"/>
  <c r="BI150" i="14" s="1"/>
  <c r="BJ150" i="14" s="1"/>
  <c r="BK150" i="14" s="1"/>
  <c r="BL150" i="14" s="1"/>
  <c r="BM150" i="14" s="1"/>
  <c r="BN150" i="14" s="1"/>
  <c r="BO150" i="14" s="1"/>
  <c r="BP150" i="14" s="1"/>
  <c r="BQ150" i="14" s="1"/>
  <c r="BR150" i="14" s="1"/>
  <c r="BS150" i="14" s="1"/>
  <c r="BT150" i="14" s="1"/>
  <c r="BU150" i="14" s="1"/>
  <c r="BV150" i="14" s="1"/>
  <c r="BW150" i="14" s="1"/>
  <c r="D152" i="14"/>
  <c r="D154" i="14" s="1"/>
  <c r="T88" i="14"/>
  <c r="BY95" i="14"/>
  <c r="BZ89" i="14"/>
  <c r="BY96" i="14" s="1"/>
  <c r="V120" i="14"/>
  <c r="V121" i="14" s="1"/>
  <c r="T102" i="14"/>
  <c r="S12" i="13"/>
  <c r="T11" i="13"/>
  <c r="O148" i="12"/>
  <c r="P148" i="12" s="1"/>
  <c r="Q148" i="12" s="1"/>
  <c r="R148" i="12" s="1"/>
  <c r="S148" i="12" s="1"/>
  <c r="T148" i="12" s="1"/>
  <c r="U148" i="12" s="1"/>
  <c r="V148" i="12" s="1"/>
  <c r="W148" i="12" s="1"/>
  <c r="X148" i="12" s="1"/>
  <c r="Y148" i="12" s="1"/>
  <c r="Z148" i="12" s="1"/>
  <c r="AA148" i="12" s="1"/>
  <c r="AB148" i="12" s="1"/>
  <c r="AC148" i="12" s="1"/>
  <c r="AD148" i="12" s="1"/>
  <c r="AE148" i="12" s="1"/>
  <c r="AF148" i="12" s="1"/>
  <c r="AG148" i="12" s="1"/>
  <c r="AH148" i="12" s="1"/>
  <c r="AI148" i="12" s="1"/>
  <c r="AJ148" i="12" s="1"/>
  <c r="AK148" i="12" s="1"/>
  <c r="AL148" i="12" s="1"/>
  <c r="AM148" i="12" s="1"/>
  <c r="AN148" i="12" s="1"/>
  <c r="AO148" i="12" s="1"/>
  <c r="AP148" i="12" s="1"/>
  <c r="AQ148" i="12" s="1"/>
  <c r="AR148" i="12" s="1"/>
  <c r="AS148" i="12" s="1"/>
  <c r="AT148" i="12" s="1"/>
  <c r="AU148" i="12" s="1"/>
  <c r="AV148" i="12" s="1"/>
  <c r="AW148" i="12" s="1"/>
  <c r="AX148" i="12" s="1"/>
  <c r="AY148" i="12" s="1"/>
  <c r="AZ148" i="12" s="1"/>
  <c r="BA148" i="12" s="1"/>
  <c r="BB148" i="12" s="1"/>
  <c r="BC148" i="12" s="1"/>
  <c r="BD148" i="12" s="1"/>
  <c r="BE148" i="12" s="1"/>
  <c r="BF148" i="12" s="1"/>
  <c r="BG148" i="12" s="1"/>
  <c r="BH148" i="12" s="1"/>
  <c r="BI148" i="12" s="1"/>
  <c r="BJ148" i="12" s="1"/>
  <c r="BK148" i="12" s="1"/>
  <c r="BL148" i="12" s="1"/>
  <c r="BM148" i="12" s="1"/>
  <c r="BN148" i="12" s="1"/>
  <c r="BO148" i="12" s="1"/>
  <c r="BP148" i="12" s="1"/>
  <c r="BQ148" i="12" s="1"/>
  <c r="BR148" i="12" s="1"/>
  <c r="BS148" i="12" s="1"/>
  <c r="BT148" i="12" s="1"/>
  <c r="BU148" i="12" s="1"/>
  <c r="BV148" i="12" s="1"/>
  <c r="BW148" i="12" s="1"/>
  <c r="T88" i="12"/>
  <c r="BY95" i="12"/>
  <c r="BZ89" i="12"/>
  <c r="T118" i="12"/>
  <c r="T119" i="12" s="1"/>
  <c r="T102" i="12"/>
  <c r="C23" i="8"/>
  <c r="T33" i="23"/>
  <c r="T35" i="23" s="1"/>
  <c r="U35" i="23" s="1"/>
  <c r="V35" i="23" s="1"/>
  <c r="W35" i="23" s="1"/>
  <c r="X35" i="23" s="1"/>
  <c r="Y35" i="23" s="1"/>
  <c r="Z35" i="23" s="1"/>
  <c r="AA35" i="23" s="1"/>
  <c r="AB35" i="23" s="1"/>
  <c r="AC35" i="23" s="1"/>
  <c r="AD35" i="23" s="1"/>
  <c r="AE35" i="23" s="1"/>
  <c r="AF35" i="23" s="1"/>
  <c r="AG35" i="23" s="1"/>
  <c r="AH35" i="23" s="1"/>
  <c r="AI35" i="23" s="1"/>
  <c r="AJ35" i="23" s="1"/>
  <c r="AK35" i="23" s="1"/>
  <c r="AL35" i="23" s="1"/>
  <c r="AM35" i="23" s="1"/>
  <c r="AN35" i="23" s="1"/>
  <c r="AO35" i="23" s="1"/>
  <c r="AP35" i="23" s="1"/>
  <c r="AQ35" i="23" s="1"/>
  <c r="AR35" i="23" s="1"/>
  <c r="AS35" i="23" s="1"/>
  <c r="AT35" i="23" s="1"/>
  <c r="AU35" i="23" s="1"/>
  <c r="AV35" i="23" s="1"/>
  <c r="AW35" i="23" s="1"/>
  <c r="AX35" i="23" s="1"/>
  <c r="AY35" i="23" s="1"/>
  <c r="AZ35" i="23" s="1"/>
  <c r="BA35" i="23" s="1"/>
  <c r="BB35" i="23" s="1"/>
  <c r="BC35" i="23" s="1"/>
  <c r="BD35" i="23" s="1"/>
  <c r="BE35" i="23" s="1"/>
  <c r="BF35" i="23" s="1"/>
  <c r="BG35" i="23" s="1"/>
  <c r="BH35" i="23" s="1"/>
  <c r="BI35" i="23" s="1"/>
  <c r="BJ35" i="23" s="1"/>
  <c r="BK35" i="23" s="1"/>
  <c r="BL35" i="23" s="1"/>
  <c r="BM35" i="23" s="1"/>
  <c r="BN35" i="23" s="1"/>
  <c r="BO35" i="23" s="1"/>
  <c r="BP35" i="23" s="1"/>
  <c r="BQ35" i="23" s="1"/>
  <c r="BR35" i="23" s="1"/>
  <c r="BS35" i="23" s="1"/>
  <c r="BT35" i="23" s="1"/>
  <c r="BU35" i="23" s="1"/>
  <c r="BV35" i="23" s="1"/>
  <c r="BW35" i="23" s="1"/>
  <c r="BX35" i="23" s="1"/>
  <c r="BY35" i="23" s="1"/>
  <c r="BZ35" i="23" s="1"/>
  <c r="CA35" i="23" s="1"/>
  <c r="CK23" i="23"/>
  <c r="CL23" i="23" s="1"/>
  <c r="CC3" i="23"/>
  <c r="CC33" i="23" s="1"/>
  <c r="CB33" i="23"/>
  <c r="CK3" i="23"/>
  <c r="CL3" i="23" s="1"/>
  <c r="F73" i="11"/>
  <c r="C132" i="11"/>
  <c r="D125" i="11"/>
  <c r="D127" i="11" s="1"/>
  <c r="S12" i="8"/>
  <c r="T11" i="8"/>
  <c r="D12" i="8"/>
  <c r="E11" i="8"/>
  <c r="O158" i="7"/>
  <c r="P158" i="7" s="1"/>
  <c r="Q158" i="7" s="1"/>
  <c r="R158" i="7" s="1"/>
  <c r="S158" i="7" s="1"/>
  <c r="T158" i="7" s="1"/>
  <c r="U158" i="7" s="1"/>
  <c r="V158" i="7" s="1"/>
  <c r="W158" i="7" s="1"/>
  <c r="X158" i="7" s="1"/>
  <c r="Y158" i="7" s="1"/>
  <c r="Z158" i="7" s="1"/>
  <c r="D160" i="7"/>
  <c r="D162" i="7" s="1"/>
  <c r="BZ9" i="7"/>
  <c r="F19" i="9"/>
  <c r="W16" i="9"/>
  <c r="G25" i="9"/>
  <c r="G24" i="9" s="1"/>
  <c r="E24" i="9"/>
  <c r="AB110" i="7"/>
  <c r="O153" i="6"/>
  <c r="P153" i="6" s="1"/>
  <c r="Q153" i="6" s="1"/>
  <c r="R153" i="6" s="1"/>
  <c r="S153" i="6" s="1"/>
  <c r="T153" i="6" s="1"/>
  <c r="U153" i="6" s="1"/>
  <c r="V153" i="6" s="1"/>
  <c r="W153" i="6" s="1"/>
  <c r="X153" i="6" s="1"/>
  <c r="Y153" i="6" s="1"/>
  <c r="Z153" i="6" s="1"/>
  <c r="AA153" i="6" s="1"/>
  <c r="AB153" i="6" s="1"/>
  <c r="AC153" i="6" s="1"/>
  <c r="AD153" i="6" s="1"/>
  <c r="AE153" i="6" s="1"/>
  <c r="AF153" i="6" s="1"/>
  <c r="AG153" i="6" s="1"/>
  <c r="AH153" i="6" s="1"/>
  <c r="AI153" i="6" s="1"/>
  <c r="AJ153" i="6" s="1"/>
  <c r="AK153" i="6" s="1"/>
  <c r="AL153" i="6" s="1"/>
  <c r="AM153" i="6" s="1"/>
  <c r="AN153" i="6" s="1"/>
  <c r="AO153" i="6" s="1"/>
  <c r="AP153" i="6" s="1"/>
  <c r="AQ153" i="6" s="1"/>
  <c r="AR153" i="6" s="1"/>
  <c r="AS153" i="6" s="1"/>
  <c r="AT153" i="6" s="1"/>
  <c r="AU153" i="6" s="1"/>
  <c r="AV153" i="6" s="1"/>
  <c r="AW153" i="6" s="1"/>
  <c r="AX153" i="6" s="1"/>
  <c r="AY153" i="6" s="1"/>
  <c r="AZ153" i="6" s="1"/>
  <c r="BA153" i="6" s="1"/>
  <c r="BB153" i="6" s="1"/>
  <c r="BC153" i="6" s="1"/>
  <c r="BD153" i="6" s="1"/>
  <c r="BE153" i="6" s="1"/>
  <c r="BF153" i="6" s="1"/>
  <c r="BG153" i="6" s="1"/>
  <c r="BH153" i="6" s="1"/>
  <c r="BI153" i="6" s="1"/>
  <c r="BJ153" i="6" s="1"/>
  <c r="BK153" i="6" s="1"/>
  <c r="BL153" i="6" s="1"/>
  <c r="BM153" i="6" s="1"/>
  <c r="BN153" i="6" s="1"/>
  <c r="BO153" i="6" s="1"/>
  <c r="BP153" i="6" s="1"/>
  <c r="BQ153" i="6" s="1"/>
  <c r="BR153" i="6" s="1"/>
  <c r="BS153" i="6" s="1"/>
  <c r="BT153" i="6" s="1"/>
  <c r="BU153" i="6" s="1"/>
  <c r="BV153" i="6" s="1"/>
  <c r="BW153" i="6" s="1"/>
  <c r="D155" i="6"/>
  <c r="D157" i="6" s="1"/>
  <c r="BZ9" i="6"/>
  <c r="CA11" i="6"/>
  <c r="CA12" i="6" s="1"/>
  <c r="AF96" i="6"/>
  <c r="AF105" i="6"/>
  <c r="P96" i="12"/>
  <c r="J37" i="14"/>
  <c r="BY42" i="14"/>
  <c r="BY37" i="14" s="1"/>
  <c r="M14" i="14"/>
  <c r="M16" i="14" s="1"/>
  <c r="K96" i="14"/>
  <c r="K97" i="14" s="1"/>
  <c r="N14" i="14"/>
  <c r="N16" i="14" s="1"/>
  <c r="L96" i="14"/>
  <c r="O14" i="14"/>
  <c r="O16" i="14" s="1"/>
  <c r="M96" i="14"/>
  <c r="P14" i="14"/>
  <c r="P16" i="14" s="1"/>
  <c r="N96" i="14"/>
  <c r="Q14" i="14"/>
  <c r="O96" i="14"/>
  <c r="P96" i="14"/>
  <c r="R14" i="14"/>
  <c r="S14" i="14"/>
  <c r="R96" i="14"/>
  <c r="T14" i="14"/>
  <c r="J37" i="20"/>
  <c r="BY42" i="20"/>
  <c r="BY37" i="20" s="1"/>
  <c r="M14" i="20"/>
  <c r="M16" i="20" s="1"/>
  <c r="K98" i="20"/>
  <c r="K99" i="20" s="1"/>
  <c r="N14" i="20"/>
  <c r="N16" i="20" s="1"/>
  <c r="L98" i="20"/>
  <c r="O14" i="20"/>
  <c r="O16" i="20" s="1"/>
  <c r="M98" i="20"/>
  <c r="P14" i="20"/>
  <c r="P16" i="20" s="1"/>
  <c r="N98" i="20"/>
  <c r="Q14" i="20"/>
  <c r="O98" i="20"/>
  <c r="P98" i="20"/>
  <c r="R14" i="20"/>
  <c r="S14" i="20"/>
  <c r="R98" i="20"/>
  <c r="T14" i="20"/>
  <c r="K99" i="19"/>
  <c r="K100" i="19" s="1"/>
  <c r="L100" i="19" s="1"/>
  <c r="M16" i="19"/>
  <c r="M99" i="19" s="1"/>
  <c r="M100" i="19" s="1"/>
  <c r="N100" i="19" s="1"/>
  <c r="O100" i="19" s="1"/>
  <c r="P100" i="19" s="1"/>
  <c r="Y38" i="26"/>
  <c r="Y37" i="26" s="1"/>
  <c r="AA14" i="26" s="1"/>
  <c r="X38" i="26"/>
  <c r="X37" i="26" s="1"/>
  <c r="Z14" i="26" s="1"/>
  <c r="Z16" i="26" s="1"/>
  <c r="W38" i="26"/>
  <c r="W37" i="26" s="1"/>
  <c r="Y14" i="26" s="1"/>
  <c r="Y16" i="26" s="1"/>
  <c r="V38" i="26"/>
  <c r="V37" i="26" s="1"/>
  <c r="X14" i="26" s="1"/>
  <c r="X16" i="26" s="1"/>
  <c r="U38" i="26"/>
  <c r="U37" i="26" s="1"/>
  <c r="W14" i="26" s="1"/>
  <c r="W16" i="26" s="1"/>
  <c r="T38" i="26"/>
  <c r="T37" i="26" s="1"/>
  <c r="V14" i="26" s="1"/>
  <c r="V16" i="26" s="1"/>
  <c r="S38" i="26"/>
  <c r="S37" i="26" s="1"/>
  <c r="R38" i="26"/>
  <c r="Z38" i="17"/>
  <c r="Z37" i="17" s="1"/>
  <c r="Y38" i="17"/>
  <c r="Y37" i="17" s="1"/>
  <c r="AA14" i="17" s="1"/>
  <c r="X38" i="17"/>
  <c r="X37" i="17" s="1"/>
  <c r="Z14" i="17" s="1"/>
  <c r="Z16" i="17" s="1"/>
  <c r="W38" i="17"/>
  <c r="W37" i="17" s="1"/>
  <c r="Y14" i="17" s="1"/>
  <c r="Y16" i="17" s="1"/>
  <c r="V38" i="17"/>
  <c r="V37" i="17" s="1"/>
  <c r="X14" i="17" s="1"/>
  <c r="X16" i="17" s="1"/>
  <c r="U38" i="17"/>
  <c r="U37" i="17" s="1"/>
  <c r="W14" i="17" s="1"/>
  <c r="W16" i="17" s="1"/>
  <c r="T38" i="17"/>
  <c r="T37" i="17" s="1"/>
  <c r="V14" i="17" s="1"/>
  <c r="V16" i="17" s="1"/>
  <c r="S38" i="17"/>
  <c r="S37" i="17" s="1"/>
  <c r="U14" i="17" s="1"/>
  <c r="U16" i="17" s="1"/>
  <c r="R38" i="17"/>
  <c r="R37" i="17" s="1"/>
  <c r="Q38" i="17"/>
  <c r="Z38" i="16"/>
  <c r="Z37" i="16" s="1"/>
  <c r="Y38" i="16"/>
  <c r="Y37" i="16" s="1"/>
  <c r="X38" i="16"/>
  <c r="X37" i="16" s="1"/>
  <c r="W38" i="16"/>
  <c r="W37" i="16" s="1"/>
  <c r="V38" i="16"/>
  <c r="V37" i="16" s="1"/>
  <c r="U38" i="16"/>
  <c r="U37" i="16" s="1"/>
  <c r="T38" i="16"/>
  <c r="T37" i="16" s="1"/>
  <c r="S38" i="16"/>
  <c r="S37" i="16" s="1"/>
  <c r="R38" i="16"/>
  <c r="R37" i="16" s="1"/>
  <c r="R98" i="16" s="1"/>
  <c r="Q38" i="16"/>
  <c r="Z38" i="15"/>
  <c r="Z37" i="15" s="1"/>
  <c r="Y38" i="15"/>
  <c r="Y37" i="15" s="1"/>
  <c r="AA14" i="15" s="1"/>
  <c r="X38" i="15"/>
  <c r="X37" i="15" s="1"/>
  <c r="Z14" i="15" s="1"/>
  <c r="Z16" i="15" s="1"/>
  <c r="W38" i="15"/>
  <c r="W37" i="15" s="1"/>
  <c r="Y14" i="15" s="1"/>
  <c r="Y16" i="15" s="1"/>
  <c r="V38" i="15"/>
  <c r="V37" i="15" s="1"/>
  <c r="X14" i="15" s="1"/>
  <c r="X16" i="15" s="1"/>
  <c r="U38" i="15"/>
  <c r="U37" i="15" s="1"/>
  <c r="W14" i="15" s="1"/>
  <c r="W16" i="15" s="1"/>
  <c r="T38" i="15"/>
  <c r="T37" i="15" s="1"/>
  <c r="V14" i="15" s="1"/>
  <c r="V16" i="15" s="1"/>
  <c r="S38" i="15"/>
  <c r="S37" i="15" s="1"/>
  <c r="U14" i="15" s="1"/>
  <c r="U16" i="15" s="1"/>
  <c r="R38" i="15"/>
  <c r="R37" i="15" s="1"/>
  <c r="Q38" i="15"/>
  <c r="Y38" i="6"/>
  <c r="Y37" i="6" s="1"/>
  <c r="X38" i="6"/>
  <c r="X37" i="6" s="1"/>
  <c r="W38" i="6"/>
  <c r="W37" i="6" s="1"/>
  <c r="V38" i="6"/>
  <c r="V37" i="6" s="1"/>
  <c r="U38" i="6"/>
  <c r="U37" i="6" s="1"/>
  <c r="T38" i="6"/>
  <c r="T37" i="6" s="1"/>
  <c r="T98" i="6" s="1"/>
  <c r="S38" i="6"/>
  <c r="S37" i="6" s="1"/>
  <c r="S98" i="6" s="1"/>
  <c r="R38" i="6"/>
  <c r="C93" i="5"/>
  <c r="C131" i="5" s="1"/>
  <c r="BY35" i="6"/>
  <c r="BY34" i="6" s="1"/>
  <c r="U34" i="6"/>
  <c r="U98" i="6" s="1"/>
  <c r="V98" i="6"/>
  <c r="W98" i="6"/>
  <c r="X98" i="6"/>
  <c r="Y98" i="6"/>
  <c r="BY35" i="15"/>
  <c r="BY34" i="15" s="1"/>
  <c r="S34" i="15"/>
  <c r="S98" i="15" s="1"/>
  <c r="T98" i="15"/>
  <c r="U98" i="15"/>
  <c r="V98" i="15"/>
  <c r="W98" i="15"/>
  <c r="X98" i="15"/>
  <c r="Y98" i="15"/>
  <c r="Z98" i="15"/>
  <c r="BY35" i="16"/>
  <c r="BY34" i="16" s="1"/>
  <c r="S34" i="16"/>
  <c r="S98" i="16" s="1"/>
  <c r="T98" i="16"/>
  <c r="U98" i="16"/>
  <c r="V98" i="16"/>
  <c r="W98" i="16"/>
  <c r="X98" i="16"/>
  <c r="Y98" i="16"/>
  <c r="Z98" i="16"/>
  <c r="BY35" i="17"/>
  <c r="BY34" i="17" s="1"/>
  <c r="S34" i="17"/>
  <c r="S98" i="17" s="1"/>
  <c r="T98" i="17"/>
  <c r="U98" i="17"/>
  <c r="V98" i="17"/>
  <c r="W98" i="17"/>
  <c r="X98" i="17"/>
  <c r="Y98" i="17"/>
  <c r="Z98" i="17"/>
  <c r="BY35" i="26"/>
  <c r="BY34" i="26" s="1"/>
  <c r="T34" i="26"/>
  <c r="T98" i="26" s="1"/>
  <c r="U98" i="26"/>
  <c r="V98" i="26"/>
  <c r="W98" i="26"/>
  <c r="X98" i="26"/>
  <c r="Y98" i="26"/>
  <c r="F73" i="5"/>
  <c r="D124" i="5"/>
  <c r="D126" i="5" s="1"/>
  <c r="BY40" i="12"/>
  <c r="J37" i="12"/>
  <c r="K37" i="12"/>
  <c r="L37" i="12"/>
  <c r="M37" i="12"/>
  <c r="N37" i="12"/>
  <c r="BY80" i="12"/>
  <c r="BY61" i="12" s="1"/>
  <c r="Q61" i="12"/>
  <c r="Q96" i="12" s="1"/>
  <c r="BY80" i="14"/>
  <c r="BY61" i="14" s="1"/>
  <c r="Q61" i="14"/>
  <c r="Q96" i="14" s="1"/>
  <c r="BY82" i="15"/>
  <c r="BY63" i="15" s="1"/>
  <c r="Q63" i="15"/>
  <c r="AA98" i="15"/>
  <c r="BY82" i="16"/>
  <c r="Q63" i="16"/>
  <c r="BY82" i="17"/>
  <c r="Q63" i="17"/>
  <c r="BY82" i="19"/>
  <c r="BY63" i="19" s="1"/>
  <c r="Q63" i="19"/>
  <c r="R98" i="19"/>
  <c r="T14" i="19"/>
  <c r="S98" i="19"/>
  <c r="U14" i="19"/>
  <c r="T98" i="19"/>
  <c r="V14" i="19"/>
  <c r="U98" i="19"/>
  <c r="W14" i="19"/>
  <c r="V98" i="19"/>
  <c r="X14" i="19"/>
  <c r="W98" i="19"/>
  <c r="Y14" i="19"/>
  <c r="X98" i="19"/>
  <c r="Z14" i="19"/>
  <c r="Y98" i="19"/>
  <c r="AA14" i="19"/>
  <c r="Z98" i="19"/>
  <c r="AB14" i="19"/>
  <c r="AA98" i="19"/>
  <c r="AC14" i="19"/>
  <c r="BY82" i="20"/>
  <c r="BY63" i="20" s="1"/>
  <c r="Q63" i="20"/>
  <c r="Q98" i="20" s="1"/>
  <c r="BY82" i="26"/>
  <c r="R63" i="26"/>
  <c r="P28" i="1"/>
  <c r="P30" i="1" s="1"/>
  <c r="Q27" i="1"/>
  <c r="Q28" i="1" s="1"/>
  <c r="Q30" i="1" s="1"/>
  <c r="O34" i="1"/>
  <c r="O35" i="1" s="1"/>
  <c r="O32" i="1"/>
  <c r="O38" i="1" s="1"/>
  <c r="Z98" i="6"/>
  <c r="BY48" i="7"/>
  <c r="BY37" i="7" s="1"/>
  <c r="Z37" i="7"/>
  <c r="Z98" i="26"/>
  <c r="R29" i="11"/>
  <c r="J24" i="11"/>
  <c r="R19" i="11"/>
  <c r="R21" i="11" s="1"/>
  <c r="O46" i="12"/>
  <c r="O37" i="12" s="1"/>
  <c r="O96" i="12" s="1"/>
  <c r="I46" i="12"/>
  <c r="R29" i="5"/>
  <c r="R19" i="5"/>
  <c r="R21" i="5" s="1"/>
  <c r="E16" i="1"/>
  <c r="Q122" i="26"/>
  <c r="AA12" i="26"/>
  <c r="CH6" i="26"/>
  <c r="CF6" i="26"/>
  <c r="T12" i="20"/>
  <c r="S12" i="20"/>
  <c r="S16" i="20" s="1"/>
  <c r="S99" i="20" s="1"/>
  <c r="R12" i="20"/>
  <c r="R16" i="20" s="1"/>
  <c r="R99" i="20" s="1"/>
  <c r="Q12" i="20"/>
  <c r="AC12" i="19"/>
  <c r="AB12" i="19"/>
  <c r="AB16" i="19" s="1"/>
  <c r="AB99" i="19" s="1"/>
  <c r="AA12" i="19"/>
  <c r="AA16" i="19" s="1"/>
  <c r="AA99" i="19" s="1"/>
  <c r="Z12" i="19"/>
  <c r="Z16" i="19" s="1"/>
  <c r="Z99" i="19" s="1"/>
  <c r="Y12" i="19"/>
  <c r="Y16" i="19" s="1"/>
  <c r="Y99" i="19" s="1"/>
  <c r="X12" i="19"/>
  <c r="X16" i="19" s="1"/>
  <c r="X99" i="19" s="1"/>
  <c r="W12" i="19"/>
  <c r="W16" i="19" s="1"/>
  <c r="W99" i="19" s="1"/>
  <c r="V12" i="19"/>
  <c r="V16" i="19" s="1"/>
  <c r="V99" i="19" s="1"/>
  <c r="U12" i="19"/>
  <c r="U16" i="19" s="1"/>
  <c r="U99" i="19" s="1"/>
  <c r="T12" i="19"/>
  <c r="T16" i="19" s="1"/>
  <c r="T99" i="19" s="1"/>
  <c r="S12" i="19"/>
  <c r="R12" i="19"/>
  <c r="R16" i="19" s="1"/>
  <c r="R99" i="19" s="1"/>
  <c r="Q12" i="19"/>
  <c r="Q122" i="17"/>
  <c r="AA12" i="17"/>
  <c r="CF6" i="17"/>
  <c r="Q122" i="16"/>
  <c r="AA12" i="16"/>
  <c r="Z12" i="16"/>
  <c r="Y12" i="16"/>
  <c r="X12" i="16"/>
  <c r="W12" i="16"/>
  <c r="V12" i="16"/>
  <c r="U12" i="16"/>
  <c r="T12" i="16"/>
  <c r="S12" i="16"/>
  <c r="R12" i="16"/>
  <c r="Q12" i="16"/>
  <c r="CF6" i="16"/>
  <c r="Q122" i="15"/>
  <c r="AA12" i="15"/>
  <c r="T12" i="14"/>
  <c r="S12" i="14"/>
  <c r="S16" i="14" s="1"/>
  <c r="S97" i="14" s="1"/>
  <c r="R12" i="14"/>
  <c r="R16" i="14" s="1"/>
  <c r="R97" i="14" s="1"/>
  <c r="Q12" i="14"/>
  <c r="T12" i="12"/>
  <c r="S12" i="12"/>
  <c r="R12" i="12"/>
  <c r="Q12" i="12"/>
  <c r="AA16" i="7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G19" i="9" l="1"/>
  <c r="AG14" i="7"/>
  <c r="AG16" i="7" s="1"/>
  <c r="E5" i="9"/>
  <c r="AB13" i="28"/>
  <c r="BY13" i="28" s="1"/>
  <c r="AB87" i="28"/>
  <c r="P34" i="1"/>
  <c r="P32" i="1"/>
  <c r="D150" i="12"/>
  <c r="D152" i="12" s="1"/>
  <c r="D154" i="12" s="1"/>
  <c r="BY87" i="28"/>
  <c r="BY64" i="28" s="1"/>
  <c r="AB64" i="28"/>
  <c r="AB14" i="28" s="1"/>
  <c r="Z101" i="28"/>
  <c r="Z100" i="28"/>
  <c r="AA100" i="28" s="1"/>
  <c r="X14" i="28"/>
  <c r="V17" i="28"/>
  <c r="V101" i="28" s="1"/>
  <c r="V102" i="28" s="1"/>
  <c r="W102" i="28" s="1"/>
  <c r="AB17" i="28"/>
  <c r="AB91" i="28"/>
  <c r="BY97" i="28"/>
  <c r="BZ92" i="28" s="1"/>
  <c r="BY99" i="28" s="1"/>
  <c r="T143" i="28"/>
  <c r="U143" i="28" s="1"/>
  <c r="V143" i="28" s="1"/>
  <c r="W143" i="28" s="1"/>
  <c r="X143" i="28" s="1"/>
  <c r="Y143" i="28" s="1"/>
  <c r="Z143" i="28" s="1"/>
  <c r="S16" i="6"/>
  <c r="S100" i="6" s="1"/>
  <c r="U14" i="6"/>
  <c r="BY12" i="6"/>
  <c r="V14" i="6"/>
  <c r="W14" i="6"/>
  <c r="U16" i="6"/>
  <c r="U100" i="6" s="1"/>
  <c r="X14" i="6"/>
  <c r="V16" i="6"/>
  <c r="V100" i="6" s="1"/>
  <c r="Y14" i="6"/>
  <c r="W16" i="6"/>
  <c r="W100" i="6" s="1"/>
  <c r="Z14" i="6"/>
  <c r="X16" i="6"/>
  <c r="X100" i="6" s="1"/>
  <c r="AA14" i="6"/>
  <c r="Y16" i="6"/>
  <c r="Y100" i="6" s="1"/>
  <c r="Z16" i="6"/>
  <c r="Z100" i="6" s="1"/>
  <c r="AB14" i="6"/>
  <c r="AA16" i="6"/>
  <c r="AA100" i="6" s="1"/>
  <c r="AC14" i="6"/>
  <c r="AB16" i="6"/>
  <c r="AB100" i="6" s="1"/>
  <c r="AD14" i="6"/>
  <c r="AC16" i="6"/>
  <c r="AC100" i="6" s="1"/>
  <c r="AE14" i="6"/>
  <c r="AD16" i="6"/>
  <c r="AD100" i="6" s="1"/>
  <c r="AF14" i="6"/>
  <c r="AE16" i="6"/>
  <c r="AE100" i="6" s="1"/>
  <c r="U16" i="7"/>
  <c r="U100" i="7" s="1"/>
  <c r="U101" i="7" s="1"/>
  <c r="BY12" i="7"/>
  <c r="V16" i="7"/>
  <c r="G7" i="9"/>
  <c r="BY12" i="12"/>
  <c r="Q16" i="14"/>
  <c r="Q97" i="14" s="1"/>
  <c r="BY12" i="14"/>
  <c r="BY12" i="15"/>
  <c r="BY12" i="16"/>
  <c r="Q16" i="16"/>
  <c r="R16" i="16"/>
  <c r="R100" i="16" s="1"/>
  <c r="T14" i="16"/>
  <c r="U14" i="16"/>
  <c r="T16" i="16"/>
  <c r="T100" i="16" s="1"/>
  <c r="V14" i="16"/>
  <c r="W14" i="16"/>
  <c r="U16" i="16"/>
  <c r="U100" i="16" s="1"/>
  <c r="X14" i="16"/>
  <c r="V16" i="16"/>
  <c r="V100" i="16" s="1"/>
  <c r="Y14" i="16"/>
  <c r="W16" i="16"/>
  <c r="W100" i="16" s="1"/>
  <c r="Z14" i="16"/>
  <c r="X16" i="16"/>
  <c r="X100" i="16" s="1"/>
  <c r="AA14" i="16"/>
  <c r="Y16" i="16"/>
  <c r="Y100" i="16" s="1"/>
  <c r="Z16" i="16"/>
  <c r="Z100" i="16" s="1"/>
  <c r="BY12" i="17"/>
  <c r="Q16" i="19"/>
  <c r="BY12" i="19"/>
  <c r="Q16" i="20"/>
  <c r="Q99" i="20" s="1"/>
  <c r="BY12" i="20"/>
  <c r="BY12" i="26"/>
  <c r="R23" i="5"/>
  <c r="R22" i="5"/>
  <c r="BY46" i="12"/>
  <c r="I37" i="12"/>
  <c r="R23" i="11"/>
  <c r="R22" i="11"/>
  <c r="J25" i="11"/>
  <c r="N21" i="11"/>
  <c r="P35" i="1"/>
  <c r="P38" i="1"/>
  <c r="Q98" i="19"/>
  <c r="S14" i="19"/>
  <c r="N96" i="12"/>
  <c r="T14" i="12"/>
  <c r="Q14" i="12"/>
  <c r="Q16" i="12" s="1"/>
  <c r="Q97" i="12" s="1"/>
  <c r="P14" i="12"/>
  <c r="P16" i="12" s="1"/>
  <c r="P97" i="12" s="1"/>
  <c r="O14" i="12"/>
  <c r="O16" i="12" s="1"/>
  <c r="O97" i="12" s="1"/>
  <c r="M96" i="12"/>
  <c r="S14" i="12"/>
  <c r="S16" i="12" s="1"/>
  <c r="S97" i="12" s="1"/>
  <c r="R14" i="12"/>
  <c r="R16" i="12" s="1"/>
  <c r="R97" i="12" s="1"/>
  <c r="N14" i="12"/>
  <c r="N16" i="12" s="1"/>
  <c r="N97" i="12" s="1"/>
  <c r="L96" i="12"/>
  <c r="M14" i="12"/>
  <c r="M16" i="12" s="1"/>
  <c r="K96" i="12"/>
  <c r="L14" i="12"/>
  <c r="L16" i="12" s="1"/>
  <c r="J96" i="12"/>
  <c r="J97" i="12" s="1"/>
  <c r="BY37" i="12"/>
  <c r="C133" i="5"/>
  <c r="D128" i="5"/>
  <c r="D127" i="5"/>
  <c r="R37" i="6"/>
  <c r="BY38" i="6"/>
  <c r="BY37" i="6" s="1"/>
  <c r="Q37" i="15"/>
  <c r="BY38" i="15"/>
  <c r="BY37" i="15" s="1"/>
  <c r="BZ17" i="15" s="1"/>
  <c r="BY90" i="15" s="1"/>
  <c r="T14" i="15"/>
  <c r="T16" i="15" s="1"/>
  <c r="T100" i="15" s="1"/>
  <c r="R98" i="15"/>
  <c r="U100" i="15"/>
  <c r="V100" i="15"/>
  <c r="W100" i="15"/>
  <c r="X100" i="15"/>
  <c r="Y100" i="15"/>
  <c r="Z100" i="15"/>
  <c r="Q37" i="16"/>
  <c r="BY38" i="16"/>
  <c r="BY37" i="16" s="1"/>
  <c r="Q37" i="17"/>
  <c r="BY38" i="17"/>
  <c r="BY37" i="17" s="1"/>
  <c r="T14" i="17"/>
  <c r="T16" i="17" s="1"/>
  <c r="T100" i="17" s="1"/>
  <c r="R98" i="17"/>
  <c r="U100" i="17"/>
  <c r="V100" i="17"/>
  <c r="W100" i="17"/>
  <c r="X100" i="17"/>
  <c r="Y100" i="17"/>
  <c r="Z100" i="17"/>
  <c r="R37" i="26"/>
  <c r="BY38" i="26"/>
  <c r="BY37" i="26" s="1"/>
  <c r="U14" i="26"/>
  <c r="U16" i="26" s="1"/>
  <c r="U100" i="26" s="1"/>
  <c r="S98" i="26"/>
  <c r="S100" i="26" s="1"/>
  <c r="V100" i="26"/>
  <c r="W100" i="26"/>
  <c r="X100" i="26"/>
  <c r="Y100" i="26"/>
  <c r="Z100" i="26"/>
  <c r="P99" i="20"/>
  <c r="O99" i="20"/>
  <c r="N99" i="20"/>
  <c r="M99" i="20"/>
  <c r="L14" i="20"/>
  <c r="J98" i="20"/>
  <c r="J99" i="20" s="1"/>
  <c r="J100" i="20" s="1"/>
  <c r="K100" i="20" s="1"/>
  <c r="P97" i="14"/>
  <c r="O97" i="14"/>
  <c r="N97" i="14"/>
  <c r="M97" i="14"/>
  <c r="L14" i="14"/>
  <c r="J96" i="14"/>
  <c r="J97" i="14" s="1"/>
  <c r="J98" i="14" s="1"/>
  <c r="K98" i="14" s="1"/>
  <c r="AF90" i="6"/>
  <c r="BY96" i="6"/>
  <c r="BZ91" i="6" s="1"/>
  <c r="BY98" i="6" s="1"/>
  <c r="AB90" i="7"/>
  <c r="BY96" i="7"/>
  <c r="D13" i="8"/>
  <c r="E12" i="8"/>
  <c r="S13" i="8"/>
  <c r="T12" i="8"/>
  <c r="C134" i="11"/>
  <c r="D129" i="11"/>
  <c r="D128" i="11"/>
  <c r="CB35" i="23"/>
  <c r="CC35" i="23" s="1"/>
  <c r="CD35" i="23" s="1"/>
  <c r="CE35" i="23" s="1"/>
  <c r="CF35" i="23" s="1"/>
  <c r="CG35" i="23" s="1"/>
  <c r="CH35" i="23" s="1"/>
  <c r="CI35" i="23" s="1"/>
  <c r="CJ35" i="23" s="1"/>
  <c r="BY96" i="12"/>
  <c r="BY88" i="12"/>
  <c r="S13" i="13"/>
  <c r="T12" i="13"/>
  <c r="R100" i="15"/>
  <c r="BY96" i="16"/>
  <c r="BZ91" i="16" s="1"/>
  <c r="BY98" i="16" s="1"/>
  <c r="AA90" i="16"/>
  <c r="BY96" i="17"/>
  <c r="BZ91" i="17" s="1"/>
  <c r="BY98" i="17" s="1"/>
  <c r="AA90" i="17"/>
  <c r="R100" i="17"/>
  <c r="S13" i="18"/>
  <c r="T12" i="18"/>
  <c r="S13" i="21"/>
  <c r="T12" i="21"/>
  <c r="I13" i="22"/>
  <c r="J12" i="22"/>
  <c r="N13" i="22"/>
  <c r="O12" i="22"/>
  <c r="S13" i="22"/>
  <c r="T12" i="22"/>
  <c r="BY96" i="26"/>
  <c r="BZ91" i="26" s="1"/>
  <c r="BY98" i="26" s="1"/>
  <c r="AA90" i="26"/>
  <c r="R30" i="27"/>
  <c r="Q61" i="27"/>
  <c r="Q60" i="27"/>
  <c r="Q59" i="27"/>
  <c r="Q58" i="27"/>
  <c r="F41" i="27"/>
  <c r="F40" i="27"/>
  <c r="C44" i="27" s="1"/>
  <c r="AF16" i="7" l="1"/>
  <c r="AF100" i="7" s="1"/>
  <c r="AE16" i="7"/>
  <c r="E10" i="9"/>
  <c r="V100" i="7"/>
  <c r="M97" i="12"/>
  <c r="X17" i="28"/>
  <c r="X101" i="28" s="1"/>
  <c r="X102" i="28" s="1"/>
  <c r="Y102" i="28" s="1"/>
  <c r="BY14" i="28"/>
  <c r="BZ12" i="28" s="1"/>
  <c r="BY17" i="28" s="1"/>
  <c r="Z102" i="28"/>
  <c r="AA102" i="28" s="1"/>
  <c r="AA104" i="28" s="1"/>
  <c r="Q32" i="1"/>
  <c r="Q34" i="1"/>
  <c r="Q35" i="1" s="1"/>
  <c r="L97" i="12"/>
  <c r="C47" i="27"/>
  <c r="F45" i="27"/>
  <c r="R52" i="27"/>
  <c r="Q52" i="27"/>
  <c r="Q51" i="27"/>
  <c r="Q50" i="27"/>
  <c r="Q49" i="27"/>
  <c r="R23" i="27"/>
  <c r="S14" i="22"/>
  <c r="T13" i="22"/>
  <c r="N14" i="22"/>
  <c r="O13" i="22"/>
  <c r="I14" i="22"/>
  <c r="J13" i="22"/>
  <c r="S14" i="21"/>
  <c r="T13" i="21"/>
  <c r="S14" i="18"/>
  <c r="T13" i="18"/>
  <c r="S14" i="13"/>
  <c r="T13" i="13"/>
  <c r="S14" i="8"/>
  <c r="T13" i="8"/>
  <c r="D14" i="8"/>
  <c r="E13" i="8"/>
  <c r="H15" i="10"/>
  <c r="BZ91" i="7"/>
  <c r="BY98" i="7" s="1"/>
  <c r="G16" i="9"/>
  <c r="G15" i="9" s="1"/>
  <c r="F15" i="9"/>
  <c r="L16" i="14"/>
  <c r="L97" i="14" s="1"/>
  <c r="L98" i="14" s="1"/>
  <c r="BY14" i="14"/>
  <c r="CB14" i="14" s="1"/>
  <c r="M98" i="14"/>
  <c r="N98" i="14"/>
  <c r="O98" i="14"/>
  <c r="P98" i="14"/>
  <c r="L16" i="20"/>
  <c r="L99" i="20" s="1"/>
  <c r="L100" i="20" s="1"/>
  <c r="BY14" i="20"/>
  <c r="CB14" i="20" s="1"/>
  <c r="M100" i="20"/>
  <c r="N100" i="20"/>
  <c r="O100" i="20"/>
  <c r="P100" i="20"/>
  <c r="T14" i="26"/>
  <c r="R98" i="26"/>
  <c r="R100" i="26" s="1"/>
  <c r="R101" i="26" s="1"/>
  <c r="S101" i="26" s="1"/>
  <c r="S14" i="17"/>
  <c r="Q98" i="17"/>
  <c r="Q100" i="17" s="1"/>
  <c r="Q101" i="17" s="1"/>
  <c r="R101" i="17" s="1"/>
  <c r="Q98" i="16"/>
  <c r="S14" i="16"/>
  <c r="S14" i="15"/>
  <c r="Q98" i="15"/>
  <c r="Q100" i="15" s="1"/>
  <c r="Q101" i="15" s="1"/>
  <c r="R101" i="15" s="1"/>
  <c r="T14" i="6"/>
  <c r="R98" i="6"/>
  <c r="BY14" i="19"/>
  <c r="CB14" i="19" s="1"/>
  <c r="S16" i="19"/>
  <c r="S99" i="19" s="1"/>
  <c r="R53" i="11"/>
  <c r="Q53" i="11" s="1"/>
  <c r="Q52" i="11"/>
  <c r="Q51" i="11"/>
  <c r="Q50" i="11"/>
  <c r="Q49" i="11"/>
  <c r="R72" i="11"/>
  <c r="Q72" i="11"/>
  <c r="Q71" i="11"/>
  <c r="Q70" i="11"/>
  <c r="Q69" i="11"/>
  <c r="Q68" i="11"/>
  <c r="R62" i="11"/>
  <c r="Q62" i="11"/>
  <c r="Q61" i="11"/>
  <c r="Q60" i="11"/>
  <c r="Q59" i="11"/>
  <c r="R31" i="11"/>
  <c r="R32" i="11" s="1"/>
  <c r="R33" i="11" s="1"/>
  <c r="M30" i="11"/>
  <c r="K14" i="12"/>
  <c r="I96" i="12"/>
  <c r="I97" i="12" s="1"/>
  <c r="I98" i="12" s="1"/>
  <c r="J98" i="12" s="1"/>
  <c r="AA86" i="26"/>
  <c r="AA86" i="17"/>
  <c r="AA86" i="16"/>
  <c r="AF86" i="6"/>
  <c r="R53" i="5"/>
  <c r="Q53" i="5" s="1"/>
  <c r="Q52" i="5"/>
  <c r="Q51" i="5"/>
  <c r="Q50" i="5"/>
  <c r="Q49" i="5"/>
  <c r="AA13" i="26"/>
  <c r="T13" i="20"/>
  <c r="AC13" i="19"/>
  <c r="AA13" i="17"/>
  <c r="AA13" i="16"/>
  <c r="AA13" i="15"/>
  <c r="T13" i="14"/>
  <c r="T13" i="12"/>
  <c r="AF13" i="6"/>
  <c r="R72" i="5"/>
  <c r="Q72" i="5"/>
  <c r="Q71" i="5"/>
  <c r="Q70" i="5"/>
  <c r="Q69" i="5"/>
  <c r="Q68" i="5"/>
  <c r="R62" i="5"/>
  <c r="Q62" i="5" s="1"/>
  <c r="Q61" i="5"/>
  <c r="Q60" i="5"/>
  <c r="Q59" i="5"/>
  <c r="R31" i="5"/>
  <c r="R32" i="5" s="1"/>
  <c r="R33" i="5" s="1"/>
  <c r="Q100" i="20"/>
  <c r="R100" i="20" s="1"/>
  <c r="S100" i="20" s="1"/>
  <c r="Q99" i="19"/>
  <c r="Q100" i="19" s="1"/>
  <c r="R100" i="19" s="1"/>
  <c r="Q100" i="16"/>
  <c r="Q101" i="16" s="1"/>
  <c r="R101" i="16" s="1"/>
  <c r="Q98" i="14"/>
  <c r="R98" i="14" s="1"/>
  <c r="S98" i="14" s="1"/>
  <c r="X16" i="7"/>
  <c r="X100" i="7" s="1"/>
  <c r="X101" i="7" s="1"/>
  <c r="Q38" i="1" l="1"/>
  <c r="S39" i="1"/>
  <c r="S40" i="1" s="1"/>
  <c r="Y101" i="7"/>
  <c r="BY13" i="6"/>
  <c r="AF16" i="6"/>
  <c r="BY13" i="7"/>
  <c r="BY13" i="12"/>
  <c r="T16" i="12"/>
  <c r="BY13" i="14"/>
  <c r="T16" i="14"/>
  <c r="BY13" i="15"/>
  <c r="AA16" i="15"/>
  <c r="AA100" i="15" s="1"/>
  <c r="BY13" i="16"/>
  <c r="AA16" i="16"/>
  <c r="BY13" i="17"/>
  <c r="AA16" i="17"/>
  <c r="BY13" i="19"/>
  <c r="AC16" i="19"/>
  <c r="BY13" i="20"/>
  <c r="T16" i="20"/>
  <c r="BY13" i="26"/>
  <c r="AA16" i="26"/>
  <c r="BY86" i="6"/>
  <c r="BY63" i="6" s="1"/>
  <c r="AF63" i="6"/>
  <c r="BY86" i="7"/>
  <c r="BY63" i="7" s="1"/>
  <c r="AB63" i="7"/>
  <c r="BY86" i="16"/>
  <c r="BY63" i="16" s="1"/>
  <c r="AA63" i="16"/>
  <c r="BY86" i="17"/>
  <c r="BY63" i="17" s="1"/>
  <c r="AA63" i="17"/>
  <c r="BY86" i="26"/>
  <c r="BY63" i="26" s="1"/>
  <c r="AA63" i="26"/>
  <c r="BY14" i="12"/>
  <c r="CB14" i="12" s="1"/>
  <c r="CB57" i="12" s="1"/>
  <c r="K16" i="12"/>
  <c r="K97" i="12" s="1"/>
  <c r="K98" i="12" s="1"/>
  <c r="L98" i="12" s="1"/>
  <c r="M98" i="12" s="1"/>
  <c r="N98" i="12" s="1"/>
  <c r="O98" i="12" s="1"/>
  <c r="P98" i="12" s="1"/>
  <c r="Q98" i="12" s="1"/>
  <c r="R98" i="12" s="1"/>
  <c r="S98" i="12" s="1"/>
  <c r="CB58" i="12"/>
  <c r="R38" i="11"/>
  <c r="R40" i="11" s="1"/>
  <c r="N35" i="11"/>
  <c r="N34" i="11"/>
  <c r="N33" i="11"/>
  <c r="N32" i="11"/>
  <c r="S100" i="19"/>
  <c r="T100" i="19" s="1"/>
  <c r="R100" i="6"/>
  <c r="R101" i="6" s="1"/>
  <c r="S101" i="6" s="1"/>
  <c r="R99" i="6"/>
  <c r="BY14" i="6"/>
  <c r="AA102" i="26"/>
  <c r="T16" i="6"/>
  <c r="T100" i="6" s="1"/>
  <c r="T101" i="6" s="1"/>
  <c r="S16" i="15"/>
  <c r="S100" i="15" s="1"/>
  <c r="S101" i="15" s="1"/>
  <c r="T101" i="15" s="1"/>
  <c r="BY14" i="15"/>
  <c r="CB14" i="15" s="1"/>
  <c r="BY14" i="16"/>
  <c r="CB14" i="16" s="1"/>
  <c r="S16" i="16"/>
  <c r="S100" i="16" s="1"/>
  <c r="S101" i="16" s="1"/>
  <c r="T101" i="16" s="1"/>
  <c r="S16" i="17"/>
  <c r="S100" i="17" s="1"/>
  <c r="S101" i="17" s="1"/>
  <c r="T101" i="17" s="1"/>
  <c r="BY14" i="17"/>
  <c r="CB14" i="17" s="1"/>
  <c r="T16" i="26"/>
  <c r="T100" i="26" s="1"/>
  <c r="T101" i="26" s="1"/>
  <c r="BY14" i="26"/>
  <c r="CB14" i="26" s="1"/>
  <c r="D15" i="8"/>
  <c r="E14" i="8"/>
  <c r="S15" i="8"/>
  <c r="T14" i="8"/>
  <c r="S15" i="13"/>
  <c r="T14" i="13"/>
  <c r="S15" i="18"/>
  <c r="T14" i="18"/>
  <c r="S15" i="21"/>
  <c r="T14" i="21"/>
  <c r="I15" i="22"/>
  <c r="J14" i="22"/>
  <c r="N15" i="22"/>
  <c r="O14" i="22"/>
  <c r="S15" i="22"/>
  <c r="T14" i="22"/>
  <c r="C49" i="27"/>
  <c r="R43" i="27"/>
  <c r="Q43" i="27" s="1"/>
  <c r="Q42" i="27"/>
  <c r="Q41" i="27"/>
  <c r="Q40" i="27"/>
  <c r="Q39" i="27"/>
  <c r="N20" i="27"/>
  <c r="N21" i="27" s="1"/>
  <c r="N25" i="27"/>
  <c r="N23" i="27"/>
  <c r="AD16" i="7" l="1"/>
  <c r="R24" i="27"/>
  <c r="R25" i="27" s="1"/>
  <c r="M29" i="27"/>
  <c r="S16" i="22"/>
  <c r="T15" i="22"/>
  <c r="N16" i="22"/>
  <c r="O15" i="22"/>
  <c r="I16" i="22"/>
  <c r="J15" i="22"/>
  <c r="S16" i="21"/>
  <c r="T15" i="21"/>
  <c r="S16" i="18"/>
  <c r="T15" i="18"/>
  <c r="S16" i="13"/>
  <c r="T15" i="13"/>
  <c r="S16" i="8"/>
  <c r="T15" i="8"/>
  <c r="D16" i="8"/>
  <c r="E15" i="8"/>
  <c r="T134" i="26"/>
  <c r="T136" i="26" s="1"/>
  <c r="BZ102" i="26"/>
  <c r="X125" i="26"/>
  <c r="U101" i="26"/>
  <c r="V101" i="26" s="1"/>
  <c r="W101" i="26" s="1"/>
  <c r="X101" i="26" s="1"/>
  <c r="Y101" i="26" s="1"/>
  <c r="Z101" i="26" s="1"/>
  <c r="Z102" i="26" s="1"/>
  <c r="T134" i="17"/>
  <c r="T136" i="17" s="1"/>
  <c r="T118" i="17"/>
  <c r="T119" i="17" s="1"/>
  <c r="BZ102" i="17"/>
  <c r="X125" i="17"/>
  <c r="U101" i="17"/>
  <c r="V101" i="17" s="1"/>
  <c r="W101" i="17" s="1"/>
  <c r="X101" i="17" s="1"/>
  <c r="Y101" i="17" s="1"/>
  <c r="Z101" i="17" s="1"/>
  <c r="T134" i="16"/>
  <c r="T136" i="16" s="1"/>
  <c r="BZ102" i="16"/>
  <c r="X125" i="16"/>
  <c r="U101" i="16"/>
  <c r="V101" i="16" s="1"/>
  <c r="W101" i="16" s="1"/>
  <c r="X101" i="16" s="1"/>
  <c r="Y101" i="16" s="1"/>
  <c r="Z101" i="16" s="1"/>
  <c r="T134" i="15"/>
  <c r="T136" i="15" s="1"/>
  <c r="T118" i="15"/>
  <c r="T119" i="15" s="1"/>
  <c r="BZ102" i="15"/>
  <c r="X125" i="15"/>
  <c r="U101" i="15"/>
  <c r="V101" i="15" s="1"/>
  <c r="W101" i="15" s="1"/>
  <c r="X101" i="15" s="1"/>
  <c r="Y101" i="15" s="1"/>
  <c r="Z101" i="15" s="1"/>
  <c r="T134" i="6"/>
  <c r="T136" i="6" s="1"/>
  <c r="U101" i="6"/>
  <c r="V101" i="6" s="1"/>
  <c r="W101" i="6" s="1"/>
  <c r="X101" i="6" s="1"/>
  <c r="Y101" i="6" s="1"/>
  <c r="Z101" i="6" s="1"/>
  <c r="AA101" i="6" s="1"/>
  <c r="T133" i="19"/>
  <c r="T135" i="19" s="1"/>
  <c r="U100" i="19"/>
  <c r="V100" i="19" s="1"/>
  <c r="W100" i="19" s="1"/>
  <c r="X100" i="19" s="1"/>
  <c r="Y100" i="19" s="1"/>
  <c r="Z100" i="19" s="1"/>
  <c r="AA100" i="19" s="1"/>
  <c r="AB100" i="19" s="1"/>
  <c r="G10" i="9"/>
  <c r="H17" i="10"/>
  <c r="H22" i="10" s="1"/>
  <c r="H26" i="10" s="1"/>
  <c r="H29" i="10" s="1"/>
  <c r="BZ12" i="26"/>
  <c r="CB13" i="26"/>
  <c r="BZ12" i="20"/>
  <c r="CB13" i="20"/>
  <c r="BZ12" i="19"/>
  <c r="CB13" i="19"/>
  <c r="BZ12" i="17"/>
  <c r="CB13" i="17"/>
  <c r="BZ12" i="16"/>
  <c r="CB13" i="16"/>
  <c r="AA101" i="15"/>
  <c r="AB101" i="15" s="1"/>
  <c r="AC101" i="15" s="1"/>
  <c r="AD101" i="15" s="1"/>
  <c r="AE101" i="15" s="1"/>
  <c r="AF101" i="15" s="1"/>
  <c r="AG101" i="15" s="1"/>
  <c r="AH101" i="15" s="1"/>
  <c r="AI101" i="15" s="1"/>
  <c r="AJ101" i="15" s="1"/>
  <c r="AK101" i="15" s="1"/>
  <c r="AL101" i="15" s="1"/>
  <c r="AM101" i="15" s="1"/>
  <c r="AN101" i="15" s="1"/>
  <c r="AO101" i="15" s="1"/>
  <c r="AP101" i="15" s="1"/>
  <c r="AQ101" i="15" s="1"/>
  <c r="AR101" i="15" s="1"/>
  <c r="AS101" i="15" s="1"/>
  <c r="AT101" i="15" s="1"/>
  <c r="AU101" i="15" s="1"/>
  <c r="AV101" i="15" s="1"/>
  <c r="AW101" i="15" s="1"/>
  <c r="AX101" i="15" s="1"/>
  <c r="AY101" i="15" s="1"/>
  <c r="AZ101" i="15" s="1"/>
  <c r="BA101" i="15" s="1"/>
  <c r="BB101" i="15" s="1"/>
  <c r="BC101" i="15" s="1"/>
  <c r="BD101" i="15" s="1"/>
  <c r="BE101" i="15" s="1"/>
  <c r="BF101" i="15" s="1"/>
  <c r="BG101" i="15" s="1"/>
  <c r="BH101" i="15" s="1"/>
  <c r="BI101" i="15" s="1"/>
  <c r="BJ101" i="15" s="1"/>
  <c r="BK101" i="15" s="1"/>
  <c r="BL101" i="15" s="1"/>
  <c r="BM101" i="15" s="1"/>
  <c r="BN101" i="15" s="1"/>
  <c r="BO101" i="15" s="1"/>
  <c r="BP101" i="15" s="1"/>
  <c r="BQ101" i="15" s="1"/>
  <c r="BR101" i="15" s="1"/>
  <c r="BS101" i="15" s="1"/>
  <c r="BT101" i="15" s="1"/>
  <c r="BU101" i="15" s="1"/>
  <c r="BV101" i="15" s="1"/>
  <c r="BW101" i="15" s="1"/>
  <c r="BX101" i="15" s="1"/>
  <c r="BZ12" i="15"/>
  <c r="CB13" i="15"/>
  <c r="BZ12" i="14"/>
  <c r="CB13" i="14"/>
  <c r="BZ12" i="12"/>
  <c r="CB13" i="12"/>
  <c r="CB56" i="12" s="1"/>
  <c r="G5" i="9"/>
  <c r="BZ12" i="6"/>
  <c r="BY16" i="6" s="1"/>
  <c r="BY16" i="12" l="1"/>
  <c r="BY97" i="12" s="1"/>
  <c r="CB12" i="12"/>
  <c r="BY16" i="14"/>
  <c r="CB12" i="14"/>
  <c r="CC12" i="14" s="1"/>
  <c r="CB16" i="14" s="1"/>
  <c r="BY16" i="15"/>
  <c r="BY100" i="15" s="1"/>
  <c r="CB12" i="15"/>
  <c r="CC12" i="15" s="1"/>
  <c r="CB16" i="15" s="1"/>
  <c r="BX109" i="15"/>
  <c r="BX105" i="15"/>
  <c r="D106" i="15" s="1"/>
  <c r="BY16" i="16"/>
  <c r="CB12" i="16"/>
  <c r="CC12" i="16" s="1"/>
  <c r="CB16" i="16" s="1"/>
  <c r="BY16" i="17"/>
  <c r="CB12" i="17"/>
  <c r="CC12" i="17" s="1"/>
  <c r="CB16" i="17" s="1"/>
  <c r="BY16" i="19"/>
  <c r="CB12" i="19"/>
  <c r="CC12" i="19" s="1"/>
  <c r="CB16" i="19" s="1"/>
  <c r="BY16" i="20"/>
  <c r="CB12" i="20"/>
  <c r="CC12" i="20" s="1"/>
  <c r="CB16" i="20" s="1"/>
  <c r="BY16" i="26"/>
  <c r="CB12" i="26"/>
  <c r="CC12" i="26" s="1"/>
  <c r="CB16" i="26" s="1"/>
  <c r="BY14" i="7"/>
  <c r="BZ12" i="7" s="1"/>
  <c r="BY16" i="7" s="1"/>
  <c r="AB16" i="7"/>
  <c r="H33" i="10"/>
  <c r="I33" i="10" s="1"/>
  <c r="I29" i="10"/>
  <c r="T136" i="19"/>
  <c r="U136" i="19" s="1"/>
  <c r="V136" i="19" s="1"/>
  <c r="W136" i="19" s="1"/>
  <c r="X136" i="19" s="1"/>
  <c r="Y136" i="19" s="1"/>
  <c r="Z136" i="19" s="1"/>
  <c r="AA136" i="19" s="1"/>
  <c r="AB136" i="19" s="1"/>
  <c r="AC136" i="19" s="1"/>
  <c r="AD136" i="19" s="1"/>
  <c r="AE136" i="19" s="1"/>
  <c r="AF136" i="19" s="1"/>
  <c r="AG136" i="19" s="1"/>
  <c r="AH136" i="19" s="1"/>
  <c r="AI136" i="19" s="1"/>
  <c r="AJ136" i="19" s="1"/>
  <c r="AK136" i="19" s="1"/>
  <c r="AL136" i="19" s="1"/>
  <c r="AM136" i="19" s="1"/>
  <c r="AN136" i="19" s="1"/>
  <c r="AO136" i="19" s="1"/>
  <c r="AP136" i="19" s="1"/>
  <c r="AQ136" i="19" s="1"/>
  <c r="AR136" i="19" s="1"/>
  <c r="AS136" i="19" s="1"/>
  <c r="AT136" i="19" s="1"/>
  <c r="AU136" i="19" s="1"/>
  <c r="AV136" i="19" s="1"/>
  <c r="AW136" i="19" s="1"/>
  <c r="AX136" i="19" s="1"/>
  <c r="AY136" i="19" s="1"/>
  <c r="AZ136" i="19" s="1"/>
  <c r="BA136" i="19" s="1"/>
  <c r="BB136" i="19" s="1"/>
  <c r="BC136" i="19" s="1"/>
  <c r="BD136" i="19" s="1"/>
  <c r="BE136" i="19" s="1"/>
  <c r="BF136" i="19" s="1"/>
  <c r="BG136" i="19" s="1"/>
  <c r="BH136" i="19" s="1"/>
  <c r="BI136" i="19" s="1"/>
  <c r="BJ136" i="19" s="1"/>
  <c r="BK136" i="19" s="1"/>
  <c r="BL136" i="19" s="1"/>
  <c r="BM136" i="19" s="1"/>
  <c r="BN136" i="19" s="1"/>
  <c r="BO136" i="19" s="1"/>
  <c r="BP136" i="19" s="1"/>
  <c r="BQ136" i="19" s="1"/>
  <c r="BR136" i="19" s="1"/>
  <c r="BS136" i="19" s="1"/>
  <c r="BT136" i="19" s="1"/>
  <c r="BU136" i="19" s="1"/>
  <c r="BV136" i="19" s="1"/>
  <c r="BW136" i="19" s="1"/>
  <c r="AA128" i="6"/>
  <c r="AB101" i="6"/>
  <c r="AC101" i="6" s="1"/>
  <c r="AD101" i="6" s="1"/>
  <c r="AE101" i="6" s="1"/>
  <c r="T137" i="6"/>
  <c r="U137" i="6" s="1"/>
  <c r="V137" i="6" s="1"/>
  <c r="W137" i="6" s="1"/>
  <c r="X137" i="6" s="1"/>
  <c r="Y137" i="6" s="1"/>
  <c r="Z137" i="6" s="1"/>
  <c r="AA137" i="6" s="1"/>
  <c r="AB137" i="6" s="1"/>
  <c r="AC137" i="6" s="1"/>
  <c r="AD137" i="6" s="1"/>
  <c r="AE137" i="6" s="1"/>
  <c r="V125" i="15"/>
  <c r="V126" i="15" s="1"/>
  <c r="D124" i="15"/>
  <c r="D125" i="15" s="1"/>
  <c r="T137" i="15"/>
  <c r="U137" i="15" s="1"/>
  <c r="V137" i="15" s="1"/>
  <c r="W137" i="15" s="1"/>
  <c r="X137" i="15" s="1"/>
  <c r="Y137" i="15" s="1"/>
  <c r="Z137" i="15" s="1"/>
  <c r="AA137" i="15" s="1"/>
  <c r="AB137" i="15" s="1"/>
  <c r="AC137" i="15" s="1"/>
  <c r="AD137" i="15" s="1"/>
  <c r="AE137" i="15" s="1"/>
  <c r="AF137" i="15" s="1"/>
  <c r="AG137" i="15" s="1"/>
  <c r="AH137" i="15" s="1"/>
  <c r="AI137" i="15" s="1"/>
  <c r="AJ137" i="15" s="1"/>
  <c r="AK137" i="15" s="1"/>
  <c r="AL137" i="15" s="1"/>
  <c r="AM137" i="15" s="1"/>
  <c r="AN137" i="15" s="1"/>
  <c r="AO137" i="15" s="1"/>
  <c r="AP137" i="15" s="1"/>
  <c r="AQ137" i="15" s="1"/>
  <c r="AR137" i="15" s="1"/>
  <c r="AS137" i="15" s="1"/>
  <c r="AT137" i="15" s="1"/>
  <c r="AU137" i="15" s="1"/>
  <c r="AV137" i="15" s="1"/>
  <c r="AW137" i="15" s="1"/>
  <c r="AX137" i="15" s="1"/>
  <c r="AY137" i="15" s="1"/>
  <c r="AZ137" i="15" s="1"/>
  <c r="BA137" i="15" s="1"/>
  <c r="BB137" i="15" s="1"/>
  <c r="BC137" i="15" s="1"/>
  <c r="BD137" i="15" s="1"/>
  <c r="BE137" i="15" s="1"/>
  <c r="BF137" i="15" s="1"/>
  <c r="BG137" i="15" s="1"/>
  <c r="BH137" i="15" s="1"/>
  <c r="BI137" i="15" s="1"/>
  <c r="BJ137" i="15" s="1"/>
  <c r="BK137" i="15" s="1"/>
  <c r="BL137" i="15" s="1"/>
  <c r="BM137" i="15" s="1"/>
  <c r="BN137" i="15" s="1"/>
  <c r="BO137" i="15" s="1"/>
  <c r="BP137" i="15" s="1"/>
  <c r="BQ137" i="15" s="1"/>
  <c r="BR137" i="15" s="1"/>
  <c r="BS137" i="15" s="1"/>
  <c r="BT137" i="15" s="1"/>
  <c r="BU137" i="15" s="1"/>
  <c r="BV137" i="15" s="1"/>
  <c r="BW137" i="15" s="1"/>
  <c r="T137" i="16"/>
  <c r="U137" i="16" s="1"/>
  <c r="V137" i="16" s="1"/>
  <c r="W137" i="16" s="1"/>
  <c r="X137" i="16" s="1"/>
  <c r="Y137" i="16" s="1"/>
  <c r="Z137" i="16" s="1"/>
  <c r="V125" i="17"/>
  <c r="V126" i="17" s="1"/>
  <c r="D124" i="17"/>
  <c r="D125" i="17" s="1"/>
  <c r="T137" i="17"/>
  <c r="U137" i="17" s="1"/>
  <c r="V137" i="17" s="1"/>
  <c r="W137" i="17" s="1"/>
  <c r="X137" i="17" s="1"/>
  <c r="Y137" i="17" s="1"/>
  <c r="Z137" i="17" s="1"/>
  <c r="AA137" i="17" s="1"/>
  <c r="AB137" i="17" s="1"/>
  <c r="AC137" i="17" s="1"/>
  <c r="AD137" i="17" s="1"/>
  <c r="AE137" i="17" s="1"/>
  <c r="AF137" i="17" s="1"/>
  <c r="AG137" i="17" s="1"/>
  <c r="AH137" i="17" s="1"/>
  <c r="AI137" i="17" s="1"/>
  <c r="AJ137" i="17" s="1"/>
  <c r="AK137" i="17" s="1"/>
  <c r="AL137" i="17" s="1"/>
  <c r="AM137" i="17" s="1"/>
  <c r="AN137" i="17" s="1"/>
  <c r="AO137" i="17" s="1"/>
  <c r="AP137" i="17" s="1"/>
  <c r="AQ137" i="17" s="1"/>
  <c r="AR137" i="17" s="1"/>
  <c r="AS137" i="17" s="1"/>
  <c r="AT137" i="17" s="1"/>
  <c r="AU137" i="17" s="1"/>
  <c r="AV137" i="17" s="1"/>
  <c r="AW137" i="17" s="1"/>
  <c r="AX137" i="17" s="1"/>
  <c r="AY137" i="17" s="1"/>
  <c r="AZ137" i="17" s="1"/>
  <c r="BA137" i="17" s="1"/>
  <c r="BB137" i="17" s="1"/>
  <c r="BC137" i="17" s="1"/>
  <c r="BD137" i="17" s="1"/>
  <c r="BE137" i="17" s="1"/>
  <c r="BF137" i="17" s="1"/>
  <c r="BG137" i="17" s="1"/>
  <c r="BH137" i="17" s="1"/>
  <c r="BI137" i="17" s="1"/>
  <c r="BJ137" i="17" s="1"/>
  <c r="BK137" i="17" s="1"/>
  <c r="BL137" i="17" s="1"/>
  <c r="BM137" i="17" s="1"/>
  <c r="BN137" i="17" s="1"/>
  <c r="BO137" i="17" s="1"/>
  <c r="BP137" i="17" s="1"/>
  <c r="BQ137" i="17" s="1"/>
  <c r="BR137" i="17" s="1"/>
  <c r="BS137" i="17" s="1"/>
  <c r="BT137" i="17" s="1"/>
  <c r="BU137" i="17" s="1"/>
  <c r="BV137" i="17" s="1"/>
  <c r="BW137" i="17" s="1"/>
  <c r="T137" i="26"/>
  <c r="U137" i="26" s="1"/>
  <c r="V137" i="26" s="1"/>
  <c r="W137" i="26" s="1"/>
  <c r="X137" i="26" s="1"/>
  <c r="Y137" i="26" s="1"/>
  <c r="Z137" i="26" s="1"/>
  <c r="D17" i="8"/>
  <c r="E16" i="8"/>
  <c r="S17" i="8"/>
  <c r="T16" i="8"/>
  <c r="S17" i="13"/>
  <c r="T16" i="13"/>
  <c r="S17" i="18"/>
  <c r="T16" i="18"/>
  <c r="S17" i="21"/>
  <c r="T16" i="21"/>
  <c r="I17" i="22"/>
  <c r="J16" i="22"/>
  <c r="N17" i="22"/>
  <c r="O16" i="22"/>
  <c r="S17" i="22"/>
  <c r="T16" i="22"/>
  <c r="N33" i="27"/>
  <c r="N32" i="27"/>
  <c r="N31" i="27"/>
  <c r="R29" i="27"/>
  <c r="R31" i="27" s="1"/>
  <c r="S18" i="22" l="1"/>
  <c r="T17" i="22"/>
  <c r="N18" i="22"/>
  <c r="O17" i="22"/>
  <c r="I18" i="22"/>
  <c r="J17" i="22"/>
  <c r="S18" i="21"/>
  <c r="T17" i="21"/>
  <c r="S18" i="18"/>
  <c r="T17" i="18"/>
  <c r="S18" i="13"/>
  <c r="T17" i="13"/>
  <c r="S18" i="8"/>
  <c r="T17" i="8"/>
  <c r="D18" i="8"/>
  <c r="E17" i="8"/>
  <c r="AB128" i="6"/>
  <c r="AC128" i="6" s="1"/>
  <c r="AO128" i="6" s="1"/>
  <c r="G129" i="6"/>
  <c r="G8" i="9"/>
  <c r="BX182" i="15"/>
  <c r="BX166" i="15"/>
  <c r="BX134" i="15"/>
  <c r="BX117" i="15"/>
  <c r="BX150" i="15" s="1"/>
  <c r="BX116" i="15"/>
  <c r="BX119" i="15" s="1"/>
  <c r="D120" i="15" s="1"/>
  <c r="CB55" i="12"/>
  <c r="CC12" i="12"/>
  <c r="CB16" i="12" s="1"/>
  <c r="CB59" i="12" s="1"/>
  <c r="BX152" i="15" l="1"/>
  <c r="BX153" i="15" s="1"/>
  <c r="D158" i="15"/>
  <c r="BX136" i="15"/>
  <c r="D142" i="15"/>
  <c r="D143" i="15" s="1"/>
  <c r="BX168" i="15"/>
  <c r="D174" i="15"/>
  <c r="BX184" i="15"/>
  <c r="D190" i="15"/>
  <c r="D19" i="8"/>
  <c r="E18" i="8"/>
  <c r="S19" i="8"/>
  <c r="T18" i="8"/>
  <c r="S19" i="13"/>
  <c r="T18" i="13"/>
  <c r="S19" i="18"/>
  <c r="T18" i="18"/>
  <c r="S19" i="21"/>
  <c r="T18" i="21"/>
  <c r="I19" i="22"/>
  <c r="J18" i="22"/>
  <c r="N19" i="22"/>
  <c r="O18" i="22"/>
  <c r="S19" i="22"/>
  <c r="T18" i="22"/>
  <c r="S20" i="22" l="1"/>
  <c r="T19" i="22"/>
  <c r="N20" i="22"/>
  <c r="O19" i="22"/>
  <c r="I20" i="22"/>
  <c r="J19" i="22"/>
  <c r="S20" i="21"/>
  <c r="T19" i="21"/>
  <c r="S20" i="18"/>
  <c r="T19" i="18"/>
  <c r="S20" i="13"/>
  <c r="T19" i="13"/>
  <c r="S20" i="8"/>
  <c r="T19" i="8"/>
  <c r="D20" i="8"/>
  <c r="E19" i="8"/>
  <c r="D186" i="15"/>
  <c r="BX185" i="15"/>
  <c r="D170" i="15"/>
  <c r="BX169" i="15"/>
  <c r="D138" i="15"/>
  <c r="BX137" i="15"/>
  <c r="D21" i="8" l="1"/>
  <c r="E20" i="8"/>
  <c r="S21" i="8"/>
  <c r="T20" i="8"/>
  <c r="S21" i="13"/>
  <c r="T20" i="13"/>
  <c r="S21" i="18"/>
  <c r="T20" i="18"/>
  <c r="S21" i="21"/>
  <c r="T20" i="21"/>
  <c r="I21" i="22"/>
  <c r="J20" i="22"/>
  <c r="N21" i="22"/>
  <c r="O20" i="22"/>
  <c r="S21" i="22"/>
  <c r="T20" i="22"/>
  <c r="S22" i="22" l="1"/>
  <c r="T21" i="22"/>
  <c r="N22" i="22"/>
  <c r="O21" i="22"/>
  <c r="I22" i="22"/>
  <c r="J21" i="22"/>
  <c r="S22" i="21"/>
  <c r="T21" i="21"/>
  <c r="S22" i="18"/>
  <c r="T21" i="18"/>
  <c r="S22" i="13"/>
  <c r="T21" i="13"/>
  <c r="S22" i="8"/>
  <c r="T21" i="8"/>
  <c r="D22" i="8"/>
  <c r="E21" i="8"/>
  <c r="D23" i="8" l="1"/>
  <c r="E22" i="8"/>
  <c r="S23" i="8"/>
  <c r="T22" i="8"/>
  <c r="S23" i="13"/>
  <c r="T22" i="13"/>
  <c r="S23" i="18"/>
  <c r="T22" i="18"/>
  <c r="S23" i="21"/>
  <c r="T22" i="21"/>
  <c r="I23" i="22"/>
  <c r="J22" i="22"/>
  <c r="N23" i="22"/>
  <c r="O22" i="22"/>
  <c r="S23" i="22"/>
  <c r="T22" i="22"/>
  <c r="S24" i="22" l="1"/>
  <c r="T23" i="22"/>
  <c r="N24" i="22"/>
  <c r="O23" i="22"/>
  <c r="I24" i="22"/>
  <c r="J23" i="22"/>
  <c r="S24" i="21"/>
  <c r="T23" i="21"/>
  <c r="S24" i="18"/>
  <c r="T23" i="18"/>
  <c r="S24" i="13"/>
  <c r="T23" i="13"/>
  <c r="S24" i="8"/>
  <c r="T23" i="8"/>
  <c r="D24" i="8"/>
  <c r="E23" i="8"/>
  <c r="D25" i="8" l="1"/>
  <c r="E24" i="8"/>
  <c r="S25" i="8"/>
  <c r="T24" i="8"/>
  <c r="S25" i="13"/>
  <c r="T24" i="13"/>
  <c r="S25" i="18"/>
  <c r="T24" i="18"/>
  <c r="S25" i="21"/>
  <c r="T24" i="21"/>
  <c r="I25" i="22"/>
  <c r="J24" i="22"/>
  <c r="N25" i="22"/>
  <c r="O24" i="22"/>
  <c r="S25" i="22"/>
  <c r="T24" i="22"/>
  <c r="S26" i="22" l="1"/>
  <c r="T25" i="22"/>
  <c r="N26" i="22"/>
  <c r="O25" i="22"/>
  <c r="I26" i="22"/>
  <c r="J25" i="22"/>
  <c r="S26" i="21"/>
  <c r="T25" i="21"/>
  <c r="S26" i="18"/>
  <c r="T25" i="18"/>
  <c r="S26" i="13"/>
  <c r="T25" i="13"/>
  <c r="S26" i="8"/>
  <c r="T25" i="8"/>
  <c r="D26" i="8"/>
  <c r="E25" i="8"/>
  <c r="D27" i="8" l="1"/>
  <c r="E26" i="8"/>
  <c r="S27" i="8"/>
  <c r="T26" i="8"/>
  <c r="S27" i="13"/>
  <c r="T26" i="13"/>
  <c r="S27" i="18"/>
  <c r="T26" i="18"/>
  <c r="S27" i="21"/>
  <c r="T26" i="21"/>
  <c r="I27" i="22"/>
  <c r="J26" i="22"/>
  <c r="N27" i="22"/>
  <c r="O26" i="22"/>
  <c r="S27" i="22"/>
  <c r="T26" i="22"/>
  <c r="S28" i="22" l="1"/>
  <c r="T27" i="22"/>
  <c r="N28" i="22"/>
  <c r="O27" i="22"/>
  <c r="I28" i="22"/>
  <c r="J27" i="22"/>
  <c r="S28" i="21"/>
  <c r="T27" i="21"/>
  <c r="S28" i="18"/>
  <c r="T27" i="18"/>
  <c r="S28" i="13"/>
  <c r="T27" i="13"/>
  <c r="S28" i="8"/>
  <c r="T27" i="8"/>
  <c r="D28" i="8"/>
  <c r="E27" i="8"/>
  <c r="D29" i="8" l="1"/>
  <c r="E28" i="8"/>
  <c r="S29" i="8"/>
  <c r="T28" i="8"/>
  <c r="S29" i="13"/>
  <c r="T28" i="13"/>
  <c r="S29" i="18"/>
  <c r="T28" i="18"/>
  <c r="S29" i="21"/>
  <c r="T28" i="21"/>
  <c r="I29" i="22"/>
  <c r="J28" i="22"/>
  <c r="N29" i="22"/>
  <c r="O28" i="22"/>
  <c r="S29" i="22"/>
  <c r="T28" i="22"/>
  <c r="S30" i="22" l="1"/>
  <c r="T29" i="22"/>
  <c r="N30" i="22"/>
  <c r="O29" i="22"/>
  <c r="I30" i="22"/>
  <c r="J29" i="22"/>
  <c r="S30" i="21"/>
  <c r="T29" i="21"/>
  <c r="S30" i="18"/>
  <c r="T29" i="18"/>
  <c r="S30" i="13"/>
  <c r="T29" i="13"/>
  <c r="S30" i="8"/>
  <c r="T29" i="8"/>
  <c r="D30" i="8"/>
  <c r="E29" i="8"/>
  <c r="D31" i="8" l="1"/>
  <c r="E30" i="8"/>
  <c r="S31" i="8"/>
  <c r="T30" i="8"/>
  <c r="S31" i="13"/>
  <c r="T30" i="13"/>
  <c r="S31" i="18"/>
  <c r="T30" i="18"/>
  <c r="S31" i="21"/>
  <c r="T30" i="21"/>
  <c r="I31" i="22"/>
  <c r="J30" i="22"/>
  <c r="N31" i="22"/>
  <c r="O30" i="22"/>
  <c r="S31" i="22"/>
  <c r="T30" i="22"/>
  <c r="S32" i="22" l="1"/>
  <c r="T31" i="22"/>
  <c r="N32" i="22"/>
  <c r="O31" i="22"/>
  <c r="I32" i="22"/>
  <c r="J31" i="22"/>
  <c r="K32" i="22" s="1"/>
  <c r="S32" i="21"/>
  <c r="T31" i="21"/>
  <c r="S32" i="18"/>
  <c r="T31" i="18"/>
  <c r="S32" i="13"/>
  <c r="T31" i="13"/>
  <c r="S32" i="8"/>
  <c r="T31" i="8"/>
  <c r="D32" i="8"/>
  <c r="E31" i="8"/>
  <c r="D33" i="8" l="1"/>
  <c r="E32" i="8"/>
  <c r="S33" i="8"/>
  <c r="T32" i="8"/>
  <c r="S33" i="13"/>
  <c r="T32" i="13"/>
  <c r="S33" i="18"/>
  <c r="T32" i="18"/>
  <c r="S33" i="21"/>
  <c r="T32" i="21"/>
  <c r="I33" i="22"/>
  <c r="J32" i="22"/>
  <c r="N33" i="22"/>
  <c r="O32" i="22"/>
  <c r="S33" i="22"/>
  <c r="T32" i="22"/>
  <c r="S34" i="22" l="1"/>
  <c r="T33" i="22"/>
  <c r="N34" i="22"/>
  <c r="O33" i="22"/>
  <c r="I34" i="22"/>
  <c r="J33" i="22"/>
  <c r="S34" i="21"/>
  <c r="T33" i="21"/>
  <c r="S34" i="18"/>
  <c r="T33" i="18"/>
  <c r="S34" i="13"/>
  <c r="T33" i="13"/>
  <c r="S34" i="8"/>
  <c r="T33" i="8"/>
  <c r="D34" i="8"/>
  <c r="E33" i="8"/>
  <c r="D35" i="8" l="1"/>
  <c r="E34" i="8"/>
  <c r="S35" i="8"/>
  <c r="T34" i="8"/>
  <c r="S35" i="13"/>
  <c r="T34" i="13"/>
  <c r="S35" i="18"/>
  <c r="T34" i="18"/>
  <c r="S35" i="21"/>
  <c r="T34" i="21"/>
  <c r="I35" i="22"/>
  <c r="J34" i="22"/>
  <c r="N35" i="22"/>
  <c r="O34" i="22"/>
  <c r="S35" i="22"/>
  <c r="T34" i="22"/>
  <c r="S36" i="22" l="1"/>
  <c r="T35" i="22"/>
  <c r="N36" i="22"/>
  <c r="O35" i="22"/>
  <c r="I36" i="22"/>
  <c r="J35" i="22"/>
  <c r="S36" i="21"/>
  <c r="T35" i="21"/>
  <c r="S36" i="18"/>
  <c r="T35" i="18"/>
  <c r="S36" i="13"/>
  <c r="T35" i="13"/>
  <c r="S36" i="8"/>
  <c r="T35" i="8"/>
  <c r="D36" i="8"/>
  <c r="E35" i="8"/>
  <c r="D37" i="8" l="1"/>
  <c r="E36" i="8"/>
  <c r="S37" i="8"/>
  <c r="T36" i="8"/>
  <c r="S37" i="13"/>
  <c r="T36" i="13"/>
  <c r="S37" i="18"/>
  <c r="T36" i="18"/>
  <c r="S37" i="21"/>
  <c r="T36" i="21"/>
  <c r="I37" i="22"/>
  <c r="J36" i="22"/>
  <c r="N37" i="22"/>
  <c r="O36" i="22"/>
  <c r="S37" i="22"/>
  <c r="T36" i="22"/>
  <c r="S38" i="22" l="1"/>
  <c r="T37" i="22"/>
  <c r="N38" i="22"/>
  <c r="O37" i="22"/>
  <c r="I38" i="22"/>
  <c r="J37" i="22"/>
  <c r="S38" i="21"/>
  <c r="T37" i="21"/>
  <c r="S38" i="18"/>
  <c r="T37" i="18"/>
  <c r="S38" i="13"/>
  <c r="T37" i="13"/>
  <c r="S38" i="8"/>
  <c r="T37" i="8"/>
  <c r="D38" i="8"/>
  <c r="E37" i="8"/>
  <c r="D39" i="8" l="1"/>
  <c r="E38" i="8"/>
  <c r="S39" i="8"/>
  <c r="T38" i="8"/>
  <c r="S39" i="13"/>
  <c r="T38" i="13"/>
  <c r="S39" i="18"/>
  <c r="T38" i="18"/>
  <c r="S39" i="21"/>
  <c r="T38" i="21"/>
  <c r="I39" i="22"/>
  <c r="J38" i="22"/>
  <c r="N39" i="22"/>
  <c r="O38" i="22"/>
  <c r="S39" i="22"/>
  <c r="T38" i="22"/>
  <c r="S40" i="22" l="1"/>
  <c r="T39" i="22"/>
  <c r="N40" i="22"/>
  <c r="O39" i="22"/>
  <c r="I40" i="22"/>
  <c r="J39" i="22"/>
  <c r="S40" i="21"/>
  <c r="T39" i="21"/>
  <c r="S40" i="18"/>
  <c r="T39" i="18"/>
  <c r="S40" i="13"/>
  <c r="T39" i="13"/>
  <c r="S40" i="8"/>
  <c r="T39" i="8"/>
  <c r="D40" i="8"/>
  <c r="E39" i="8"/>
  <c r="D41" i="8" l="1"/>
  <c r="E40" i="8"/>
  <c r="S41" i="8"/>
  <c r="T40" i="8"/>
  <c r="S41" i="13"/>
  <c r="T40" i="13"/>
  <c r="S41" i="18"/>
  <c r="T40" i="18"/>
  <c r="S41" i="21"/>
  <c r="T40" i="21"/>
  <c r="I41" i="22"/>
  <c r="J40" i="22"/>
  <c r="N41" i="22"/>
  <c r="O40" i="22"/>
  <c r="S41" i="22"/>
  <c r="T40" i="22"/>
  <c r="S42" i="22" l="1"/>
  <c r="T41" i="22"/>
  <c r="N42" i="22"/>
  <c r="O41" i="22"/>
  <c r="I42" i="22"/>
  <c r="J41" i="22"/>
  <c r="S42" i="21"/>
  <c r="T41" i="21"/>
  <c r="S42" i="18"/>
  <c r="T41" i="18"/>
  <c r="S42" i="13"/>
  <c r="T41" i="13"/>
  <c r="S42" i="8"/>
  <c r="T41" i="8"/>
  <c r="D42" i="8"/>
  <c r="E41" i="8"/>
  <c r="D43" i="8" l="1"/>
  <c r="E42" i="8"/>
  <c r="S43" i="8"/>
  <c r="T42" i="8"/>
  <c r="S43" i="13"/>
  <c r="T42" i="13"/>
  <c r="S43" i="18"/>
  <c r="T42" i="18"/>
  <c r="S43" i="21"/>
  <c r="T42" i="21"/>
  <c r="I43" i="22"/>
  <c r="J42" i="22"/>
  <c r="N43" i="22"/>
  <c r="O42" i="22"/>
  <c r="S43" i="22"/>
  <c r="T42" i="22"/>
  <c r="S44" i="22" l="1"/>
  <c r="T43" i="22"/>
  <c r="N44" i="22"/>
  <c r="O43" i="22"/>
  <c r="I44" i="22"/>
  <c r="J43" i="22"/>
  <c r="S44" i="21"/>
  <c r="T43" i="21"/>
  <c r="S44" i="18"/>
  <c r="T43" i="18"/>
  <c r="S44" i="13"/>
  <c r="T43" i="13"/>
  <c r="S44" i="8"/>
  <c r="T43" i="8"/>
  <c r="D44" i="8"/>
  <c r="E43" i="8"/>
  <c r="D45" i="8" l="1"/>
  <c r="E44" i="8"/>
  <c r="S45" i="8"/>
  <c r="T44" i="8"/>
  <c r="S45" i="13"/>
  <c r="T44" i="13"/>
  <c r="S45" i="18"/>
  <c r="T44" i="18"/>
  <c r="S45" i="21"/>
  <c r="T44" i="21"/>
  <c r="I45" i="22"/>
  <c r="J44" i="22"/>
  <c r="N45" i="22"/>
  <c r="O44" i="22"/>
  <c r="S45" i="22"/>
  <c r="T44" i="22"/>
  <c r="S46" i="22" l="1"/>
  <c r="T45" i="22"/>
  <c r="N46" i="22"/>
  <c r="O45" i="22"/>
  <c r="I46" i="22"/>
  <c r="J45" i="22"/>
  <c r="S46" i="21"/>
  <c r="T45" i="21"/>
  <c r="S46" i="18"/>
  <c r="T45" i="18"/>
  <c r="S46" i="13"/>
  <c r="T45" i="13"/>
  <c r="S46" i="8"/>
  <c r="T45" i="8"/>
  <c r="D46" i="8"/>
  <c r="E45" i="8"/>
  <c r="D47" i="8" l="1"/>
  <c r="E46" i="8"/>
  <c r="S47" i="8"/>
  <c r="T46" i="8"/>
  <c r="S47" i="13"/>
  <c r="T46" i="13"/>
  <c r="S47" i="18"/>
  <c r="T46" i="18"/>
  <c r="S47" i="21"/>
  <c r="T46" i="21"/>
  <c r="I47" i="22"/>
  <c r="J46" i="22"/>
  <c r="N47" i="22"/>
  <c r="O46" i="22"/>
  <c r="S47" i="22"/>
  <c r="T46" i="22"/>
  <c r="S48" i="22" l="1"/>
  <c r="T47" i="22"/>
  <c r="N48" i="22"/>
  <c r="O47" i="22"/>
  <c r="I48" i="22"/>
  <c r="J47" i="22"/>
  <c r="S48" i="21"/>
  <c r="T47" i="21"/>
  <c r="S48" i="18"/>
  <c r="T47" i="18"/>
  <c r="S48" i="13"/>
  <c r="T47" i="13"/>
  <c r="S48" i="8"/>
  <c r="T47" i="8"/>
  <c r="D48" i="8"/>
  <c r="E47" i="8"/>
  <c r="D49" i="8" l="1"/>
  <c r="E48" i="8"/>
  <c r="S49" i="8"/>
  <c r="T48" i="8"/>
  <c r="S49" i="13"/>
  <c r="T48" i="13"/>
  <c r="S49" i="18"/>
  <c r="T48" i="18"/>
  <c r="S49" i="21"/>
  <c r="T48" i="21"/>
  <c r="I49" i="22"/>
  <c r="J48" i="22"/>
  <c r="N49" i="22"/>
  <c r="O48" i="22"/>
  <c r="S49" i="22"/>
  <c r="T48" i="22"/>
  <c r="S50" i="22" l="1"/>
  <c r="T49" i="22"/>
  <c r="N50" i="22"/>
  <c r="O49" i="22"/>
  <c r="I50" i="22"/>
  <c r="J49" i="22"/>
  <c r="S50" i="21"/>
  <c r="T49" i="21"/>
  <c r="S50" i="18"/>
  <c r="T49" i="18"/>
  <c r="S50" i="13"/>
  <c r="T49" i="13"/>
  <c r="S50" i="8"/>
  <c r="T49" i="8"/>
  <c r="D50" i="8"/>
  <c r="E49" i="8"/>
  <c r="D51" i="8" l="1"/>
  <c r="E50" i="8"/>
  <c r="S51" i="8"/>
  <c r="T50" i="8"/>
  <c r="S51" i="13"/>
  <c r="T50" i="13"/>
  <c r="S51" i="18"/>
  <c r="T50" i="18"/>
  <c r="S51" i="21"/>
  <c r="T50" i="21"/>
  <c r="I51" i="22"/>
  <c r="J50" i="22"/>
  <c r="N51" i="22"/>
  <c r="O50" i="22"/>
  <c r="S51" i="22"/>
  <c r="T50" i="22"/>
  <c r="S52" i="22" l="1"/>
  <c r="T51" i="22"/>
  <c r="N52" i="22"/>
  <c r="O51" i="22"/>
  <c r="I52" i="22"/>
  <c r="J51" i="22"/>
  <c r="S52" i="21"/>
  <c r="T51" i="21"/>
  <c r="S52" i="18"/>
  <c r="T51" i="18"/>
  <c r="S52" i="13"/>
  <c r="T51" i="13"/>
  <c r="S52" i="8"/>
  <c r="T51" i="8"/>
  <c r="D52" i="8"/>
  <c r="E51" i="8"/>
  <c r="D53" i="8" l="1"/>
  <c r="E52" i="8"/>
  <c r="S53" i="8"/>
  <c r="T52" i="8"/>
  <c r="S53" i="13"/>
  <c r="T52" i="13"/>
  <c r="S53" i="18"/>
  <c r="T52" i="18"/>
  <c r="S53" i="21"/>
  <c r="T52" i="21"/>
  <c r="I53" i="22"/>
  <c r="J52" i="22"/>
  <c r="N53" i="22"/>
  <c r="O52" i="22"/>
  <c r="S53" i="22"/>
  <c r="T52" i="22"/>
  <c r="S54" i="22" l="1"/>
  <c r="T53" i="22"/>
  <c r="N54" i="22"/>
  <c r="O53" i="22"/>
  <c r="I54" i="22"/>
  <c r="J53" i="22"/>
  <c r="S54" i="21"/>
  <c r="T53" i="21"/>
  <c r="S54" i="18"/>
  <c r="T53" i="18"/>
  <c r="S54" i="13"/>
  <c r="T53" i="13"/>
  <c r="S54" i="8"/>
  <c r="T53" i="8"/>
  <c r="D54" i="8"/>
  <c r="E53" i="8"/>
  <c r="D55" i="8" l="1"/>
  <c r="E54" i="8"/>
  <c r="S55" i="8"/>
  <c r="T54" i="8"/>
  <c r="S55" i="13"/>
  <c r="T54" i="13"/>
  <c r="S55" i="18"/>
  <c r="T54" i="18"/>
  <c r="S55" i="21"/>
  <c r="T54" i="21"/>
  <c r="I55" i="22"/>
  <c r="J54" i="22"/>
  <c r="N55" i="22"/>
  <c r="O54" i="22"/>
  <c r="S55" i="22"/>
  <c r="T54" i="22"/>
  <c r="S56" i="22" l="1"/>
  <c r="T55" i="22"/>
  <c r="N56" i="22"/>
  <c r="O55" i="22"/>
  <c r="I56" i="22"/>
  <c r="J55" i="22"/>
  <c r="S56" i="21"/>
  <c r="T55" i="21"/>
  <c r="S56" i="18"/>
  <c r="T55" i="18"/>
  <c r="S56" i="13"/>
  <c r="T55" i="13"/>
  <c r="S56" i="8"/>
  <c r="T55" i="8"/>
  <c r="D56" i="8"/>
  <c r="E55" i="8"/>
  <c r="D57" i="8" l="1"/>
  <c r="E56" i="8"/>
  <c r="S57" i="8"/>
  <c r="T56" i="8"/>
  <c r="S57" i="13"/>
  <c r="T56" i="13"/>
  <c r="S57" i="18"/>
  <c r="T56" i="18"/>
  <c r="S57" i="21"/>
  <c r="T56" i="21"/>
  <c r="I57" i="22"/>
  <c r="J56" i="22"/>
  <c r="N57" i="22"/>
  <c r="O56" i="22"/>
  <c r="S57" i="22"/>
  <c r="T56" i="22"/>
  <c r="S58" i="22" l="1"/>
  <c r="T57" i="22"/>
  <c r="N58" i="22"/>
  <c r="O57" i="22"/>
  <c r="I58" i="22"/>
  <c r="J57" i="22"/>
  <c r="S58" i="21"/>
  <c r="T57" i="21"/>
  <c r="S58" i="18"/>
  <c r="T57" i="18"/>
  <c r="S58" i="13"/>
  <c r="T57" i="13"/>
  <c r="S58" i="8"/>
  <c r="T57" i="8"/>
  <c r="D58" i="8"/>
  <c r="E57" i="8"/>
  <c r="D59" i="8" l="1"/>
  <c r="E58" i="8"/>
  <c r="S59" i="8"/>
  <c r="T58" i="8"/>
  <c r="S59" i="13"/>
  <c r="T58" i="13"/>
  <c r="S59" i="18"/>
  <c r="T58" i="18"/>
  <c r="S59" i="21"/>
  <c r="T58" i="21"/>
  <c r="I59" i="22"/>
  <c r="J58" i="22"/>
  <c r="N59" i="22"/>
  <c r="O58" i="22"/>
  <c r="S59" i="22"/>
  <c r="T58" i="22"/>
  <c r="S60" i="22" l="1"/>
  <c r="T59" i="22"/>
  <c r="N60" i="22"/>
  <c r="O59" i="22"/>
  <c r="I60" i="22"/>
  <c r="J59" i="22"/>
  <c r="S60" i="21"/>
  <c r="T59" i="21"/>
  <c r="S60" i="18"/>
  <c r="T59" i="18"/>
  <c r="S60" i="13"/>
  <c r="T59" i="13"/>
  <c r="S60" i="8"/>
  <c r="T59" i="8"/>
  <c r="D60" i="8"/>
  <c r="E59" i="8"/>
  <c r="D61" i="8" l="1"/>
  <c r="E60" i="8"/>
  <c r="S61" i="8"/>
  <c r="T60" i="8"/>
  <c r="S61" i="13"/>
  <c r="T60" i="13"/>
  <c r="S61" i="18"/>
  <c r="T60" i="18"/>
  <c r="S61" i="21"/>
  <c r="T60" i="21"/>
  <c r="I61" i="22"/>
  <c r="J60" i="22"/>
  <c r="N61" i="22"/>
  <c r="O60" i="22"/>
  <c r="S61" i="22"/>
  <c r="T60" i="22"/>
  <c r="S62" i="22" l="1"/>
  <c r="T61" i="22"/>
  <c r="N62" i="22"/>
  <c r="O61" i="22"/>
  <c r="I62" i="22"/>
  <c r="J61" i="22"/>
  <c r="S62" i="21"/>
  <c r="T61" i="21"/>
  <c r="S62" i="18"/>
  <c r="T61" i="18"/>
  <c r="S62" i="13"/>
  <c r="T61" i="13"/>
  <c r="S62" i="8"/>
  <c r="T61" i="8"/>
  <c r="D62" i="8"/>
  <c r="E61" i="8"/>
  <c r="D63" i="8" l="1"/>
  <c r="E62" i="8"/>
  <c r="S63" i="8"/>
  <c r="T62" i="8"/>
  <c r="S63" i="13"/>
  <c r="T62" i="13"/>
  <c r="S63" i="18"/>
  <c r="T62" i="18"/>
  <c r="S63" i="21"/>
  <c r="T62" i="21"/>
  <c r="I63" i="22"/>
  <c r="J62" i="22"/>
  <c r="N63" i="22"/>
  <c r="O62" i="22"/>
  <c r="S63" i="22"/>
  <c r="T62" i="22"/>
  <c r="S64" i="22" l="1"/>
  <c r="T63" i="22"/>
  <c r="N64" i="22"/>
  <c r="O63" i="22"/>
  <c r="I64" i="22"/>
  <c r="J63" i="22"/>
  <c r="S64" i="21"/>
  <c r="T63" i="21"/>
  <c r="S64" i="18"/>
  <c r="T63" i="18"/>
  <c r="S64" i="13"/>
  <c r="T63" i="13"/>
  <c r="S64" i="8"/>
  <c r="T63" i="8"/>
  <c r="D64" i="8"/>
  <c r="E63" i="8"/>
  <c r="D65" i="8" l="1"/>
  <c r="E64" i="8"/>
  <c r="S65" i="8"/>
  <c r="T64" i="8"/>
  <c r="S65" i="13"/>
  <c r="T64" i="13"/>
  <c r="S65" i="18"/>
  <c r="T64" i="18"/>
  <c r="S65" i="21"/>
  <c r="T64" i="21"/>
  <c r="I65" i="22"/>
  <c r="J64" i="22"/>
  <c r="N65" i="22"/>
  <c r="O64" i="22"/>
  <c r="S65" i="22"/>
  <c r="T64" i="22"/>
  <c r="S66" i="22" l="1"/>
  <c r="T65" i="22"/>
  <c r="N66" i="22"/>
  <c r="O65" i="22"/>
  <c r="I66" i="22"/>
  <c r="J65" i="22"/>
  <c r="S66" i="21"/>
  <c r="T65" i="21"/>
  <c r="S66" i="18"/>
  <c r="T65" i="18"/>
  <c r="S66" i="13"/>
  <c r="T65" i="13"/>
  <c r="S66" i="8"/>
  <c r="T65" i="8"/>
  <c r="D66" i="8"/>
  <c r="E65" i="8"/>
  <c r="D67" i="8" l="1"/>
  <c r="E66" i="8"/>
  <c r="S67" i="8"/>
  <c r="T66" i="8"/>
  <c r="S67" i="13"/>
  <c r="T66" i="13"/>
  <c r="S67" i="18"/>
  <c r="T66" i="18"/>
  <c r="S67" i="21"/>
  <c r="T66" i="21"/>
  <c r="I67" i="22"/>
  <c r="J66" i="22"/>
  <c r="N67" i="22"/>
  <c r="O66" i="22"/>
  <c r="S67" i="22"/>
  <c r="T66" i="22"/>
  <c r="S68" i="22" l="1"/>
  <c r="T67" i="22"/>
  <c r="N68" i="22"/>
  <c r="O67" i="22"/>
  <c r="I68" i="22"/>
  <c r="J67" i="22"/>
  <c r="S68" i="21"/>
  <c r="T67" i="21"/>
  <c r="S68" i="18"/>
  <c r="T67" i="18"/>
  <c r="S68" i="13"/>
  <c r="T67" i="13"/>
  <c r="S68" i="8"/>
  <c r="T67" i="8"/>
  <c r="D68" i="8"/>
  <c r="E67" i="8"/>
  <c r="D69" i="8" l="1"/>
  <c r="E68" i="8"/>
  <c r="S69" i="8"/>
  <c r="T68" i="8"/>
  <c r="S69" i="13"/>
  <c r="T68" i="13"/>
  <c r="S69" i="18"/>
  <c r="T68" i="18"/>
  <c r="S69" i="21"/>
  <c r="T68" i="21"/>
  <c r="I69" i="22"/>
  <c r="J68" i="22"/>
  <c r="N69" i="22"/>
  <c r="O68" i="22"/>
  <c r="S69" i="22"/>
  <c r="T68" i="22"/>
  <c r="S70" i="22" l="1"/>
  <c r="T69" i="22"/>
  <c r="N70" i="22"/>
  <c r="O69" i="22"/>
  <c r="I70" i="22"/>
  <c r="J69" i="22"/>
  <c r="S70" i="21"/>
  <c r="T69" i="21"/>
  <c r="S70" i="18"/>
  <c r="T69" i="18"/>
  <c r="S70" i="13"/>
  <c r="T69" i="13"/>
  <c r="S70" i="8"/>
  <c r="T69" i="8"/>
  <c r="D70" i="8"/>
  <c r="E69" i="8"/>
  <c r="D71" i="8" l="1"/>
  <c r="E70" i="8"/>
  <c r="S71" i="8"/>
  <c r="T70" i="8"/>
  <c r="S71" i="13"/>
  <c r="T70" i="13"/>
  <c r="S71" i="18"/>
  <c r="T70" i="18"/>
  <c r="S71" i="21"/>
  <c r="T70" i="21"/>
  <c r="I71" i="22"/>
  <c r="J70" i="22"/>
  <c r="N71" i="22"/>
  <c r="O70" i="22"/>
  <c r="S71" i="22"/>
  <c r="T70" i="22"/>
  <c r="S72" i="22" l="1"/>
  <c r="T71" i="22"/>
  <c r="N72" i="22"/>
  <c r="O71" i="22"/>
  <c r="I72" i="22"/>
  <c r="J71" i="22"/>
  <c r="S72" i="21"/>
  <c r="T71" i="21"/>
  <c r="S72" i="18"/>
  <c r="T71" i="18"/>
  <c r="S72" i="13"/>
  <c r="T71" i="13"/>
  <c r="S72" i="8"/>
  <c r="T71" i="8"/>
  <c r="D72" i="8"/>
  <c r="E71" i="8"/>
  <c r="D73" i="8" l="1"/>
  <c r="E72" i="8"/>
  <c r="S73" i="8"/>
  <c r="T72" i="8"/>
  <c r="S73" i="13"/>
  <c r="T72" i="13"/>
  <c r="S73" i="18"/>
  <c r="T72" i="18"/>
  <c r="S73" i="21"/>
  <c r="T72" i="21"/>
  <c r="I73" i="22"/>
  <c r="J72" i="22"/>
  <c r="N73" i="22"/>
  <c r="O72" i="22"/>
  <c r="S73" i="22"/>
  <c r="T72" i="22"/>
  <c r="S74" i="22" l="1"/>
  <c r="T73" i="22"/>
  <c r="N74" i="22"/>
  <c r="O73" i="22"/>
  <c r="I74" i="22"/>
  <c r="J73" i="22"/>
  <c r="S74" i="21"/>
  <c r="T73" i="21"/>
  <c r="S74" i="18"/>
  <c r="T73" i="18"/>
  <c r="S74" i="13"/>
  <c r="T73" i="13"/>
  <c r="S74" i="8"/>
  <c r="T73" i="8"/>
  <c r="D74" i="8"/>
  <c r="E73" i="8"/>
  <c r="D75" i="8" l="1"/>
  <c r="E74" i="8"/>
  <c r="S75" i="8"/>
  <c r="T74" i="8"/>
  <c r="S75" i="13"/>
  <c r="T74" i="13"/>
  <c r="S75" i="18"/>
  <c r="T74" i="18"/>
  <c r="S75" i="21"/>
  <c r="T74" i="21"/>
  <c r="I75" i="22"/>
  <c r="J74" i="22"/>
  <c r="N75" i="22"/>
  <c r="O74" i="22"/>
  <c r="S75" i="22"/>
  <c r="T74" i="22"/>
  <c r="S76" i="22" l="1"/>
  <c r="T75" i="22"/>
  <c r="N76" i="22"/>
  <c r="O75" i="22"/>
  <c r="I76" i="22"/>
  <c r="J75" i="22"/>
  <c r="S76" i="21"/>
  <c r="T75" i="21"/>
  <c r="S76" i="18"/>
  <c r="T75" i="18"/>
  <c r="S76" i="13"/>
  <c r="T75" i="13"/>
  <c r="S76" i="8"/>
  <c r="T75" i="8"/>
  <c r="D76" i="8"/>
  <c r="E75" i="8"/>
  <c r="D77" i="8" l="1"/>
  <c r="E76" i="8"/>
  <c r="S77" i="8"/>
  <c r="T76" i="8"/>
  <c r="S77" i="13"/>
  <c r="T76" i="13"/>
  <c r="S77" i="18"/>
  <c r="T76" i="18"/>
  <c r="S77" i="21"/>
  <c r="T76" i="21"/>
  <c r="I77" i="22"/>
  <c r="J76" i="22"/>
  <c r="N77" i="22"/>
  <c r="O76" i="22"/>
  <c r="S77" i="22"/>
  <c r="T76" i="22"/>
  <c r="S78" i="22" l="1"/>
  <c r="T77" i="22"/>
  <c r="N78" i="22"/>
  <c r="O77" i="22"/>
  <c r="I78" i="22"/>
  <c r="J77" i="22"/>
  <c r="S78" i="21"/>
  <c r="T77" i="21"/>
  <c r="S78" i="18"/>
  <c r="T77" i="18"/>
  <c r="S78" i="13"/>
  <c r="T77" i="13"/>
  <c r="S78" i="8"/>
  <c r="T77" i="8"/>
  <c r="D78" i="8"/>
  <c r="E77" i="8"/>
  <c r="D79" i="8" l="1"/>
  <c r="E79" i="8" s="1"/>
  <c r="E78" i="8"/>
  <c r="S79" i="8"/>
  <c r="T79" i="8" s="1"/>
  <c r="T78" i="8"/>
  <c r="S79" i="13"/>
  <c r="T79" i="13" s="1"/>
  <c r="T78" i="13"/>
  <c r="S79" i="18"/>
  <c r="T79" i="18" s="1"/>
  <c r="T78" i="18"/>
  <c r="S79" i="21"/>
  <c r="T79" i="21" s="1"/>
  <c r="T78" i="21"/>
  <c r="I79" i="22"/>
  <c r="J79" i="22" s="1"/>
  <c r="J78" i="22"/>
  <c r="N79" i="22"/>
  <c r="O79" i="22" s="1"/>
  <c r="O78" i="22"/>
  <c r="S79" i="22"/>
  <c r="T79" i="22" s="1"/>
  <c r="T78" i="22"/>
  <c r="C8" i="22" l="1" a="1"/>
  <c r="C9" i="22"/>
  <c r="C10" i="22"/>
  <c r="C11" i="22"/>
  <c r="C12" i="22"/>
  <c r="C13" i="22"/>
  <c r="C14" i="22"/>
  <c r="C15" i="22"/>
  <c r="C16" i="22"/>
  <c r="C17" i="22"/>
  <c r="C18" i="22"/>
  <c r="C19" i="22"/>
  <c r="C20" i="22"/>
  <c r="C21" i="22"/>
  <c r="C22" i="22"/>
  <c r="C23" i="22"/>
  <c r="C24" i="22"/>
  <c r="C8" i="22"/>
  <c r="D8" i="22"/>
  <c r="E8" i="22"/>
  <c r="D9" i="22"/>
  <c r="E9" i="22"/>
  <c r="D10" i="22"/>
  <c r="E10" i="22"/>
  <c r="D11" i="22"/>
  <c r="E11" i="22"/>
  <c r="D12" i="22"/>
  <c r="E12" i="22"/>
  <c r="D13" i="22"/>
  <c r="E13" i="22"/>
  <c r="D14" i="22"/>
  <c r="E14" i="22"/>
  <c r="D15" i="22"/>
  <c r="E15" i="22"/>
  <c r="D16" i="22"/>
  <c r="E16" i="22"/>
  <c r="D17" i="22"/>
  <c r="E17" i="22"/>
  <c r="D18" i="22"/>
  <c r="E18" i="22"/>
  <c r="D19" i="22"/>
  <c r="E19" i="22"/>
  <c r="D20" i="22"/>
  <c r="E20" i="22"/>
  <c r="D21" i="22"/>
  <c r="E21" i="22"/>
  <c r="D22" i="22"/>
  <c r="E22" i="22"/>
  <c r="D23" i="22"/>
  <c r="E23" i="22"/>
  <c r="AA57" i="26"/>
  <c r="BY57" i="26"/>
  <c r="AA133" i="26"/>
  <c r="D24" i="22"/>
  <c r="E24" i="22"/>
  <c r="D25" i="22"/>
  <c r="E25" i="22"/>
  <c r="D26" i="22"/>
  <c r="E26" i="22"/>
  <c r="D27" i="22"/>
  <c r="E27" i="22"/>
  <c r="D28" i="22"/>
  <c r="E28" i="22"/>
  <c r="D29" i="22"/>
  <c r="E29" i="22"/>
  <c r="D30" i="22"/>
  <c r="E30" i="22"/>
  <c r="D31" i="22"/>
  <c r="E31" i="22"/>
  <c r="D32" i="22"/>
  <c r="E32" i="22"/>
  <c r="D33" i="22"/>
  <c r="E33" i="22"/>
  <c r="D34" i="22"/>
  <c r="E34" i="22"/>
  <c r="D35" i="22"/>
  <c r="E35" i="22"/>
  <c r="D36" i="22"/>
  <c r="E36" i="22"/>
  <c r="D37" i="22"/>
  <c r="E37" i="22"/>
  <c r="D38" i="22"/>
  <c r="E38" i="22"/>
  <c r="D39" i="22"/>
  <c r="E39" i="22"/>
  <c r="D40" i="22"/>
  <c r="E40" i="22"/>
  <c r="D41" i="22"/>
  <c r="E41" i="22"/>
  <c r="D42" i="22"/>
  <c r="E42" i="22"/>
  <c r="D43" i="22"/>
  <c r="E43" i="22"/>
  <c r="D44" i="22"/>
  <c r="E44" i="22"/>
  <c r="D45" i="22"/>
  <c r="E45" i="22"/>
  <c r="D46" i="22"/>
  <c r="E46" i="22"/>
  <c r="D47" i="22"/>
  <c r="E47" i="22"/>
  <c r="D48" i="22"/>
  <c r="E48" i="22"/>
  <c r="D49" i="22"/>
  <c r="E49" i="22"/>
  <c r="D50" i="22"/>
  <c r="E50" i="22"/>
  <c r="D51" i="22"/>
  <c r="E51" i="22"/>
  <c r="D52" i="22"/>
  <c r="E52" i="22"/>
  <c r="D53" i="22"/>
  <c r="E53" i="22"/>
  <c r="D54" i="22"/>
  <c r="E54" i="22"/>
  <c r="D55" i="22"/>
  <c r="E55" i="22"/>
  <c r="D56" i="22"/>
  <c r="E56" i="22"/>
  <c r="D57" i="22"/>
  <c r="E57" i="22"/>
  <c r="D58" i="22"/>
  <c r="E58" i="22"/>
  <c r="D59" i="22"/>
  <c r="E59" i="22"/>
  <c r="D60" i="22"/>
  <c r="E60" i="22"/>
  <c r="D61" i="22"/>
  <c r="E61" i="22"/>
  <c r="D62" i="22"/>
  <c r="E62" i="22"/>
  <c r="D63" i="22"/>
  <c r="E63" i="22"/>
  <c r="D64" i="22"/>
  <c r="E64" i="22"/>
  <c r="D65" i="22"/>
  <c r="E65" i="22"/>
  <c r="D66" i="22"/>
  <c r="E66" i="22"/>
  <c r="D67" i="22"/>
  <c r="E67" i="22"/>
  <c r="D68" i="22"/>
  <c r="E68" i="22"/>
  <c r="D69" i="22"/>
  <c r="E69" i="22"/>
  <c r="D70" i="22"/>
  <c r="E70" i="22"/>
  <c r="D71" i="22"/>
  <c r="E71" i="22"/>
  <c r="D72" i="22"/>
  <c r="E72" i="22"/>
  <c r="D73" i="22"/>
  <c r="E73" i="22"/>
  <c r="D74" i="22"/>
  <c r="E74" i="22"/>
  <c r="D75" i="22"/>
  <c r="E75" i="22"/>
  <c r="D76" i="22"/>
  <c r="E76" i="22"/>
  <c r="D77" i="22"/>
  <c r="E77" i="22"/>
  <c r="D78" i="22"/>
  <c r="E78" i="22"/>
  <c r="D79" i="22"/>
  <c r="E79" i="22"/>
  <c r="H8" i="21" a="1"/>
  <c r="H9" i="21"/>
  <c r="H10" i="21"/>
  <c r="H11" i="21"/>
  <c r="H12" i="21"/>
  <c r="H13" i="21"/>
  <c r="H14" i="21"/>
  <c r="H15" i="21"/>
  <c r="H16" i="21"/>
  <c r="H17" i="21"/>
  <c r="H18" i="21"/>
  <c r="H19" i="21"/>
  <c r="H20" i="21"/>
  <c r="H21" i="21"/>
  <c r="H22" i="21"/>
  <c r="H23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" i="21"/>
  <c r="I8" i="21"/>
  <c r="J8" i="21"/>
  <c r="I9" i="21"/>
  <c r="J9" i="21"/>
  <c r="I10" i="21"/>
  <c r="J10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I19" i="21"/>
  <c r="J19" i="21"/>
  <c r="I20" i="21"/>
  <c r="J20" i="21"/>
  <c r="I21" i="21"/>
  <c r="J21" i="21"/>
  <c r="I22" i="21"/>
  <c r="J22" i="21"/>
  <c r="I23" i="21"/>
  <c r="J23" i="21"/>
  <c r="I24" i="21"/>
  <c r="J24" i="21"/>
  <c r="I25" i="21"/>
  <c r="J25" i="21"/>
  <c r="I26" i="21"/>
  <c r="J26" i="21"/>
  <c r="I27" i="21"/>
  <c r="J27" i="21"/>
  <c r="I28" i="21"/>
  <c r="J28" i="21"/>
  <c r="I29" i="21"/>
  <c r="J29" i="21"/>
  <c r="I30" i="21"/>
  <c r="J30" i="21"/>
  <c r="I31" i="21"/>
  <c r="J31" i="21"/>
  <c r="K32" i="21"/>
  <c r="I32" i="21"/>
  <c r="J32" i="21"/>
  <c r="I33" i="21"/>
  <c r="J33" i="21"/>
  <c r="I34" i="21"/>
  <c r="J34" i="21"/>
  <c r="I35" i="21"/>
  <c r="J35" i="21"/>
  <c r="I36" i="21"/>
  <c r="J36" i="21"/>
  <c r="I37" i="21"/>
  <c r="J37" i="21"/>
  <c r="I38" i="21"/>
  <c r="J38" i="21"/>
  <c r="I39" i="21"/>
  <c r="J39" i="21"/>
  <c r="I40" i="21"/>
  <c r="J40" i="21"/>
  <c r="I41" i="21"/>
  <c r="J41" i="21"/>
  <c r="I42" i="21"/>
  <c r="J42" i="21"/>
  <c r="I43" i="21"/>
  <c r="J43" i="21"/>
  <c r="I44" i="21"/>
  <c r="J44" i="21"/>
  <c r="I45" i="21"/>
  <c r="J45" i="21"/>
  <c r="I46" i="21"/>
  <c r="J46" i="21"/>
  <c r="I47" i="21"/>
  <c r="J47" i="21"/>
  <c r="I48" i="21"/>
  <c r="J48" i="21"/>
  <c r="I49" i="21"/>
  <c r="J49" i="21"/>
  <c r="I50" i="21"/>
  <c r="J50" i="21"/>
  <c r="I51" i="21"/>
  <c r="J51" i="21"/>
  <c r="I52" i="21"/>
  <c r="J52" i="21"/>
  <c r="I53" i="21"/>
  <c r="J53" i="21"/>
  <c r="I54" i="21"/>
  <c r="J54" i="21"/>
  <c r="I55" i="21"/>
  <c r="J55" i="21"/>
  <c r="I56" i="21"/>
  <c r="J56" i="21"/>
  <c r="I57" i="21"/>
  <c r="J57" i="21"/>
  <c r="I58" i="21"/>
  <c r="J58" i="21"/>
  <c r="I59" i="21"/>
  <c r="J59" i="21"/>
  <c r="I60" i="21"/>
  <c r="J60" i="21"/>
  <c r="I61" i="21"/>
  <c r="J61" i="21"/>
  <c r="I62" i="21"/>
  <c r="J62" i="21"/>
  <c r="I63" i="21"/>
  <c r="J63" i="21"/>
  <c r="I64" i="21"/>
  <c r="J64" i="21"/>
  <c r="I65" i="21"/>
  <c r="J65" i="21"/>
  <c r="I66" i="21"/>
  <c r="J66" i="21"/>
  <c r="I67" i="21"/>
  <c r="J67" i="21"/>
  <c r="I68" i="21"/>
  <c r="J68" i="21"/>
  <c r="I69" i="21"/>
  <c r="J69" i="21"/>
  <c r="I70" i="21"/>
  <c r="J70" i="21"/>
  <c r="I71" i="21"/>
  <c r="J71" i="21"/>
  <c r="I72" i="21"/>
  <c r="J72" i="21"/>
  <c r="I73" i="21"/>
  <c r="J73" i="21"/>
  <c r="I74" i="21"/>
  <c r="J74" i="21"/>
  <c r="I75" i="21"/>
  <c r="J75" i="21"/>
  <c r="I76" i="21"/>
  <c r="J76" i="21"/>
  <c r="I77" i="21"/>
  <c r="J77" i="21"/>
  <c r="I78" i="21"/>
  <c r="J78" i="21"/>
  <c r="I79" i="21"/>
  <c r="J79" i="21"/>
  <c r="C8" i="21" a="1"/>
  <c r="C9" i="21"/>
  <c r="C10" i="21"/>
  <c r="C11" i="21"/>
  <c r="C12" i="21"/>
  <c r="C13" i="21"/>
  <c r="C14" i="21"/>
  <c r="C15" i="21"/>
  <c r="C16" i="21"/>
  <c r="C17" i="21"/>
  <c r="C18" i="21"/>
  <c r="C19" i="21"/>
  <c r="C20" i="21"/>
  <c r="C21" i="21"/>
  <c r="C22" i="21"/>
  <c r="C23" i="21"/>
  <c r="C24" i="21"/>
  <c r="C25" i="21"/>
  <c r="C26" i="21"/>
  <c r="C27" i="21"/>
  <c r="C28" i="21"/>
  <c r="C29" i="21"/>
  <c r="C30" i="21"/>
  <c r="C31" i="21"/>
  <c r="C32" i="21"/>
  <c r="C33" i="21"/>
  <c r="C34" i="21"/>
  <c r="C35" i="21"/>
  <c r="C36" i="21"/>
  <c r="C37" i="21"/>
  <c r="C38" i="21"/>
  <c r="C39" i="21"/>
  <c r="C40" i="21"/>
  <c r="C41" i="21"/>
  <c r="C42" i="21"/>
  <c r="C43" i="21"/>
  <c r="C44" i="21"/>
  <c r="C45" i="21"/>
  <c r="C46" i="21"/>
  <c r="C47" i="21"/>
  <c r="C48" i="21"/>
  <c r="C49" i="21"/>
  <c r="C50" i="21"/>
  <c r="C51" i="21"/>
  <c r="C52" i="21"/>
  <c r="C53" i="21"/>
  <c r="C54" i="21"/>
  <c r="C55" i="21"/>
  <c r="C56" i="21"/>
  <c r="C57" i="21"/>
  <c r="C58" i="21"/>
  <c r="C59" i="21"/>
  <c r="C60" i="21"/>
  <c r="C61" i="21"/>
  <c r="C62" i="21"/>
  <c r="C63" i="21"/>
  <c r="C64" i="21"/>
  <c r="C65" i="21"/>
  <c r="C66" i="21"/>
  <c r="C67" i="21"/>
  <c r="C68" i="21"/>
  <c r="C69" i="21"/>
  <c r="C70" i="21"/>
  <c r="C71" i="21"/>
  <c r="C72" i="21"/>
  <c r="C73" i="21"/>
  <c r="C74" i="21"/>
  <c r="C75" i="21"/>
  <c r="C76" i="21"/>
  <c r="C77" i="21"/>
  <c r="C78" i="21"/>
  <c r="C79" i="21"/>
  <c r="C8" i="21"/>
  <c r="D8" i="21"/>
  <c r="E8" i="21"/>
  <c r="D9" i="21"/>
  <c r="E9" i="21"/>
  <c r="D10" i="21"/>
  <c r="E10" i="21"/>
  <c r="D11" i="21"/>
  <c r="E11" i="21"/>
  <c r="D12" i="21"/>
  <c r="E12" i="21"/>
  <c r="D13" i="21"/>
  <c r="E13" i="21"/>
  <c r="D14" i="21"/>
  <c r="E14" i="21"/>
  <c r="D15" i="21"/>
  <c r="E15" i="21"/>
  <c r="D16" i="21"/>
  <c r="E16" i="21"/>
  <c r="D17" i="21"/>
  <c r="E17" i="21"/>
  <c r="D18" i="21"/>
  <c r="E18" i="21"/>
  <c r="D19" i="21"/>
  <c r="E19" i="21"/>
  <c r="D20" i="21"/>
  <c r="E20" i="21"/>
  <c r="D21" i="21"/>
  <c r="E21" i="21"/>
  <c r="D22" i="21"/>
  <c r="E22" i="21"/>
  <c r="D23" i="21"/>
  <c r="E23" i="21"/>
  <c r="D24" i="21"/>
  <c r="E24" i="21"/>
  <c r="D25" i="21"/>
  <c r="E25" i="21"/>
  <c r="D26" i="21"/>
  <c r="E26" i="21"/>
  <c r="D27" i="21"/>
  <c r="E27" i="21"/>
  <c r="D28" i="21"/>
  <c r="E28" i="21"/>
  <c r="D29" i="21"/>
  <c r="E29" i="21"/>
  <c r="D30" i="21"/>
  <c r="E30" i="21"/>
  <c r="D31" i="21"/>
  <c r="E31" i="21"/>
  <c r="D32" i="21"/>
  <c r="E32" i="21"/>
  <c r="D33" i="21"/>
  <c r="E33" i="21"/>
  <c r="D34" i="21"/>
  <c r="E34" i="21"/>
  <c r="D35" i="21"/>
  <c r="E35" i="21"/>
  <c r="D36" i="21"/>
  <c r="E36" i="21"/>
  <c r="D37" i="21"/>
  <c r="E37" i="21"/>
  <c r="D38" i="21"/>
  <c r="E38" i="21"/>
  <c r="D39" i="21"/>
  <c r="E39" i="21"/>
  <c r="D40" i="21"/>
  <c r="E40" i="21"/>
  <c r="D41" i="21"/>
  <c r="E41" i="21"/>
  <c r="D42" i="21"/>
  <c r="E42" i="21"/>
  <c r="D43" i="21"/>
  <c r="E43" i="21"/>
  <c r="D44" i="21"/>
  <c r="E44" i="21"/>
  <c r="D45" i="21"/>
  <c r="E45" i="21"/>
  <c r="D46" i="21"/>
  <c r="E46" i="21"/>
  <c r="D47" i="21"/>
  <c r="E47" i="21"/>
  <c r="D48" i="21"/>
  <c r="E48" i="21"/>
  <c r="D49" i="21"/>
  <c r="E49" i="21"/>
  <c r="D50" i="21"/>
  <c r="E50" i="21"/>
  <c r="D51" i="21"/>
  <c r="E51" i="21"/>
  <c r="D52" i="21"/>
  <c r="E52" i="21"/>
  <c r="D53" i="21"/>
  <c r="E53" i="21"/>
  <c r="D54" i="21"/>
  <c r="E54" i="21"/>
  <c r="D55" i="21"/>
  <c r="E55" i="21"/>
  <c r="D56" i="21"/>
  <c r="E56" i="21"/>
  <c r="D57" i="21"/>
  <c r="E57" i="21"/>
  <c r="D58" i="21"/>
  <c r="E58" i="21"/>
  <c r="D59" i="21"/>
  <c r="E59" i="21"/>
  <c r="D60" i="21"/>
  <c r="E60" i="21"/>
  <c r="D61" i="21"/>
  <c r="E61" i="21"/>
  <c r="D62" i="21"/>
  <c r="E62" i="21"/>
  <c r="D63" i="21"/>
  <c r="E63" i="21"/>
  <c r="D64" i="21"/>
  <c r="E64" i="21"/>
  <c r="D65" i="21"/>
  <c r="E65" i="21"/>
  <c r="D66" i="21"/>
  <c r="E66" i="21"/>
  <c r="D67" i="21"/>
  <c r="E67" i="21"/>
  <c r="D68" i="21"/>
  <c r="E68" i="21"/>
  <c r="D69" i="21"/>
  <c r="E69" i="21"/>
  <c r="D70" i="21"/>
  <c r="E70" i="21"/>
  <c r="D71" i="21"/>
  <c r="E71" i="21"/>
  <c r="D72" i="21"/>
  <c r="E72" i="21"/>
  <c r="D73" i="21"/>
  <c r="E73" i="21"/>
  <c r="D74" i="21"/>
  <c r="E74" i="21"/>
  <c r="D75" i="21"/>
  <c r="E75" i="21"/>
  <c r="D76" i="21"/>
  <c r="E76" i="21"/>
  <c r="D77" i="21"/>
  <c r="E77" i="21"/>
  <c r="D78" i="21"/>
  <c r="E78" i="21"/>
  <c r="D79" i="21"/>
  <c r="E79" i="21"/>
  <c r="AC58" i="19"/>
  <c r="BY58" i="19"/>
  <c r="AC147" i="19"/>
  <c r="D156" i="19"/>
  <c r="D157" i="19"/>
  <c r="AC193" i="19"/>
  <c r="AC55" i="19"/>
  <c r="H8" i="18" a="1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42" i="18"/>
  <c r="H43" i="18"/>
  <c r="H44" i="18"/>
  <c r="H45" i="18"/>
  <c r="H46" i="18"/>
  <c r="H47" i="18"/>
  <c r="H48" i="18"/>
  <c r="H49" i="18"/>
  <c r="H50" i="18"/>
  <c r="H51" i="18"/>
  <c r="H52" i="18"/>
  <c r="H53" i="18"/>
  <c r="H54" i="18"/>
  <c r="H55" i="18"/>
  <c r="H56" i="18"/>
  <c r="H57" i="18"/>
  <c r="H58" i="18"/>
  <c r="H59" i="18"/>
  <c r="H60" i="18"/>
  <c r="H61" i="18"/>
  <c r="H62" i="18"/>
  <c r="H63" i="18"/>
  <c r="H64" i="18"/>
  <c r="H65" i="18"/>
  <c r="H66" i="18"/>
  <c r="H67" i="18"/>
  <c r="H68" i="18"/>
  <c r="H69" i="18"/>
  <c r="H70" i="18"/>
  <c r="H71" i="18"/>
  <c r="H72" i="18"/>
  <c r="H73" i="18"/>
  <c r="H74" i="18"/>
  <c r="H75" i="18"/>
  <c r="H76" i="18"/>
  <c r="H77" i="18"/>
  <c r="H78" i="18"/>
  <c r="H79" i="18"/>
  <c r="H8" i="18"/>
  <c r="I8" i="18"/>
  <c r="J8" i="18"/>
  <c r="I9" i="18"/>
  <c r="J9" i="18"/>
  <c r="I10" i="18"/>
  <c r="J10" i="18"/>
  <c r="I11" i="18"/>
  <c r="J11" i="18"/>
  <c r="I12" i="18"/>
  <c r="J12" i="18"/>
  <c r="I13" i="18"/>
  <c r="J13" i="18"/>
  <c r="I14" i="18"/>
  <c r="I15" i="18"/>
  <c r="I16" i="18"/>
  <c r="I17" i="18"/>
  <c r="I18" i="18"/>
  <c r="I19" i="18"/>
  <c r="I20" i="18"/>
  <c r="I21" i="18"/>
  <c r="I22" i="18"/>
  <c r="J22" i="18"/>
  <c r="T57" i="20"/>
  <c r="T55" i="20"/>
  <c r="BY57" i="20"/>
  <c r="BY55" i="20"/>
  <c r="T114" i="20"/>
  <c r="T132" i="20"/>
  <c r="J14" i="18"/>
  <c r="J15" i="18"/>
  <c r="J16" i="18"/>
  <c r="J17" i="18"/>
  <c r="J18" i="18"/>
  <c r="J19" i="18"/>
  <c r="J20" i="18"/>
  <c r="J21" i="18"/>
  <c r="I23" i="18"/>
  <c r="J23" i="18"/>
  <c r="I24" i="18"/>
  <c r="J24" i="18"/>
  <c r="I25" i="18"/>
  <c r="J25" i="18"/>
  <c r="I26" i="18"/>
  <c r="J26" i="18"/>
  <c r="I27" i="18"/>
  <c r="J27" i="18"/>
  <c r="I28" i="18"/>
  <c r="J28" i="18"/>
  <c r="I29" i="18"/>
  <c r="J29" i="18"/>
  <c r="I30" i="18"/>
  <c r="J30" i="18"/>
  <c r="I31" i="18"/>
  <c r="J31" i="18"/>
  <c r="I32" i="18"/>
  <c r="J32" i="18"/>
  <c r="I33" i="18"/>
  <c r="J33" i="18"/>
  <c r="I34" i="18"/>
  <c r="J34" i="18"/>
  <c r="I35" i="18"/>
  <c r="J35" i="18"/>
  <c r="I36" i="18"/>
  <c r="J36" i="18"/>
  <c r="I37" i="18"/>
  <c r="J37" i="18"/>
  <c r="I38" i="18"/>
  <c r="J38" i="18"/>
  <c r="I39" i="18"/>
  <c r="J39" i="18"/>
  <c r="I40" i="18"/>
  <c r="J40" i="18"/>
  <c r="I41" i="18"/>
  <c r="J41" i="18"/>
  <c r="I42" i="18"/>
  <c r="J42" i="18"/>
  <c r="I43" i="18"/>
  <c r="J43" i="18"/>
  <c r="I44" i="18"/>
  <c r="J44" i="18"/>
  <c r="I45" i="18"/>
  <c r="J45" i="18"/>
  <c r="I46" i="18"/>
  <c r="J46" i="18"/>
  <c r="I47" i="18"/>
  <c r="J47" i="18"/>
  <c r="I48" i="18"/>
  <c r="J48" i="18"/>
  <c r="I49" i="18"/>
  <c r="J49" i="18"/>
  <c r="I50" i="18"/>
  <c r="J50" i="18"/>
  <c r="I51" i="18"/>
  <c r="J51" i="18"/>
  <c r="I52" i="18"/>
  <c r="J52" i="18"/>
  <c r="I53" i="18"/>
  <c r="J53" i="18"/>
  <c r="I54" i="18"/>
  <c r="J54" i="18"/>
  <c r="I55" i="18"/>
  <c r="J55" i="18"/>
  <c r="I56" i="18"/>
  <c r="J56" i="18"/>
  <c r="I57" i="18"/>
  <c r="J57" i="18"/>
  <c r="I58" i="18"/>
  <c r="J58" i="18"/>
  <c r="I59" i="18"/>
  <c r="J59" i="18"/>
  <c r="I60" i="18"/>
  <c r="J60" i="18"/>
  <c r="I61" i="18"/>
  <c r="J61" i="18"/>
  <c r="I62" i="18"/>
  <c r="J62" i="18"/>
  <c r="I63" i="18"/>
  <c r="J63" i="18"/>
  <c r="I64" i="18"/>
  <c r="J64" i="18"/>
  <c r="I65" i="18"/>
  <c r="J65" i="18"/>
  <c r="I66" i="18"/>
  <c r="J66" i="18"/>
  <c r="I67" i="18"/>
  <c r="J67" i="18"/>
  <c r="I68" i="18"/>
  <c r="J68" i="18"/>
  <c r="I69" i="18"/>
  <c r="J69" i="18"/>
  <c r="I70" i="18"/>
  <c r="J70" i="18"/>
  <c r="I71" i="18"/>
  <c r="J71" i="18"/>
  <c r="I72" i="18"/>
  <c r="J72" i="18"/>
  <c r="I73" i="18"/>
  <c r="J73" i="18"/>
  <c r="I74" i="18"/>
  <c r="J74" i="18"/>
  <c r="I75" i="18"/>
  <c r="J75" i="18"/>
  <c r="I76" i="18"/>
  <c r="J76" i="18"/>
  <c r="I77" i="18"/>
  <c r="J77" i="18"/>
  <c r="I78" i="18"/>
  <c r="J78" i="18"/>
  <c r="I79" i="18"/>
  <c r="J79" i="18"/>
  <c r="C8" i="18" a="1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C48" i="18"/>
  <c r="C49" i="18"/>
  <c r="C50" i="18"/>
  <c r="C51" i="18"/>
  <c r="C52" i="18"/>
  <c r="C53" i="18"/>
  <c r="C54" i="18"/>
  <c r="C55" i="18"/>
  <c r="C56" i="18"/>
  <c r="C57" i="18"/>
  <c r="C58" i="18"/>
  <c r="C59" i="18"/>
  <c r="C60" i="18"/>
  <c r="C61" i="18"/>
  <c r="C62" i="18"/>
  <c r="C63" i="18"/>
  <c r="C64" i="18"/>
  <c r="C65" i="18"/>
  <c r="C66" i="18"/>
  <c r="C67" i="18"/>
  <c r="C68" i="18"/>
  <c r="C69" i="18"/>
  <c r="C70" i="18"/>
  <c r="C71" i="18"/>
  <c r="C72" i="18"/>
  <c r="C73" i="18"/>
  <c r="C74" i="18"/>
  <c r="C75" i="18"/>
  <c r="C76" i="18"/>
  <c r="C77" i="18"/>
  <c r="C78" i="18"/>
  <c r="C79" i="18"/>
  <c r="C8" i="18"/>
  <c r="D8" i="18"/>
  <c r="E8" i="18"/>
  <c r="D9" i="18"/>
  <c r="E9" i="18"/>
  <c r="D10" i="18"/>
  <c r="E10" i="18"/>
  <c r="D11" i="18"/>
  <c r="E11" i="18"/>
  <c r="D12" i="18"/>
  <c r="E12" i="18"/>
  <c r="D13" i="18"/>
  <c r="E13" i="18"/>
  <c r="D14" i="18"/>
  <c r="E14" i="18"/>
  <c r="D15" i="18"/>
  <c r="E15" i="18"/>
  <c r="D16" i="18"/>
  <c r="E16" i="18"/>
  <c r="D17" i="18"/>
  <c r="E17" i="18"/>
  <c r="D18" i="18"/>
  <c r="E18" i="18"/>
  <c r="D19" i="18"/>
  <c r="E19" i="18"/>
  <c r="D20" i="18"/>
  <c r="E20" i="18"/>
  <c r="D21" i="18"/>
  <c r="E21" i="18"/>
  <c r="D22" i="18"/>
  <c r="E22" i="18"/>
  <c r="D23" i="18"/>
  <c r="E23" i="18"/>
  <c r="D24" i="18"/>
  <c r="E24" i="18"/>
  <c r="D25" i="18"/>
  <c r="E25" i="18"/>
  <c r="D26" i="18"/>
  <c r="E26" i="18"/>
  <c r="D27" i="18"/>
  <c r="E27" i="18"/>
  <c r="D28" i="18"/>
  <c r="E28" i="18"/>
  <c r="D29" i="18"/>
  <c r="E29" i="18"/>
  <c r="D30" i="18"/>
  <c r="E30" i="18"/>
  <c r="D31" i="18"/>
  <c r="E31" i="18"/>
  <c r="D32" i="18"/>
  <c r="E32" i="18"/>
  <c r="D33" i="18"/>
  <c r="E33" i="18"/>
  <c r="D34" i="18"/>
  <c r="E34" i="18"/>
  <c r="D35" i="18"/>
  <c r="E35" i="18"/>
  <c r="D36" i="18"/>
  <c r="E36" i="18"/>
  <c r="D37" i="18"/>
  <c r="E37" i="18"/>
  <c r="D38" i="18"/>
  <c r="E38" i="18"/>
  <c r="D39" i="18"/>
  <c r="E39" i="18"/>
  <c r="D40" i="18"/>
  <c r="E40" i="18"/>
  <c r="D41" i="18"/>
  <c r="E41" i="18"/>
  <c r="D42" i="18"/>
  <c r="E42" i="18"/>
  <c r="D43" i="18"/>
  <c r="E43" i="18"/>
  <c r="D44" i="18"/>
  <c r="E44" i="18"/>
  <c r="D45" i="18"/>
  <c r="E45" i="18"/>
  <c r="D46" i="18"/>
  <c r="E46" i="18"/>
  <c r="D47" i="18"/>
  <c r="E47" i="18"/>
  <c r="D48" i="18"/>
  <c r="E48" i="18"/>
  <c r="D49" i="18"/>
  <c r="E49" i="18"/>
  <c r="D50" i="18"/>
  <c r="E50" i="18"/>
  <c r="D51" i="18"/>
  <c r="E51" i="18"/>
  <c r="D52" i="18"/>
  <c r="E52" i="18"/>
  <c r="D53" i="18"/>
  <c r="E53" i="18"/>
  <c r="D54" i="18"/>
  <c r="E54" i="18"/>
  <c r="D55" i="18"/>
  <c r="E55" i="18"/>
  <c r="D56" i="18"/>
  <c r="E56" i="18"/>
  <c r="D57" i="18"/>
  <c r="E57" i="18"/>
  <c r="D58" i="18"/>
  <c r="E58" i="18"/>
  <c r="D59" i="18"/>
  <c r="E59" i="18"/>
  <c r="D60" i="18"/>
  <c r="E60" i="18"/>
  <c r="D61" i="18"/>
  <c r="E61" i="18"/>
  <c r="D62" i="18"/>
  <c r="E62" i="18"/>
  <c r="D63" i="18"/>
  <c r="E63" i="18"/>
  <c r="D64" i="18"/>
  <c r="E64" i="18"/>
  <c r="D65" i="18"/>
  <c r="E65" i="18"/>
  <c r="D66" i="18"/>
  <c r="E66" i="18"/>
  <c r="D67" i="18"/>
  <c r="E67" i="18"/>
  <c r="D68" i="18"/>
  <c r="E68" i="18"/>
  <c r="D69" i="18"/>
  <c r="E69" i="18"/>
  <c r="D70" i="18"/>
  <c r="E70" i="18"/>
  <c r="D71" i="18"/>
  <c r="E71" i="18"/>
  <c r="D72" i="18"/>
  <c r="E72" i="18"/>
  <c r="D73" i="18"/>
  <c r="E73" i="18"/>
  <c r="D74" i="18"/>
  <c r="E74" i="18"/>
  <c r="D75" i="18"/>
  <c r="E75" i="18"/>
  <c r="D76" i="18"/>
  <c r="E76" i="18"/>
  <c r="D77" i="18"/>
  <c r="E77" i="18"/>
  <c r="D78" i="18"/>
  <c r="E78" i="18"/>
  <c r="D79" i="18"/>
  <c r="E79" i="18"/>
  <c r="AA56" i="17"/>
  <c r="BY56" i="17"/>
  <c r="AA115" i="17"/>
  <c r="BY55" i="17"/>
  <c r="AA55" i="17"/>
  <c r="AA57" i="16"/>
  <c r="BY57" i="16"/>
  <c r="AA133" i="16"/>
  <c r="T55" i="14"/>
  <c r="BY55" i="14"/>
  <c r="T112" i="14"/>
  <c r="T130" i="14"/>
  <c r="BY53" i="14"/>
  <c r="T53" i="14"/>
  <c r="H8" i="13" a="1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" i="13"/>
  <c r="I8" i="13"/>
  <c r="J8" i="13"/>
  <c r="I9" i="13"/>
  <c r="J9" i="13"/>
  <c r="I10" i="13"/>
  <c r="J10" i="13"/>
  <c r="I11" i="13"/>
  <c r="J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I19" i="13"/>
  <c r="J19" i="13"/>
  <c r="I20" i="13"/>
  <c r="J20" i="13"/>
  <c r="I21" i="13"/>
  <c r="J21" i="13"/>
  <c r="I22" i="13"/>
  <c r="J22" i="13"/>
  <c r="I23" i="13"/>
  <c r="J23" i="13"/>
  <c r="I24" i="13"/>
  <c r="J24" i="13"/>
  <c r="I25" i="13"/>
  <c r="J25" i="13"/>
  <c r="I26" i="13"/>
  <c r="J26" i="13"/>
  <c r="I27" i="13"/>
  <c r="J27" i="13"/>
  <c r="I28" i="13"/>
  <c r="J28" i="13"/>
  <c r="I29" i="13"/>
  <c r="J29" i="13"/>
  <c r="I30" i="13"/>
  <c r="J30" i="13"/>
  <c r="I31" i="13"/>
  <c r="J31" i="13"/>
  <c r="I32" i="13"/>
  <c r="J32" i="13"/>
  <c r="I33" i="13"/>
  <c r="J33" i="13"/>
  <c r="I34" i="13"/>
  <c r="J34" i="13"/>
  <c r="I35" i="13"/>
  <c r="J35" i="13"/>
  <c r="I36" i="13"/>
  <c r="J36" i="13"/>
  <c r="I37" i="13"/>
  <c r="J37" i="13"/>
  <c r="I38" i="13"/>
  <c r="J38" i="13"/>
  <c r="I39" i="13"/>
  <c r="J39" i="13"/>
  <c r="I40" i="13"/>
  <c r="J40" i="13"/>
  <c r="I41" i="13"/>
  <c r="J41" i="13"/>
  <c r="I42" i="13"/>
  <c r="J42" i="13"/>
  <c r="I43" i="13"/>
  <c r="J43" i="13"/>
  <c r="I44" i="13"/>
  <c r="J44" i="13"/>
  <c r="I45" i="13"/>
  <c r="J45" i="13"/>
  <c r="I46" i="13"/>
  <c r="J46" i="13"/>
  <c r="I47" i="13"/>
  <c r="J47" i="13"/>
  <c r="I48" i="13"/>
  <c r="J48" i="13"/>
  <c r="I49" i="13"/>
  <c r="J49" i="13"/>
  <c r="I50" i="13"/>
  <c r="J50" i="13"/>
  <c r="I51" i="13"/>
  <c r="J51" i="13"/>
  <c r="I52" i="13"/>
  <c r="J52" i="13"/>
  <c r="I53" i="13"/>
  <c r="J53" i="13"/>
  <c r="I54" i="13"/>
  <c r="J54" i="13"/>
  <c r="I55" i="13"/>
  <c r="J55" i="13"/>
  <c r="I56" i="13"/>
  <c r="J56" i="13"/>
  <c r="I57" i="13"/>
  <c r="J57" i="13"/>
  <c r="I58" i="13"/>
  <c r="J58" i="13"/>
  <c r="I59" i="13"/>
  <c r="J59" i="13"/>
  <c r="I60" i="13"/>
  <c r="J60" i="13"/>
  <c r="I61" i="13"/>
  <c r="J61" i="13"/>
  <c r="I62" i="13"/>
  <c r="J62" i="13"/>
  <c r="I63" i="13"/>
  <c r="J63" i="13"/>
  <c r="I64" i="13"/>
  <c r="J64" i="13"/>
  <c r="I65" i="13"/>
  <c r="J65" i="13"/>
  <c r="I66" i="13"/>
  <c r="J66" i="13"/>
  <c r="I67" i="13"/>
  <c r="J67" i="13"/>
  <c r="I68" i="13"/>
  <c r="J68" i="13"/>
  <c r="I69" i="13"/>
  <c r="J69" i="13"/>
  <c r="I70" i="13"/>
  <c r="J70" i="13"/>
  <c r="I71" i="13"/>
  <c r="J71" i="13"/>
  <c r="I72" i="13"/>
  <c r="J72" i="13"/>
  <c r="I73" i="13"/>
  <c r="J73" i="13"/>
  <c r="I74" i="13"/>
  <c r="J74" i="13"/>
  <c r="I75" i="13"/>
  <c r="J75" i="13"/>
  <c r="I76" i="13"/>
  <c r="J76" i="13"/>
  <c r="I77" i="13"/>
  <c r="J77" i="13"/>
  <c r="I78" i="13"/>
  <c r="J78" i="13"/>
  <c r="I79" i="13"/>
  <c r="J79" i="13"/>
  <c r="C8" i="13" a="1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" i="13"/>
  <c r="D8" i="13"/>
  <c r="E8" i="13"/>
  <c r="D9" i="13"/>
  <c r="E9" i="13"/>
  <c r="D10" i="13"/>
  <c r="E10" i="13"/>
  <c r="D11" i="13"/>
  <c r="E11" i="13"/>
  <c r="D12" i="13"/>
  <c r="E12" i="13"/>
  <c r="D13" i="13"/>
  <c r="E13" i="13"/>
  <c r="D14" i="13"/>
  <c r="E14" i="13"/>
  <c r="D15" i="13"/>
  <c r="E15" i="13"/>
  <c r="D16" i="13"/>
  <c r="E16" i="13"/>
  <c r="D17" i="13"/>
  <c r="E17" i="13"/>
  <c r="D18" i="13"/>
  <c r="E18" i="13"/>
  <c r="D19" i="13"/>
  <c r="E19" i="13"/>
  <c r="D20" i="13"/>
  <c r="E20" i="13"/>
  <c r="D21" i="13"/>
  <c r="E21" i="13"/>
  <c r="D22" i="13"/>
  <c r="E22" i="13"/>
  <c r="D23" i="13"/>
  <c r="E23" i="13"/>
  <c r="D24" i="13"/>
  <c r="E24" i="13"/>
  <c r="D25" i="13"/>
  <c r="E25" i="13"/>
  <c r="D26" i="13"/>
  <c r="E26" i="13"/>
  <c r="D27" i="13"/>
  <c r="E27" i="13"/>
  <c r="D28" i="13"/>
  <c r="E28" i="13"/>
  <c r="D29" i="13"/>
  <c r="E29" i="13"/>
  <c r="D30" i="13"/>
  <c r="E30" i="13"/>
  <c r="D31" i="13"/>
  <c r="E31" i="13"/>
  <c r="D32" i="13"/>
  <c r="E32" i="13"/>
  <c r="D33" i="13"/>
  <c r="E33" i="13"/>
  <c r="D34" i="13"/>
  <c r="E34" i="13"/>
  <c r="D35" i="13"/>
  <c r="E35" i="13"/>
  <c r="D36" i="13"/>
  <c r="E36" i="13"/>
  <c r="D37" i="13"/>
  <c r="E37" i="13"/>
  <c r="D38" i="13"/>
  <c r="E38" i="13"/>
  <c r="D39" i="13"/>
  <c r="E39" i="13"/>
  <c r="D40" i="13"/>
  <c r="E40" i="13"/>
  <c r="D41" i="13"/>
  <c r="E41" i="13"/>
  <c r="D42" i="13"/>
  <c r="E42" i="13"/>
  <c r="D43" i="13"/>
  <c r="E43" i="13"/>
  <c r="D44" i="13"/>
  <c r="E44" i="13"/>
  <c r="D45" i="13"/>
  <c r="E45" i="13"/>
  <c r="D46" i="13"/>
  <c r="E46" i="13"/>
  <c r="D47" i="13"/>
  <c r="E47" i="13"/>
  <c r="D48" i="13"/>
  <c r="E48" i="13"/>
  <c r="D49" i="13"/>
  <c r="E49" i="13"/>
  <c r="D50" i="13"/>
  <c r="E50" i="13"/>
  <c r="D51" i="13"/>
  <c r="E51" i="13"/>
  <c r="D52" i="13"/>
  <c r="E52" i="13"/>
  <c r="D53" i="13"/>
  <c r="E53" i="13"/>
  <c r="D54" i="13"/>
  <c r="E54" i="13"/>
  <c r="D55" i="13"/>
  <c r="E55" i="13"/>
  <c r="D56" i="13"/>
  <c r="E56" i="13"/>
  <c r="D57" i="13"/>
  <c r="E57" i="13"/>
  <c r="D58" i="13"/>
  <c r="E58" i="13"/>
  <c r="D59" i="13"/>
  <c r="E59" i="13"/>
  <c r="D60" i="13"/>
  <c r="E60" i="13"/>
  <c r="D61" i="13"/>
  <c r="E61" i="13"/>
  <c r="D62" i="13"/>
  <c r="E62" i="13"/>
  <c r="D63" i="13"/>
  <c r="E63" i="13"/>
  <c r="D64" i="13"/>
  <c r="E64" i="13"/>
  <c r="D65" i="13"/>
  <c r="E65" i="13"/>
  <c r="D66" i="13"/>
  <c r="E66" i="13"/>
  <c r="D67" i="13"/>
  <c r="E67" i="13"/>
  <c r="D68" i="13"/>
  <c r="E68" i="13"/>
  <c r="D69" i="13"/>
  <c r="E69" i="13"/>
  <c r="D70" i="13"/>
  <c r="E70" i="13"/>
  <c r="D71" i="13"/>
  <c r="E71" i="13"/>
  <c r="D72" i="13"/>
  <c r="E72" i="13"/>
  <c r="D73" i="13"/>
  <c r="E73" i="13"/>
  <c r="D74" i="13"/>
  <c r="E74" i="13"/>
  <c r="D75" i="13"/>
  <c r="E75" i="13"/>
  <c r="D76" i="13"/>
  <c r="E76" i="13"/>
  <c r="D77" i="13"/>
  <c r="E77" i="13"/>
  <c r="D78" i="13"/>
  <c r="E78" i="13"/>
  <c r="D79" i="13"/>
  <c r="E79" i="13"/>
  <c r="T55" i="12"/>
  <c r="T53" i="12" s="1"/>
  <c r="T96" i="12" s="1"/>
  <c r="T97" i="12" s="1"/>
  <c r="T98" i="12" s="1"/>
  <c r="H8" i="8" a="1"/>
  <c r="H9" i="8" s="1"/>
  <c r="H13" i="8"/>
  <c r="H15" i="8"/>
  <c r="H16" i="8"/>
  <c r="H19" i="8"/>
  <c r="H21" i="8"/>
  <c r="H27" i="8"/>
  <c r="H28" i="8"/>
  <c r="H29" i="8"/>
  <c r="H31" i="8"/>
  <c r="H35" i="8"/>
  <c r="H39" i="8"/>
  <c r="H40" i="8"/>
  <c r="H43" i="8"/>
  <c r="H44" i="8"/>
  <c r="H47" i="8"/>
  <c r="H52" i="8"/>
  <c r="H53" i="8"/>
  <c r="H55" i="8"/>
  <c r="H56" i="8"/>
  <c r="H60" i="8"/>
  <c r="H64" i="8"/>
  <c r="H67" i="8"/>
  <c r="H68" i="8"/>
  <c r="H69" i="8"/>
  <c r="H72" i="8"/>
  <c r="H77" i="8"/>
  <c r="H79" i="8"/>
  <c r="H8" i="8"/>
  <c r="I8" i="8" s="1"/>
  <c r="AF57" i="6"/>
  <c r="BY57" i="6"/>
  <c r="AF133" i="6"/>
  <c r="AA98" i="17"/>
  <c r="AC98" i="19"/>
  <c r="BY55" i="19"/>
  <c r="BZ17" i="19"/>
  <c r="BY90" i="19"/>
  <c r="T98" i="20"/>
  <c r="T96" i="14"/>
  <c r="AF115" i="6"/>
  <c r="AF55" i="6"/>
  <c r="AF98" i="6"/>
  <c r="AF100" i="6"/>
  <c r="AF101" i="6"/>
  <c r="AF116" i="6"/>
  <c r="D124" i="6"/>
  <c r="D125" i="6"/>
  <c r="BY55" i="6"/>
  <c r="AF136" i="6"/>
  <c r="T97" i="14"/>
  <c r="T98" i="14"/>
  <c r="T131" i="14"/>
  <c r="T133" i="14"/>
  <c r="D135" i="14"/>
  <c r="T134" i="14"/>
  <c r="U134" i="14"/>
  <c r="V134" i="14"/>
  <c r="W134" i="14"/>
  <c r="X134" i="14"/>
  <c r="Y134" i="14"/>
  <c r="Z134" i="14"/>
  <c r="AA134" i="14"/>
  <c r="AB134" i="14"/>
  <c r="AC134" i="14"/>
  <c r="AD134" i="14"/>
  <c r="AE134" i="14"/>
  <c r="AF134" i="14"/>
  <c r="AG134" i="14"/>
  <c r="AH134" i="14"/>
  <c r="AI134" i="14"/>
  <c r="AJ134" i="14"/>
  <c r="AK134" i="14"/>
  <c r="AL134" i="14"/>
  <c r="AM134" i="14"/>
  <c r="AN134" i="14"/>
  <c r="AO134" i="14"/>
  <c r="AP134" i="14"/>
  <c r="AQ134" i="14"/>
  <c r="AR134" i="14"/>
  <c r="AS134" i="14"/>
  <c r="AT134" i="14"/>
  <c r="AU134" i="14"/>
  <c r="AV134" i="14"/>
  <c r="AW134" i="14"/>
  <c r="AX134" i="14"/>
  <c r="AY134" i="14"/>
  <c r="AZ134" i="14"/>
  <c r="BA134" i="14"/>
  <c r="BB134" i="14"/>
  <c r="BC134" i="14"/>
  <c r="BD134" i="14"/>
  <c r="BE134" i="14"/>
  <c r="BF134" i="14"/>
  <c r="BG134" i="14"/>
  <c r="BH134" i="14"/>
  <c r="BI134" i="14"/>
  <c r="BJ134" i="14"/>
  <c r="BK134" i="14"/>
  <c r="BL134" i="14"/>
  <c r="BM134" i="14"/>
  <c r="BN134" i="14"/>
  <c r="BO134" i="14"/>
  <c r="BP134" i="14"/>
  <c r="BQ134" i="14"/>
  <c r="BR134" i="14"/>
  <c r="BS134" i="14"/>
  <c r="BT134" i="14"/>
  <c r="BU134" i="14"/>
  <c r="BV134" i="14"/>
  <c r="BW134" i="14"/>
  <c r="U98" i="14"/>
  <c r="V98" i="14"/>
  <c r="W98" i="14"/>
  <c r="X98" i="14"/>
  <c r="Y98" i="14"/>
  <c r="Z98" i="14"/>
  <c r="AA98" i="14"/>
  <c r="AB98" i="14"/>
  <c r="AC98" i="14"/>
  <c r="AD98" i="14"/>
  <c r="AE98" i="14"/>
  <c r="AF98" i="14"/>
  <c r="AG98" i="14"/>
  <c r="AH98" i="14"/>
  <c r="AI98" i="14"/>
  <c r="AJ98" i="14"/>
  <c r="AK98" i="14"/>
  <c r="AL98" i="14"/>
  <c r="AM98" i="14"/>
  <c r="AN98" i="14"/>
  <c r="AO98" i="14"/>
  <c r="AP98" i="14"/>
  <c r="AQ98" i="14"/>
  <c r="AR98" i="14"/>
  <c r="AS98" i="14"/>
  <c r="AT98" i="14"/>
  <c r="AU98" i="14"/>
  <c r="AV98" i="14"/>
  <c r="AW98" i="14"/>
  <c r="AX98" i="14"/>
  <c r="AY98" i="14"/>
  <c r="AZ98" i="14"/>
  <c r="BA98" i="14"/>
  <c r="BB98" i="14"/>
  <c r="BC98" i="14"/>
  <c r="BD98" i="14"/>
  <c r="BE98" i="14"/>
  <c r="BF98" i="14"/>
  <c r="BG98" i="14"/>
  <c r="BH98" i="14"/>
  <c r="BI98" i="14"/>
  <c r="BJ98" i="14"/>
  <c r="BK98" i="14"/>
  <c r="BL98" i="14"/>
  <c r="BM98" i="14"/>
  <c r="BN98" i="14"/>
  <c r="BO98" i="14"/>
  <c r="BP98" i="14"/>
  <c r="BQ98" i="14"/>
  <c r="BR98" i="14"/>
  <c r="BS98" i="14"/>
  <c r="BT98" i="14"/>
  <c r="BU98" i="14"/>
  <c r="BV98" i="14"/>
  <c r="BW98" i="14"/>
  <c r="BX98" i="14"/>
  <c r="BX102" i="14"/>
  <c r="D103" i="14"/>
  <c r="BX131" i="14"/>
  <c r="BX133" i="14"/>
  <c r="BX134" i="14"/>
  <c r="AA115" i="16"/>
  <c r="AA55" i="16"/>
  <c r="AA98" i="16"/>
  <c r="AA100" i="16"/>
  <c r="AA101" i="16"/>
  <c r="AA116" i="16"/>
  <c r="D124" i="16"/>
  <c r="D125" i="16"/>
  <c r="BY55" i="16"/>
  <c r="AC196" i="19"/>
  <c r="AC99" i="19"/>
  <c r="AC100" i="19"/>
  <c r="AD100" i="19"/>
  <c r="AE100" i="19"/>
  <c r="AF100" i="19"/>
  <c r="AG100" i="19"/>
  <c r="AH100" i="19"/>
  <c r="AI100" i="19"/>
  <c r="AJ100" i="19"/>
  <c r="AK100" i="19"/>
  <c r="AL100" i="19"/>
  <c r="AM100" i="19"/>
  <c r="AN100" i="19"/>
  <c r="AO100" i="19"/>
  <c r="AP100" i="19"/>
  <c r="AQ100" i="19"/>
  <c r="AR100" i="19"/>
  <c r="AS100" i="19"/>
  <c r="AT100" i="19"/>
  <c r="AU100" i="19"/>
  <c r="AV100" i="19"/>
  <c r="AW100" i="19"/>
  <c r="AX100" i="19"/>
  <c r="AY100" i="19"/>
  <c r="AZ100" i="19"/>
  <c r="BA100" i="19"/>
  <c r="BB100" i="19"/>
  <c r="BC100" i="19"/>
  <c r="BD100" i="19"/>
  <c r="BE100" i="19"/>
  <c r="BF100" i="19"/>
  <c r="BG100" i="19"/>
  <c r="BH100" i="19"/>
  <c r="BI100" i="19"/>
  <c r="BJ100" i="19"/>
  <c r="BK100" i="19"/>
  <c r="BL100" i="19"/>
  <c r="BM100" i="19"/>
  <c r="BN100" i="19"/>
  <c r="BO100" i="19"/>
  <c r="BP100" i="19"/>
  <c r="BQ100" i="19"/>
  <c r="BR100" i="19"/>
  <c r="BS100" i="19"/>
  <c r="BT100" i="19"/>
  <c r="BU100" i="19"/>
  <c r="BV100" i="19"/>
  <c r="BW100" i="19"/>
  <c r="BX100" i="19"/>
  <c r="BX104" i="19"/>
  <c r="D105" i="19"/>
  <c r="BX108" i="19"/>
  <c r="BX194" i="19"/>
  <c r="BX196" i="19"/>
  <c r="D198" i="19"/>
  <c r="AC197" i="19"/>
  <c r="AD197" i="19"/>
  <c r="AE197" i="19"/>
  <c r="AF197" i="19"/>
  <c r="AG197" i="19"/>
  <c r="AH197" i="19"/>
  <c r="AI197" i="19"/>
  <c r="AJ197" i="19"/>
  <c r="AK197" i="19"/>
  <c r="AL197" i="19"/>
  <c r="AM197" i="19"/>
  <c r="AN197" i="19"/>
  <c r="AO197" i="19"/>
  <c r="AP197" i="19"/>
  <c r="AQ197" i="19"/>
  <c r="AR197" i="19"/>
  <c r="AS197" i="19"/>
  <c r="AT197" i="19"/>
  <c r="AU197" i="19"/>
  <c r="AV197" i="19"/>
  <c r="AW197" i="19"/>
  <c r="AX197" i="19"/>
  <c r="AY197" i="19"/>
  <c r="AZ197" i="19"/>
  <c r="BA197" i="19"/>
  <c r="BB197" i="19"/>
  <c r="BC197" i="19"/>
  <c r="BD197" i="19"/>
  <c r="BE197" i="19"/>
  <c r="BF197" i="19"/>
  <c r="BG197" i="19"/>
  <c r="BH197" i="19"/>
  <c r="BI197" i="19"/>
  <c r="BJ197" i="19"/>
  <c r="BK197" i="19"/>
  <c r="BL197" i="19"/>
  <c r="BM197" i="19"/>
  <c r="BN197" i="19"/>
  <c r="BO197" i="19"/>
  <c r="BP197" i="19"/>
  <c r="BQ197" i="19"/>
  <c r="BR197" i="19"/>
  <c r="BS197" i="19"/>
  <c r="BT197" i="19"/>
  <c r="BU197" i="19"/>
  <c r="BV197" i="19"/>
  <c r="BW197" i="19"/>
  <c r="BX197" i="19"/>
  <c r="D199" i="19"/>
  <c r="D201" i="19"/>
  <c r="T99" i="20"/>
  <c r="T100" i="20"/>
  <c r="T133" i="20"/>
  <c r="T135" i="20"/>
  <c r="D137" i="20"/>
  <c r="T136" i="20"/>
  <c r="U136" i="20"/>
  <c r="V136" i="20"/>
  <c r="W136" i="20"/>
  <c r="X136" i="20"/>
  <c r="Y136" i="20"/>
  <c r="Z136" i="20"/>
  <c r="AA136" i="20"/>
  <c r="AB136" i="20"/>
  <c r="AC136" i="20"/>
  <c r="AD136" i="20"/>
  <c r="AE136" i="20"/>
  <c r="AF136" i="20"/>
  <c r="AG136" i="20"/>
  <c r="AH136" i="20"/>
  <c r="AI136" i="20"/>
  <c r="AJ136" i="20"/>
  <c r="AK136" i="20"/>
  <c r="AL136" i="20"/>
  <c r="AM136" i="20"/>
  <c r="AN136" i="20"/>
  <c r="AO136" i="20"/>
  <c r="AP136" i="20"/>
  <c r="AQ136" i="20"/>
  <c r="AR136" i="20"/>
  <c r="AS136" i="20"/>
  <c r="AT136" i="20"/>
  <c r="AU136" i="20"/>
  <c r="AV136" i="20"/>
  <c r="AW136" i="20"/>
  <c r="AX136" i="20"/>
  <c r="AY136" i="20"/>
  <c r="AZ136" i="20"/>
  <c r="BA136" i="20"/>
  <c r="BB136" i="20"/>
  <c r="BC136" i="20"/>
  <c r="BD136" i="20"/>
  <c r="BE136" i="20"/>
  <c r="BF136" i="20"/>
  <c r="BG136" i="20"/>
  <c r="BH136" i="20"/>
  <c r="BI136" i="20"/>
  <c r="BJ136" i="20"/>
  <c r="BK136" i="20"/>
  <c r="BL136" i="20"/>
  <c r="BM136" i="20"/>
  <c r="BN136" i="20"/>
  <c r="BO136" i="20"/>
  <c r="BP136" i="20"/>
  <c r="BQ136" i="20"/>
  <c r="BR136" i="20"/>
  <c r="BS136" i="20"/>
  <c r="BT136" i="20"/>
  <c r="BU136" i="20"/>
  <c r="BV136" i="20"/>
  <c r="BW136" i="20"/>
  <c r="U100" i="20"/>
  <c r="V100" i="20"/>
  <c r="W100" i="20"/>
  <c r="X100" i="20"/>
  <c r="Y100" i="20"/>
  <c r="Z100" i="20"/>
  <c r="AA100" i="20"/>
  <c r="AB100" i="20"/>
  <c r="AC100" i="20"/>
  <c r="AD100" i="20"/>
  <c r="AE100" i="20"/>
  <c r="AF100" i="20"/>
  <c r="AG100" i="20"/>
  <c r="AH100" i="20"/>
  <c r="AI100" i="20"/>
  <c r="AJ100" i="20"/>
  <c r="AK100" i="20"/>
  <c r="AL100" i="20"/>
  <c r="AM100" i="20"/>
  <c r="AN100" i="20"/>
  <c r="AO100" i="20"/>
  <c r="AP100" i="20"/>
  <c r="AQ100" i="20"/>
  <c r="AR100" i="20"/>
  <c r="AS100" i="20"/>
  <c r="AT100" i="20"/>
  <c r="AU100" i="20"/>
  <c r="AV100" i="20"/>
  <c r="AW100" i="20"/>
  <c r="AX100" i="20"/>
  <c r="AY100" i="20"/>
  <c r="AZ100" i="20"/>
  <c r="BA100" i="20"/>
  <c r="BB100" i="20"/>
  <c r="BC100" i="20"/>
  <c r="BD100" i="20"/>
  <c r="BE100" i="20"/>
  <c r="BF100" i="20"/>
  <c r="BG100" i="20"/>
  <c r="BH100" i="20"/>
  <c r="BI100" i="20"/>
  <c r="BJ100" i="20"/>
  <c r="BK100" i="20"/>
  <c r="BL100" i="20"/>
  <c r="BM100" i="20"/>
  <c r="BN100" i="20"/>
  <c r="BO100" i="20"/>
  <c r="BP100" i="20"/>
  <c r="BQ100" i="20"/>
  <c r="BR100" i="20"/>
  <c r="BS100" i="20"/>
  <c r="BT100" i="20"/>
  <c r="BU100" i="20"/>
  <c r="BV100" i="20"/>
  <c r="BW100" i="20"/>
  <c r="BX100" i="20"/>
  <c r="BX104" i="20"/>
  <c r="D105" i="20"/>
  <c r="BX133" i="20"/>
  <c r="BX135" i="20"/>
  <c r="BX136" i="20"/>
  <c r="AA115" i="26"/>
  <c r="AA55" i="26"/>
  <c r="AA98" i="26"/>
  <c r="AA100" i="26"/>
  <c r="AA101" i="26"/>
  <c r="AA116" i="26"/>
  <c r="D124" i="26"/>
  <c r="D125" i="26"/>
  <c r="BY55" i="26"/>
  <c r="AA136" i="26"/>
  <c r="AA119" i="26"/>
  <c r="D120" i="26"/>
  <c r="T117" i="20"/>
  <c r="T118" i="20"/>
  <c r="D119" i="20"/>
  <c r="D123" i="20"/>
  <c r="D124" i="20"/>
  <c r="V124" i="20"/>
  <c r="V125" i="20"/>
  <c r="AC150" i="19"/>
  <c r="AC151" i="19"/>
  <c r="AD151" i="19"/>
  <c r="AE151" i="19"/>
  <c r="AF151" i="19"/>
  <c r="AG151" i="19"/>
  <c r="AH151" i="19"/>
  <c r="AI151" i="19"/>
  <c r="AJ151" i="19"/>
  <c r="AK151" i="19"/>
  <c r="AL151" i="19"/>
  <c r="AM151" i="19"/>
  <c r="AN151" i="19"/>
  <c r="AO151" i="19"/>
  <c r="AP151" i="19"/>
  <c r="AQ151" i="19"/>
  <c r="AR151" i="19"/>
  <c r="AS151" i="19"/>
  <c r="AT151" i="19"/>
  <c r="AU151" i="19"/>
  <c r="AV151" i="19"/>
  <c r="AW151" i="19"/>
  <c r="AX151" i="19"/>
  <c r="AY151" i="19"/>
  <c r="AZ151" i="19"/>
  <c r="BA151" i="19"/>
  <c r="BB151" i="19"/>
  <c r="BC151" i="19"/>
  <c r="BD151" i="19"/>
  <c r="BE151" i="19"/>
  <c r="BF151" i="19"/>
  <c r="BG151" i="19"/>
  <c r="BH151" i="19"/>
  <c r="BI151" i="19"/>
  <c r="BJ151" i="19"/>
  <c r="BK151" i="19"/>
  <c r="BL151" i="19"/>
  <c r="BM151" i="19"/>
  <c r="BN151" i="19"/>
  <c r="BO151" i="19"/>
  <c r="BP151" i="19"/>
  <c r="BQ151" i="19"/>
  <c r="BR151" i="19"/>
  <c r="BS151" i="19"/>
  <c r="BT151" i="19"/>
  <c r="BU151" i="19"/>
  <c r="BV151" i="19"/>
  <c r="BW151" i="19"/>
  <c r="BX115" i="19"/>
  <c r="BX148" i="19"/>
  <c r="BX150" i="19"/>
  <c r="BX151" i="19"/>
  <c r="D152" i="19"/>
  <c r="AA119" i="17"/>
  <c r="AA136" i="16"/>
  <c r="AA119" i="16"/>
  <c r="D120" i="16"/>
  <c r="T115" i="14"/>
  <c r="T116" i="14"/>
  <c r="D117" i="14"/>
  <c r="D121" i="14"/>
  <c r="D122" i="14"/>
  <c r="V122" i="14"/>
  <c r="V123" i="14"/>
  <c r="AF119" i="6"/>
  <c r="D120" i="6"/>
  <c r="AF122" i="6"/>
  <c r="AG122" i="6"/>
  <c r="AH122" i="6"/>
  <c r="AF123" i="6"/>
  <c r="BZ17" i="14"/>
  <c r="BY88" i="14"/>
  <c r="BZ17" i="20"/>
  <c r="BY90" i="20"/>
  <c r="BY98" i="19"/>
  <c r="BZ17" i="6"/>
  <c r="BY90" i="6"/>
  <c r="BZ17" i="16"/>
  <c r="BY90" i="16"/>
  <c r="BZ17" i="17"/>
  <c r="BY90" i="17"/>
  <c r="BZ17" i="26"/>
  <c r="BY90" i="26"/>
  <c r="AG101" i="6"/>
  <c r="AH101" i="6"/>
  <c r="AI101" i="6"/>
  <c r="AJ101" i="6"/>
  <c r="AK101" i="6"/>
  <c r="AL101" i="6"/>
  <c r="AM101" i="6"/>
  <c r="AN101" i="6"/>
  <c r="AO101" i="6"/>
  <c r="AP101" i="6"/>
  <c r="AQ101" i="6"/>
  <c r="AR101" i="6"/>
  <c r="AS101" i="6"/>
  <c r="AT101" i="6"/>
  <c r="AU101" i="6"/>
  <c r="AV101" i="6"/>
  <c r="AW101" i="6"/>
  <c r="AX101" i="6"/>
  <c r="AY101" i="6"/>
  <c r="AZ101" i="6"/>
  <c r="BA101" i="6"/>
  <c r="BB101" i="6"/>
  <c r="BC101" i="6"/>
  <c r="BD101" i="6"/>
  <c r="BE101" i="6"/>
  <c r="BF101" i="6"/>
  <c r="BG101" i="6"/>
  <c r="BH101" i="6"/>
  <c r="BI101" i="6"/>
  <c r="BJ101" i="6"/>
  <c r="BK101" i="6"/>
  <c r="BL101" i="6"/>
  <c r="BM101" i="6"/>
  <c r="BN101" i="6"/>
  <c r="BO101" i="6"/>
  <c r="BP101" i="6"/>
  <c r="BQ101" i="6"/>
  <c r="BR101" i="6"/>
  <c r="BS101" i="6"/>
  <c r="BT101" i="6"/>
  <c r="BU101" i="6"/>
  <c r="BV101" i="6"/>
  <c r="BW101" i="6"/>
  <c r="BX101" i="6"/>
  <c r="BX105" i="6"/>
  <c r="D106" i="6"/>
  <c r="BX109" i="6"/>
  <c r="BX116" i="6"/>
  <c r="BX117" i="6"/>
  <c r="BX119" i="6"/>
  <c r="BX150" i="6"/>
  <c r="D158" i="6"/>
  <c r="BX152" i="6"/>
  <c r="BX153" i="6"/>
  <c r="BX134" i="6"/>
  <c r="D142" i="6"/>
  <c r="D143" i="6"/>
  <c r="BX136" i="6"/>
  <c r="BX166" i="6"/>
  <c r="D174" i="6"/>
  <c r="BX168" i="6"/>
  <c r="BX169" i="6"/>
  <c r="D170" i="6"/>
  <c r="BX182" i="6"/>
  <c r="D190" i="6"/>
  <c r="BX184" i="6"/>
  <c r="BX185" i="6"/>
  <c r="D186" i="6"/>
  <c r="BX113" i="14"/>
  <c r="BX114" i="14"/>
  <c r="BX116" i="14"/>
  <c r="BX147" i="14"/>
  <c r="D155" i="14"/>
  <c r="BX149" i="14"/>
  <c r="BX150" i="14"/>
  <c r="D139" i="14"/>
  <c r="D140" i="14"/>
  <c r="BX163" i="14"/>
  <c r="D171" i="14"/>
  <c r="BX165" i="14"/>
  <c r="BX166" i="14"/>
  <c r="D167" i="14"/>
  <c r="BX179" i="14"/>
  <c r="D187" i="14"/>
  <c r="BX181" i="14"/>
  <c r="BX182" i="14"/>
  <c r="D183" i="14"/>
  <c r="BX106" i="14"/>
  <c r="BZ99" i="14"/>
  <c r="AB101" i="16"/>
  <c r="AC101" i="16"/>
  <c r="AD101" i="16"/>
  <c r="AE101" i="16"/>
  <c r="AF101" i="16"/>
  <c r="AG101" i="16"/>
  <c r="AH101" i="16"/>
  <c r="AI101" i="16"/>
  <c r="AJ101" i="16"/>
  <c r="AK101" i="16"/>
  <c r="AL101" i="16"/>
  <c r="AM101" i="16"/>
  <c r="AN101" i="16"/>
  <c r="AO101" i="16"/>
  <c r="AP101" i="16"/>
  <c r="AQ101" i="16"/>
  <c r="AR101" i="16"/>
  <c r="AS101" i="16"/>
  <c r="AT101" i="16"/>
  <c r="AU101" i="16"/>
  <c r="AV101" i="16"/>
  <c r="AW101" i="16"/>
  <c r="AX101" i="16"/>
  <c r="AY101" i="16"/>
  <c r="AZ101" i="16"/>
  <c r="BA101" i="16"/>
  <c r="BB101" i="16"/>
  <c r="BC101" i="16"/>
  <c r="BD101" i="16"/>
  <c r="BE101" i="16"/>
  <c r="BF101" i="16"/>
  <c r="BG101" i="16"/>
  <c r="BH101" i="16"/>
  <c r="BI101" i="16"/>
  <c r="BJ101" i="16"/>
  <c r="BK101" i="16"/>
  <c r="BL101" i="16"/>
  <c r="BM101" i="16"/>
  <c r="BN101" i="16"/>
  <c r="BO101" i="16"/>
  <c r="BP101" i="16"/>
  <c r="BQ101" i="16"/>
  <c r="BR101" i="16"/>
  <c r="BS101" i="16"/>
  <c r="BT101" i="16"/>
  <c r="BU101" i="16"/>
  <c r="BV101" i="16"/>
  <c r="BW101" i="16"/>
  <c r="BX101" i="16"/>
  <c r="BX105" i="16"/>
  <c r="D106" i="16"/>
  <c r="BX109" i="16"/>
  <c r="BX116" i="16"/>
  <c r="BX117" i="16"/>
  <c r="BX119" i="16"/>
  <c r="BX150" i="16"/>
  <c r="D158" i="16"/>
  <c r="BX152" i="16"/>
  <c r="BX153" i="16"/>
  <c r="BX134" i="16"/>
  <c r="D142" i="16"/>
  <c r="D143" i="16"/>
  <c r="BX136" i="16"/>
  <c r="BX166" i="16"/>
  <c r="D174" i="16"/>
  <c r="BX168" i="16"/>
  <c r="BX169" i="16"/>
  <c r="D170" i="16"/>
  <c r="BX182" i="16"/>
  <c r="D190" i="16"/>
  <c r="BX184" i="16"/>
  <c r="BX185" i="16"/>
  <c r="D186" i="16"/>
  <c r="AA100" i="17"/>
  <c r="AA101" i="17"/>
  <c r="AB101" i="17"/>
  <c r="AC101" i="17"/>
  <c r="AD101" i="17"/>
  <c r="AE101" i="17"/>
  <c r="AF101" i="17"/>
  <c r="AG101" i="17"/>
  <c r="AH101" i="17"/>
  <c r="AI101" i="17"/>
  <c r="AJ101" i="17"/>
  <c r="AK101" i="17"/>
  <c r="AL101" i="17"/>
  <c r="AM101" i="17"/>
  <c r="AN101" i="17"/>
  <c r="AO101" i="17"/>
  <c r="AP101" i="17"/>
  <c r="AQ101" i="17"/>
  <c r="AR101" i="17"/>
  <c r="AS101" i="17"/>
  <c r="AT101" i="17"/>
  <c r="AU101" i="17"/>
  <c r="AV101" i="17"/>
  <c r="AW101" i="17"/>
  <c r="AX101" i="17"/>
  <c r="AY101" i="17"/>
  <c r="AZ101" i="17"/>
  <c r="BA101" i="17"/>
  <c r="BB101" i="17"/>
  <c r="BC101" i="17"/>
  <c r="BD101" i="17"/>
  <c r="BE101" i="17"/>
  <c r="BF101" i="17"/>
  <c r="BG101" i="17"/>
  <c r="BH101" i="17"/>
  <c r="BI101" i="17"/>
  <c r="BJ101" i="17"/>
  <c r="BK101" i="17"/>
  <c r="BL101" i="17"/>
  <c r="BM101" i="17"/>
  <c r="BN101" i="17"/>
  <c r="BO101" i="17"/>
  <c r="BP101" i="17"/>
  <c r="BQ101" i="17"/>
  <c r="BR101" i="17"/>
  <c r="BS101" i="17"/>
  <c r="BT101" i="17"/>
  <c r="BU101" i="17"/>
  <c r="BV101" i="17"/>
  <c r="BW101" i="17"/>
  <c r="BX101" i="17"/>
  <c r="BX105" i="17"/>
  <c r="D106" i="17"/>
  <c r="BX116" i="17"/>
  <c r="BX117" i="17"/>
  <c r="BX119" i="17"/>
  <c r="BX150" i="17"/>
  <c r="D158" i="17"/>
  <c r="BX152" i="17"/>
  <c r="BX153" i="17"/>
  <c r="BX134" i="17"/>
  <c r="D142" i="17"/>
  <c r="D143" i="17"/>
  <c r="BX136" i="17"/>
  <c r="BX166" i="17"/>
  <c r="D174" i="17"/>
  <c r="BX168" i="17"/>
  <c r="BX169" i="17"/>
  <c r="D170" i="17"/>
  <c r="BX182" i="17"/>
  <c r="D190" i="17"/>
  <c r="BX184" i="17"/>
  <c r="BX185" i="17"/>
  <c r="D186" i="17"/>
  <c r="BX109" i="17"/>
  <c r="BX116" i="19"/>
  <c r="BX118" i="19"/>
  <c r="BX178" i="19"/>
  <c r="D186" i="19"/>
  <c r="BX180" i="19"/>
  <c r="BX181" i="19"/>
  <c r="BX133" i="19"/>
  <c r="D141" i="19"/>
  <c r="D142" i="19"/>
  <c r="BX135" i="19"/>
  <c r="D202" i="19"/>
  <c r="BX210" i="19"/>
  <c r="D218" i="19"/>
  <c r="BX212" i="19"/>
  <c r="BX213" i="19"/>
  <c r="D214" i="19"/>
  <c r="AC117" i="19"/>
  <c r="AC118" i="19"/>
  <c r="D119" i="19"/>
  <c r="V124" i="19"/>
  <c r="D123" i="19"/>
  <c r="D124" i="19"/>
  <c r="BX115" i="20"/>
  <c r="BX116" i="20"/>
  <c r="BX118" i="20"/>
  <c r="BX149" i="20"/>
  <c r="D157" i="20"/>
  <c r="BX151" i="20"/>
  <c r="BX152" i="20"/>
  <c r="D141" i="20"/>
  <c r="D142" i="20"/>
  <c r="BX165" i="20"/>
  <c r="D173" i="20"/>
  <c r="BX167" i="20"/>
  <c r="BX168" i="20"/>
  <c r="D169" i="20"/>
  <c r="BX181" i="20"/>
  <c r="D189" i="20"/>
  <c r="BX183" i="20"/>
  <c r="BX184" i="20"/>
  <c r="D185" i="20"/>
  <c r="BX108" i="20"/>
  <c r="BZ101" i="20"/>
  <c r="AA128" i="26"/>
  <c r="G129" i="26"/>
  <c r="AB128" i="26"/>
  <c r="AC128" i="26"/>
  <c r="AO128" i="26"/>
  <c r="AB101" i="26"/>
  <c r="AC101" i="26"/>
  <c r="AD101" i="26"/>
  <c r="AE101" i="26"/>
  <c r="AF101" i="26"/>
  <c r="AG101" i="26"/>
  <c r="AH101" i="26"/>
  <c r="AI101" i="26"/>
  <c r="AJ101" i="26"/>
  <c r="AK101" i="26"/>
  <c r="AL101" i="26"/>
  <c r="AM101" i="26"/>
  <c r="AN101" i="26"/>
  <c r="AO101" i="26"/>
  <c r="AP101" i="26"/>
  <c r="AQ101" i="26"/>
  <c r="AR101" i="26"/>
  <c r="AS101" i="26"/>
  <c r="AT101" i="26"/>
  <c r="AU101" i="26"/>
  <c r="AV101" i="26"/>
  <c r="AW101" i="26"/>
  <c r="AX101" i="26"/>
  <c r="AY101" i="26"/>
  <c r="AZ101" i="26"/>
  <c r="BA101" i="26"/>
  <c r="BB101" i="26"/>
  <c r="BC101" i="26"/>
  <c r="BD101" i="26"/>
  <c r="BE101" i="26"/>
  <c r="BF101" i="26"/>
  <c r="BG101" i="26"/>
  <c r="BH101" i="26"/>
  <c r="BI101" i="26"/>
  <c r="BJ101" i="26"/>
  <c r="BK101" i="26"/>
  <c r="BL101" i="26"/>
  <c r="BM101" i="26"/>
  <c r="BN101" i="26"/>
  <c r="BO101" i="26"/>
  <c r="BP101" i="26"/>
  <c r="BQ101" i="26"/>
  <c r="BR101" i="26"/>
  <c r="BS101" i="26"/>
  <c r="BT101" i="26"/>
  <c r="BU101" i="26"/>
  <c r="BV101" i="26"/>
  <c r="BW101" i="26"/>
  <c r="BX101" i="26"/>
  <c r="BX105" i="26"/>
  <c r="D106" i="26"/>
  <c r="BX109" i="26"/>
  <c r="BX116" i="26"/>
  <c r="BX117" i="26"/>
  <c r="BX119" i="26"/>
  <c r="BX150" i="26"/>
  <c r="D158" i="26"/>
  <c r="BX152" i="26"/>
  <c r="BX153" i="26"/>
  <c r="BX134" i="26"/>
  <c r="D142" i="26"/>
  <c r="D143" i="26"/>
  <c r="BX136" i="26"/>
  <c r="BX166" i="26"/>
  <c r="D174" i="26"/>
  <c r="BX168" i="26"/>
  <c r="BX169" i="26"/>
  <c r="D170" i="26"/>
  <c r="BX182" i="26"/>
  <c r="D190" i="26"/>
  <c r="BX184" i="26"/>
  <c r="BX185" i="26"/>
  <c r="D186" i="26"/>
  <c r="CF8" i="26"/>
  <c r="BY100" i="6"/>
  <c r="BY97" i="14"/>
  <c r="BY100" i="16"/>
  <c r="BY100" i="17"/>
  <c r="BY99" i="20"/>
  <c r="BY100" i="26"/>
  <c r="D137" i="19"/>
  <c r="BX136" i="19"/>
  <c r="D138" i="6"/>
  <c r="AF137" i="6"/>
  <c r="AG137" i="6"/>
  <c r="AH137" i="6"/>
  <c r="AI137" i="6"/>
  <c r="AJ137" i="6"/>
  <c r="AK137" i="6"/>
  <c r="AL137" i="6"/>
  <c r="AM137" i="6"/>
  <c r="AN137" i="6"/>
  <c r="AO137" i="6"/>
  <c r="AP137" i="6"/>
  <c r="AQ137" i="6"/>
  <c r="AR137" i="6"/>
  <c r="AS137" i="6"/>
  <c r="AT137" i="6"/>
  <c r="AU137" i="6"/>
  <c r="AV137" i="6"/>
  <c r="AW137" i="6"/>
  <c r="AX137" i="6"/>
  <c r="AY137" i="6"/>
  <c r="AZ137" i="6"/>
  <c r="BA137" i="6"/>
  <c r="BB137" i="6"/>
  <c r="BC137" i="6"/>
  <c r="BD137" i="6"/>
  <c r="BE137" i="6"/>
  <c r="BF137" i="6"/>
  <c r="BG137" i="6"/>
  <c r="BH137" i="6"/>
  <c r="BI137" i="6"/>
  <c r="BJ137" i="6"/>
  <c r="BK137" i="6"/>
  <c r="BL137" i="6"/>
  <c r="BM137" i="6"/>
  <c r="BN137" i="6"/>
  <c r="BO137" i="6"/>
  <c r="BP137" i="6"/>
  <c r="BQ137" i="6"/>
  <c r="BR137" i="6"/>
  <c r="BS137" i="6"/>
  <c r="BT137" i="6"/>
  <c r="BU137" i="6"/>
  <c r="BV137" i="6"/>
  <c r="BW137" i="6"/>
  <c r="BX137" i="6"/>
  <c r="D138" i="16"/>
  <c r="AA137" i="16"/>
  <c r="AB137" i="16"/>
  <c r="AC137" i="16"/>
  <c r="AD137" i="16"/>
  <c r="AE137" i="16"/>
  <c r="AF137" i="16"/>
  <c r="AG137" i="16"/>
  <c r="AH137" i="16"/>
  <c r="AI137" i="16"/>
  <c r="AJ137" i="16"/>
  <c r="AK137" i="16"/>
  <c r="AL137" i="16"/>
  <c r="AM137" i="16"/>
  <c r="AN137" i="16"/>
  <c r="AO137" i="16"/>
  <c r="AP137" i="16"/>
  <c r="AQ137" i="16"/>
  <c r="AR137" i="16"/>
  <c r="AS137" i="16"/>
  <c r="AT137" i="16"/>
  <c r="AU137" i="16"/>
  <c r="AV137" i="16"/>
  <c r="AW137" i="16"/>
  <c r="AX137" i="16"/>
  <c r="AY137" i="16"/>
  <c r="AZ137" i="16"/>
  <c r="BA137" i="16"/>
  <c r="BB137" i="16"/>
  <c r="BC137" i="16"/>
  <c r="BD137" i="16"/>
  <c r="BE137" i="16"/>
  <c r="BF137" i="16"/>
  <c r="BG137" i="16"/>
  <c r="BH137" i="16"/>
  <c r="BI137" i="16"/>
  <c r="BJ137" i="16"/>
  <c r="BK137" i="16"/>
  <c r="BL137" i="16"/>
  <c r="BM137" i="16"/>
  <c r="BN137" i="16"/>
  <c r="BO137" i="16"/>
  <c r="BP137" i="16"/>
  <c r="BQ137" i="16"/>
  <c r="BR137" i="16"/>
  <c r="BS137" i="16"/>
  <c r="BT137" i="16"/>
  <c r="BU137" i="16"/>
  <c r="BV137" i="16"/>
  <c r="BW137" i="16"/>
  <c r="BX137" i="16"/>
  <c r="D120" i="17"/>
  <c r="D138" i="17"/>
  <c r="BX137" i="17"/>
  <c r="D138" i="26"/>
  <c r="AA137" i="26"/>
  <c r="AB137" i="26"/>
  <c r="AC137" i="26"/>
  <c r="AD137" i="26"/>
  <c r="AE137" i="26"/>
  <c r="AF137" i="26"/>
  <c r="AG137" i="26"/>
  <c r="AH137" i="26"/>
  <c r="AI137" i="26"/>
  <c r="AJ137" i="26"/>
  <c r="AK137" i="26"/>
  <c r="AL137" i="26"/>
  <c r="AM137" i="26"/>
  <c r="AN137" i="26"/>
  <c r="AO137" i="26"/>
  <c r="AP137" i="26"/>
  <c r="AQ137" i="26"/>
  <c r="AR137" i="26"/>
  <c r="AS137" i="26"/>
  <c r="AT137" i="26"/>
  <c r="AU137" i="26"/>
  <c r="AV137" i="26"/>
  <c r="AW137" i="26"/>
  <c r="AX137" i="26"/>
  <c r="AY137" i="26"/>
  <c r="AZ137" i="26"/>
  <c r="BA137" i="26"/>
  <c r="BB137" i="26"/>
  <c r="BC137" i="26"/>
  <c r="BD137" i="26"/>
  <c r="BE137" i="26"/>
  <c r="BF137" i="26"/>
  <c r="BG137" i="26"/>
  <c r="BH137" i="26"/>
  <c r="BI137" i="26"/>
  <c r="BJ137" i="26"/>
  <c r="BK137" i="26"/>
  <c r="BL137" i="26"/>
  <c r="BM137" i="26"/>
  <c r="BN137" i="26"/>
  <c r="BO137" i="26"/>
  <c r="BP137" i="26"/>
  <c r="BQ137" i="26"/>
  <c r="BR137" i="26"/>
  <c r="BS137" i="26"/>
  <c r="BT137" i="26"/>
  <c r="BU137" i="26"/>
  <c r="BV137" i="26"/>
  <c r="BW137" i="26"/>
  <c r="BX137" i="26"/>
  <c r="H71" i="8" l="1"/>
  <c r="H59" i="8"/>
  <c r="H45" i="8"/>
  <c r="H32" i="8"/>
  <c r="H20" i="8"/>
  <c r="H76" i="8"/>
  <c r="H63" i="8"/>
  <c r="H51" i="8"/>
  <c r="H37" i="8"/>
  <c r="H24" i="8"/>
  <c r="H12" i="8"/>
  <c r="H75" i="8"/>
  <c r="H61" i="8"/>
  <c r="H48" i="8"/>
  <c r="H36" i="8"/>
  <c r="H23" i="8"/>
  <c r="H11" i="8"/>
  <c r="I9" i="8"/>
  <c r="J8" i="8"/>
  <c r="H78" i="8"/>
  <c r="H70" i="8"/>
  <c r="H62" i="8"/>
  <c r="H54" i="8"/>
  <c r="H46" i="8"/>
  <c r="H38" i="8"/>
  <c r="H30" i="8"/>
  <c r="H22" i="8"/>
  <c r="H14" i="8"/>
  <c r="H74" i="8"/>
  <c r="H66" i="8"/>
  <c r="H58" i="8"/>
  <c r="H50" i="8"/>
  <c r="H42" i="8"/>
  <c r="H34" i="8"/>
  <c r="H26" i="8"/>
  <c r="H18" i="8"/>
  <c r="H10" i="8"/>
  <c r="H73" i="8"/>
  <c r="H65" i="8"/>
  <c r="H57" i="8"/>
  <c r="H49" i="8"/>
  <c r="H41" i="8"/>
  <c r="H33" i="8"/>
  <c r="H25" i="8"/>
  <c r="H17" i="8"/>
  <c r="T128" i="12"/>
  <c r="T131" i="12" s="1"/>
  <c r="BY55" i="12"/>
  <c r="BY53" i="12" s="1"/>
  <c r="BZ17" i="12" s="1"/>
  <c r="BZ99" i="12"/>
  <c r="T130" i="12"/>
  <c r="D137" i="12" s="1"/>
  <c r="D138" i="12" s="1"/>
  <c r="T115" i="12"/>
  <c r="U98" i="12"/>
  <c r="V98" i="12" s="1"/>
  <c r="W98" i="12" s="1"/>
  <c r="X98" i="12" s="1"/>
  <c r="Y98" i="12" s="1"/>
  <c r="Z98" i="12" s="1"/>
  <c r="AA98" i="12" s="1"/>
  <c r="AB98" i="12" s="1"/>
  <c r="AC98" i="12" s="1"/>
  <c r="AD98" i="12" s="1"/>
  <c r="AE98" i="12" s="1"/>
  <c r="AF98" i="12" s="1"/>
  <c r="AG98" i="12" s="1"/>
  <c r="AH98" i="12" s="1"/>
  <c r="AI98" i="12" s="1"/>
  <c r="AJ98" i="12" s="1"/>
  <c r="AK98" i="12" s="1"/>
  <c r="AL98" i="12" s="1"/>
  <c r="AM98" i="12" s="1"/>
  <c r="AN98" i="12" s="1"/>
  <c r="AO98" i="12" s="1"/>
  <c r="AP98" i="12" s="1"/>
  <c r="AQ98" i="12" s="1"/>
  <c r="AR98" i="12" s="1"/>
  <c r="AS98" i="12" s="1"/>
  <c r="AT98" i="12" s="1"/>
  <c r="AU98" i="12" s="1"/>
  <c r="AV98" i="12" s="1"/>
  <c r="AW98" i="12" s="1"/>
  <c r="AX98" i="12" s="1"/>
  <c r="AY98" i="12" s="1"/>
  <c r="AZ98" i="12" s="1"/>
  <c r="BA98" i="12" s="1"/>
  <c r="BB98" i="12" s="1"/>
  <c r="BC98" i="12" s="1"/>
  <c r="BD98" i="12" s="1"/>
  <c r="BE98" i="12" s="1"/>
  <c r="BF98" i="12" s="1"/>
  <c r="BG98" i="12" s="1"/>
  <c r="BH98" i="12" s="1"/>
  <c r="BI98" i="12" s="1"/>
  <c r="BJ98" i="12" s="1"/>
  <c r="BK98" i="12" s="1"/>
  <c r="BL98" i="12" s="1"/>
  <c r="BM98" i="12" s="1"/>
  <c r="BN98" i="12" s="1"/>
  <c r="BO98" i="12" s="1"/>
  <c r="BP98" i="12" s="1"/>
  <c r="BQ98" i="12" s="1"/>
  <c r="BR98" i="12" s="1"/>
  <c r="BS98" i="12" s="1"/>
  <c r="BT98" i="12" s="1"/>
  <c r="BU98" i="12" s="1"/>
  <c r="BV98" i="12" s="1"/>
  <c r="BW98" i="12" s="1"/>
  <c r="BX98" i="12" s="1"/>
  <c r="T112" i="12"/>
  <c r="I10" i="8" l="1"/>
  <c r="J9" i="8"/>
  <c r="T116" i="12"/>
  <c r="T132" i="12"/>
  <c r="U132" i="12" s="1"/>
  <c r="V132" i="12" s="1"/>
  <c r="W132" i="12" s="1"/>
  <c r="X132" i="12" s="1"/>
  <c r="Y132" i="12" s="1"/>
  <c r="Z132" i="12" s="1"/>
  <c r="AA132" i="12" s="1"/>
  <c r="AB132" i="12" s="1"/>
  <c r="AC132" i="12" s="1"/>
  <c r="AD132" i="12" s="1"/>
  <c r="AE132" i="12" s="1"/>
  <c r="AF132" i="12" s="1"/>
  <c r="AG132" i="12" s="1"/>
  <c r="AH132" i="12" s="1"/>
  <c r="AI132" i="12" s="1"/>
  <c r="AJ132" i="12" s="1"/>
  <c r="AK132" i="12" s="1"/>
  <c r="AL132" i="12" s="1"/>
  <c r="AM132" i="12" s="1"/>
  <c r="AN132" i="12" s="1"/>
  <c r="AO132" i="12" s="1"/>
  <c r="AP132" i="12" s="1"/>
  <c r="AQ132" i="12" s="1"/>
  <c r="AR132" i="12" s="1"/>
  <c r="AS132" i="12" s="1"/>
  <c r="AT132" i="12" s="1"/>
  <c r="AU132" i="12" s="1"/>
  <c r="AV132" i="12" s="1"/>
  <c r="AW132" i="12" s="1"/>
  <c r="AX132" i="12" s="1"/>
  <c r="AY132" i="12" s="1"/>
  <c r="AZ132" i="12" s="1"/>
  <c r="BA132" i="12" s="1"/>
  <c r="BB132" i="12" s="1"/>
  <c r="BC132" i="12" s="1"/>
  <c r="BD132" i="12" s="1"/>
  <c r="BE132" i="12" s="1"/>
  <c r="BF132" i="12" s="1"/>
  <c r="BG132" i="12" s="1"/>
  <c r="BH132" i="12" s="1"/>
  <c r="BI132" i="12" s="1"/>
  <c r="BJ132" i="12" s="1"/>
  <c r="BK132" i="12" s="1"/>
  <c r="BL132" i="12" s="1"/>
  <c r="BM132" i="12" s="1"/>
  <c r="BN132" i="12" s="1"/>
  <c r="BO132" i="12" s="1"/>
  <c r="BP132" i="12" s="1"/>
  <c r="BQ132" i="12" s="1"/>
  <c r="BR132" i="12" s="1"/>
  <c r="BS132" i="12" s="1"/>
  <c r="BT132" i="12" s="1"/>
  <c r="BU132" i="12" s="1"/>
  <c r="BV132" i="12" s="1"/>
  <c r="BW132" i="12" s="1"/>
  <c r="BX102" i="12"/>
  <c r="D103" i="12" s="1"/>
  <c r="BX106" i="12"/>
  <c r="BX142" i="12" s="1"/>
  <c r="T120" i="12"/>
  <c r="D121" i="12"/>
  <c r="D122" i="12" s="1"/>
  <c r="J10" i="8" l="1"/>
  <c r="I11" i="8"/>
  <c r="BX113" i="12"/>
  <c r="BX114" i="12"/>
  <c r="BX129" i="12"/>
  <c r="BX131" i="12" s="1"/>
  <c r="D133" i="12" s="1"/>
  <c r="M8" i="8" a="1"/>
  <c r="M8" i="21" a="1"/>
  <c r="M8" i="18" a="1"/>
  <c r="M8" i="13" a="1"/>
  <c r="J11" i="8" l="1"/>
  <c r="I12" i="8"/>
  <c r="M74" i="13"/>
  <c r="M66" i="13"/>
  <c r="M58" i="13"/>
  <c r="M50" i="13"/>
  <c r="M42" i="13"/>
  <c r="M34" i="13"/>
  <c r="M26" i="13"/>
  <c r="M18" i="13"/>
  <c r="M10" i="13"/>
  <c r="M73" i="13"/>
  <c r="M65" i="13"/>
  <c r="M57" i="13"/>
  <c r="M49" i="13"/>
  <c r="M41" i="13"/>
  <c r="M33" i="13"/>
  <c r="M25" i="13"/>
  <c r="M17" i="13"/>
  <c r="M9" i="13"/>
  <c r="M72" i="13"/>
  <c r="M64" i="13"/>
  <c r="M56" i="13"/>
  <c r="M48" i="13"/>
  <c r="M40" i="13"/>
  <c r="M32" i="13"/>
  <c r="M24" i="13"/>
  <c r="M16" i="13"/>
  <c r="M77" i="13"/>
  <c r="M69" i="13"/>
  <c r="M61" i="13"/>
  <c r="M53" i="13"/>
  <c r="M45" i="13"/>
  <c r="M37" i="13"/>
  <c r="M29" i="13"/>
  <c r="M21" i="13"/>
  <c r="M13" i="13"/>
  <c r="M75" i="13"/>
  <c r="M67" i="13"/>
  <c r="M59" i="13"/>
  <c r="M51" i="13"/>
  <c r="M43" i="13"/>
  <c r="M35" i="13"/>
  <c r="M27" i="13"/>
  <c r="M19" i="13"/>
  <c r="M11" i="13"/>
  <c r="M71" i="13"/>
  <c r="M52" i="13"/>
  <c r="M30" i="13"/>
  <c r="M22" i="13"/>
  <c r="M39" i="13"/>
  <c r="M70" i="13"/>
  <c r="M47" i="13"/>
  <c r="M28" i="13"/>
  <c r="M60" i="13"/>
  <c r="M15" i="13"/>
  <c r="M38" i="13"/>
  <c r="M8" i="13"/>
  <c r="N8" i="13" s="1"/>
  <c r="M78" i="13"/>
  <c r="M55" i="13"/>
  <c r="M36" i="13"/>
  <c r="M14" i="13"/>
  <c r="M54" i="13"/>
  <c r="M68" i="13"/>
  <c r="M23" i="13"/>
  <c r="M63" i="13"/>
  <c r="M62" i="13"/>
  <c r="M20" i="13"/>
  <c r="M76" i="13"/>
  <c r="M31" i="13"/>
  <c r="M12" i="13"/>
  <c r="M46" i="13"/>
  <c r="M44" i="13"/>
  <c r="M79" i="13"/>
  <c r="M72" i="18"/>
  <c r="M64" i="18"/>
  <c r="M56" i="18"/>
  <c r="M48" i="18"/>
  <c r="M40" i="18"/>
  <c r="M32" i="18"/>
  <c r="M24" i="18"/>
  <c r="M16" i="18"/>
  <c r="M71" i="18"/>
  <c r="M63" i="18"/>
  <c r="M55" i="18"/>
  <c r="M47" i="18"/>
  <c r="M39" i="18"/>
  <c r="M31" i="18"/>
  <c r="M23" i="18"/>
  <c r="M15" i="18"/>
  <c r="M78" i="18"/>
  <c r="M70" i="18"/>
  <c r="M62" i="18"/>
  <c r="M54" i="18"/>
  <c r="M46" i="18"/>
  <c r="M38" i="18"/>
  <c r="M30" i="18"/>
  <c r="M22" i="18"/>
  <c r="M14" i="18"/>
  <c r="M75" i="18"/>
  <c r="M67" i="18"/>
  <c r="M59" i="18"/>
  <c r="M51" i="18"/>
  <c r="M43" i="18"/>
  <c r="M35" i="18"/>
  <c r="M27" i="18"/>
  <c r="M19" i="18"/>
  <c r="M11" i="18"/>
  <c r="M73" i="18"/>
  <c r="M65" i="18"/>
  <c r="M57" i="18"/>
  <c r="M49" i="18"/>
  <c r="M41" i="18"/>
  <c r="M33" i="18"/>
  <c r="M25" i="18"/>
  <c r="M17" i="18"/>
  <c r="M9" i="18"/>
  <c r="M77" i="18"/>
  <c r="M58" i="18"/>
  <c r="M36" i="18"/>
  <c r="M13" i="18"/>
  <c r="M8" i="18"/>
  <c r="N8" i="18" s="1"/>
  <c r="M76" i="18"/>
  <c r="M53" i="18"/>
  <c r="M34" i="18"/>
  <c r="M12" i="18"/>
  <c r="M44" i="18"/>
  <c r="M26" i="18"/>
  <c r="M21" i="18"/>
  <c r="M66" i="18"/>
  <c r="M61" i="18"/>
  <c r="M42" i="18"/>
  <c r="M20" i="18"/>
  <c r="M37" i="18"/>
  <c r="M74" i="18"/>
  <c r="M29" i="18"/>
  <c r="M10" i="18"/>
  <c r="M69" i="18"/>
  <c r="M28" i="18"/>
  <c r="M45" i="18"/>
  <c r="M60" i="18"/>
  <c r="M18" i="18"/>
  <c r="M52" i="18"/>
  <c r="M50" i="18"/>
  <c r="M68" i="18"/>
  <c r="M79" i="18"/>
  <c r="M8" i="8"/>
  <c r="N8" i="8" s="1"/>
  <c r="O8" i="8" s="1"/>
  <c r="M78" i="8"/>
  <c r="M70" i="8"/>
  <c r="M62" i="8"/>
  <c r="M54" i="8"/>
  <c r="M46" i="8"/>
  <c r="M38" i="8"/>
  <c r="M30" i="8"/>
  <c r="M21" i="8"/>
  <c r="M13" i="8"/>
  <c r="M68" i="8"/>
  <c r="M77" i="8"/>
  <c r="M69" i="8"/>
  <c r="M61" i="8"/>
  <c r="M53" i="8"/>
  <c r="M45" i="8"/>
  <c r="M37" i="8"/>
  <c r="M29" i="8"/>
  <c r="M20" i="8"/>
  <c r="M12" i="8"/>
  <c r="M76" i="8"/>
  <c r="M60" i="8"/>
  <c r="M52" i="8"/>
  <c r="M44" i="8"/>
  <c r="M36" i="8"/>
  <c r="M28" i="8"/>
  <c r="M19" i="8"/>
  <c r="M11" i="8"/>
  <c r="M73" i="8"/>
  <c r="M65" i="8"/>
  <c r="M57" i="8"/>
  <c r="M49" i="8"/>
  <c r="M41" i="8"/>
  <c r="M33" i="8"/>
  <c r="M25" i="8"/>
  <c r="M16" i="8"/>
  <c r="M71" i="8"/>
  <c r="M63" i="8"/>
  <c r="M55" i="8"/>
  <c r="M47" i="8"/>
  <c r="M39" i="8"/>
  <c r="M31" i="8"/>
  <c r="M22" i="8"/>
  <c r="M14" i="8"/>
  <c r="M72" i="8"/>
  <c r="M50" i="8"/>
  <c r="M27" i="8"/>
  <c r="M42" i="8"/>
  <c r="M40" i="8"/>
  <c r="M35" i="8"/>
  <c r="M67" i="8"/>
  <c r="M48" i="8"/>
  <c r="M26" i="8"/>
  <c r="M15" i="8"/>
  <c r="M58" i="8"/>
  <c r="M75" i="8"/>
  <c r="M56" i="8"/>
  <c r="M34" i="8"/>
  <c r="M10" i="8"/>
  <c r="M66" i="8"/>
  <c r="M24" i="8"/>
  <c r="M64" i="8"/>
  <c r="M59" i="8"/>
  <c r="M17" i="8"/>
  <c r="M74" i="8"/>
  <c r="M51" i="8"/>
  <c r="M32" i="8"/>
  <c r="M9" i="8"/>
  <c r="M43" i="8"/>
  <c r="M18" i="8"/>
  <c r="M23" i="8"/>
  <c r="M79" i="8"/>
  <c r="M71" i="21"/>
  <c r="M63" i="21"/>
  <c r="M55" i="21"/>
  <c r="M47" i="21"/>
  <c r="M39" i="21"/>
  <c r="M31" i="21"/>
  <c r="M23" i="21"/>
  <c r="M15" i="21"/>
  <c r="M78" i="21"/>
  <c r="M70" i="21"/>
  <c r="M62" i="21"/>
  <c r="M54" i="21"/>
  <c r="M46" i="21"/>
  <c r="M38" i="21"/>
  <c r="M30" i="21"/>
  <c r="M22" i="21"/>
  <c r="M14" i="21"/>
  <c r="M77" i="21"/>
  <c r="M69" i="21"/>
  <c r="M61" i="21"/>
  <c r="M53" i="21"/>
  <c r="M45" i="21"/>
  <c r="M37" i="21"/>
  <c r="M8" i="21"/>
  <c r="N8" i="21" s="1"/>
  <c r="M74" i="21"/>
  <c r="M72" i="21"/>
  <c r="M64" i="21"/>
  <c r="M56" i="21"/>
  <c r="M48" i="21"/>
  <c r="M67" i="21"/>
  <c r="M76" i="21"/>
  <c r="M43" i="21"/>
  <c r="M32" i="21"/>
  <c r="M20" i="21"/>
  <c r="M66" i="21"/>
  <c r="M50" i="21"/>
  <c r="M35" i="21"/>
  <c r="M25" i="21"/>
  <c r="M13" i="21"/>
  <c r="M58" i="21"/>
  <c r="M59" i="21"/>
  <c r="M42" i="21"/>
  <c r="M29" i="21"/>
  <c r="M19" i="21"/>
  <c r="M9" i="21"/>
  <c r="M73" i="21"/>
  <c r="M57" i="21"/>
  <c r="M41" i="21"/>
  <c r="M28" i="21"/>
  <c r="M18" i="21"/>
  <c r="M68" i="21"/>
  <c r="M40" i="21"/>
  <c r="M27" i="21"/>
  <c r="M17" i="21"/>
  <c r="M51" i="21"/>
  <c r="M36" i="21"/>
  <c r="M26" i="21"/>
  <c r="M16" i="21"/>
  <c r="M49" i="21"/>
  <c r="M60" i="21"/>
  <c r="M44" i="21"/>
  <c r="M33" i="21"/>
  <c r="M21" i="21"/>
  <c r="M10" i="21"/>
  <c r="M52" i="21"/>
  <c r="M65" i="21"/>
  <c r="M34" i="21"/>
  <c r="M24" i="21"/>
  <c r="M12" i="21"/>
  <c r="M11" i="21"/>
  <c r="M75" i="21"/>
  <c r="M79" i="21"/>
  <c r="BX132" i="12"/>
  <c r="BX116" i="12"/>
  <c r="D117" i="12" s="1"/>
  <c r="BX145" i="12" s="1"/>
  <c r="BX147" i="12" s="1"/>
  <c r="BX148" i="12" s="1"/>
  <c r="N9" i="8" l="1"/>
  <c r="J12" i="8"/>
  <c r="I13" i="8"/>
  <c r="N9" i="13"/>
  <c r="O8" i="13"/>
  <c r="N9" i="21"/>
  <c r="O8" i="21"/>
  <c r="O8" i="18"/>
  <c r="N9" i="18"/>
  <c r="N10" i="8"/>
  <c r="O9" i="8"/>
  <c r="I14" i="8" l="1"/>
  <c r="J13" i="8"/>
  <c r="N11" i="8"/>
  <c r="O10" i="8"/>
  <c r="N10" i="18"/>
  <c r="O9" i="18"/>
  <c r="N10" i="21"/>
  <c r="O9" i="21"/>
  <c r="O9" i="13"/>
  <c r="N10" i="13"/>
  <c r="J14" i="8" l="1"/>
  <c r="I15" i="8"/>
  <c r="N11" i="13"/>
  <c r="O10" i="13"/>
  <c r="O10" i="21"/>
  <c r="N11" i="21"/>
  <c r="N11" i="18"/>
  <c r="O10" i="18"/>
  <c r="O11" i="8"/>
  <c r="N12" i="8"/>
  <c r="J15" i="8" l="1"/>
  <c r="I16" i="8"/>
  <c r="N13" i="8"/>
  <c r="O12" i="8"/>
  <c r="O11" i="21"/>
  <c r="N12" i="21"/>
  <c r="N12" i="18"/>
  <c r="O11" i="18"/>
  <c r="O11" i="13"/>
  <c r="N12" i="13"/>
  <c r="I17" i="8" l="1"/>
  <c r="J16" i="8"/>
  <c r="O12" i="13"/>
  <c r="N13" i="13"/>
  <c r="O12" i="18"/>
  <c r="N13" i="18"/>
  <c r="N13" i="21"/>
  <c r="O12" i="21"/>
  <c r="O13" i="8"/>
  <c r="N14" i="8"/>
  <c r="I18" i="8" l="1"/>
  <c r="J17" i="8"/>
  <c r="O14" i="8"/>
  <c r="N15" i="8"/>
  <c r="N14" i="21"/>
  <c r="O13" i="21"/>
  <c r="O13" i="18"/>
  <c r="N14" i="18"/>
  <c r="O13" i="13"/>
  <c r="N14" i="13"/>
  <c r="J18" i="8" l="1"/>
  <c r="I19" i="8"/>
  <c r="O14" i="13"/>
  <c r="N15" i="13"/>
  <c r="N15" i="18"/>
  <c r="O14" i="18"/>
  <c r="O14" i="21"/>
  <c r="N15" i="21"/>
  <c r="N16" i="8"/>
  <c r="O15" i="8"/>
  <c r="J19" i="8" l="1"/>
  <c r="I20" i="8"/>
  <c r="N16" i="21"/>
  <c r="O15" i="21"/>
  <c r="N17" i="8"/>
  <c r="O16" i="8"/>
  <c r="N16" i="18"/>
  <c r="O15" i="18"/>
  <c r="N16" i="13"/>
  <c r="O15" i="13"/>
  <c r="J20" i="8" l="1"/>
  <c r="I21" i="8"/>
  <c r="N17" i="13"/>
  <c r="O16" i="13"/>
  <c r="N17" i="18"/>
  <c r="O16" i="18"/>
  <c r="N18" i="8"/>
  <c r="O17" i="8"/>
  <c r="N17" i="21"/>
  <c r="O16" i="21"/>
  <c r="J21" i="8" l="1"/>
  <c r="I22" i="8"/>
  <c r="N18" i="21"/>
  <c r="O17" i="21"/>
  <c r="N19" i="8"/>
  <c r="O18" i="8"/>
  <c r="N18" i="18"/>
  <c r="O17" i="18"/>
  <c r="N18" i="13"/>
  <c r="O17" i="13"/>
  <c r="J22" i="8" l="1"/>
  <c r="I23" i="8"/>
  <c r="N19" i="13"/>
  <c r="O18" i="13"/>
  <c r="O18" i="18"/>
  <c r="N19" i="18"/>
  <c r="O19" i="8"/>
  <c r="N20" i="8"/>
  <c r="N19" i="21"/>
  <c r="O18" i="21"/>
  <c r="J23" i="8" l="1"/>
  <c r="I24" i="8"/>
  <c r="N21" i="8"/>
  <c r="O20" i="8"/>
  <c r="N20" i="21"/>
  <c r="O19" i="21"/>
  <c r="N20" i="18"/>
  <c r="O19" i="18"/>
  <c r="N20" i="13"/>
  <c r="O19" i="13"/>
  <c r="I25" i="8" l="1"/>
  <c r="J24" i="8"/>
  <c r="N21" i="13"/>
  <c r="O20" i="13"/>
  <c r="N21" i="18"/>
  <c r="O20" i="18"/>
  <c r="N21" i="21"/>
  <c r="O20" i="21"/>
  <c r="N22" i="8"/>
  <c r="O21" i="8"/>
  <c r="J25" i="8" l="1"/>
  <c r="I26" i="8"/>
  <c r="N23" i="8"/>
  <c r="O22" i="8"/>
  <c r="N22" i="21"/>
  <c r="O21" i="21"/>
  <c r="N22" i="18"/>
  <c r="O21" i="18"/>
  <c r="N22" i="13"/>
  <c r="O21" i="13"/>
  <c r="J26" i="8" l="1"/>
  <c r="I27" i="8"/>
  <c r="N23" i="13"/>
  <c r="O22" i="13"/>
  <c r="N23" i="18"/>
  <c r="O22" i="18"/>
  <c r="N23" i="21"/>
  <c r="O22" i="21"/>
  <c r="N24" i="8"/>
  <c r="O23" i="8"/>
  <c r="J27" i="8" l="1"/>
  <c r="I28" i="8"/>
  <c r="N25" i="8"/>
  <c r="O24" i="8"/>
  <c r="N24" i="21"/>
  <c r="O23" i="21"/>
  <c r="N24" i="18"/>
  <c r="O23" i="18"/>
  <c r="N24" i="13"/>
  <c r="O23" i="13"/>
  <c r="J28" i="8" l="1"/>
  <c r="I29" i="8"/>
  <c r="N25" i="13"/>
  <c r="O24" i="13"/>
  <c r="N25" i="18"/>
  <c r="O24" i="18"/>
  <c r="N25" i="21"/>
  <c r="O24" i="21"/>
  <c r="N26" i="8"/>
  <c r="O25" i="8"/>
  <c r="I30" i="8" l="1"/>
  <c r="J29" i="8"/>
  <c r="N27" i="8"/>
  <c r="O26" i="8"/>
  <c r="N26" i="21"/>
  <c r="O25" i="21"/>
  <c r="N26" i="18"/>
  <c r="O25" i="18"/>
  <c r="N26" i="13"/>
  <c r="O25" i="13"/>
  <c r="J30" i="8" l="1"/>
  <c r="I31" i="8"/>
  <c r="N27" i="13"/>
  <c r="O26" i="13"/>
  <c r="N27" i="18"/>
  <c r="O26" i="18"/>
  <c r="N27" i="21"/>
  <c r="O26" i="21"/>
  <c r="N28" i="8"/>
  <c r="O27" i="8"/>
  <c r="J31" i="8" l="1"/>
  <c r="I32" i="8"/>
  <c r="AB58" i="28"/>
  <c r="N29" i="8"/>
  <c r="O28" i="8"/>
  <c r="N28" i="21"/>
  <c r="O27" i="21"/>
  <c r="N28" i="18"/>
  <c r="O27" i="18"/>
  <c r="N28" i="13"/>
  <c r="O27" i="13"/>
  <c r="AB56" i="28" l="1"/>
  <c r="AB99" i="28" s="1"/>
  <c r="AB139" i="28"/>
  <c r="AB142" i="28" s="1"/>
  <c r="BY58" i="28"/>
  <c r="BY56" i="28" s="1"/>
  <c r="BZ18" i="28" s="1"/>
  <c r="BY91" i="28" s="1"/>
  <c r="BY101" i="28" s="1"/>
  <c r="AB138" i="7"/>
  <c r="AB141" i="7" s="1"/>
  <c r="AB55" i="7"/>
  <c r="AB98" i="7" s="1"/>
  <c r="I33" i="8"/>
  <c r="J32" i="8"/>
  <c r="N29" i="13"/>
  <c r="O28" i="13"/>
  <c r="N29" i="18"/>
  <c r="O28" i="18"/>
  <c r="N29" i="21"/>
  <c r="O28" i="21"/>
  <c r="N30" i="8"/>
  <c r="O29" i="8"/>
  <c r="AD120" i="7" l="1"/>
  <c r="AD138" i="7"/>
  <c r="AD141" i="7" s="1"/>
  <c r="AD55" i="7"/>
  <c r="AD98" i="7" s="1"/>
  <c r="AD100" i="7" s="1"/>
  <c r="AB100" i="7"/>
  <c r="AB143" i="28"/>
  <c r="AC143" i="28" s="1"/>
  <c r="AD143" i="28" s="1"/>
  <c r="AE143" i="28" s="1"/>
  <c r="I34" i="8"/>
  <c r="J33" i="8"/>
  <c r="AB142" i="7"/>
  <c r="AC142" i="7" s="1"/>
  <c r="AD142" i="7" s="1"/>
  <c r="AB101" i="28"/>
  <c r="AB102" i="28" s="1"/>
  <c r="AB100" i="28"/>
  <c r="AC100" i="28" s="1"/>
  <c r="AD100" i="28" s="1"/>
  <c r="AE100" i="28" s="1"/>
  <c r="AF100" i="28" s="1"/>
  <c r="N31" i="8"/>
  <c r="O30" i="8"/>
  <c r="N30" i="21"/>
  <c r="O29" i="21"/>
  <c r="N30" i="18"/>
  <c r="O29" i="18"/>
  <c r="N30" i="13"/>
  <c r="O29" i="13"/>
  <c r="AE138" i="7" l="1"/>
  <c r="AE141" i="7" s="1"/>
  <c r="AE142" i="7" s="1"/>
  <c r="AE55" i="7"/>
  <c r="AE98" i="7" s="1"/>
  <c r="AE100" i="7" s="1"/>
  <c r="J34" i="8"/>
  <c r="I35" i="8"/>
  <c r="AB122" i="28"/>
  <c r="AC102" i="28"/>
  <c r="AD102" i="28" s="1"/>
  <c r="AE102" i="28" s="1"/>
  <c r="AF102" i="28" s="1"/>
  <c r="AG102" i="28" s="1"/>
  <c r="AH102" i="28" s="1"/>
  <c r="AI102" i="28" s="1"/>
  <c r="AJ102" i="28" s="1"/>
  <c r="AK102" i="28" s="1"/>
  <c r="AL102" i="28" s="1"/>
  <c r="AM102" i="28" s="1"/>
  <c r="AN102" i="28" s="1"/>
  <c r="AP102" i="28" s="1"/>
  <c r="AQ102" i="28" s="1"/>
  <c r="AR102" i="28" s="1"/>
  <c r="AS102" i="28" s="1"/>
  <c r="AT102" i="28" s="1"/>
  <c r="AU102" i="28" s="1"/>
  <c r="AV102" i="28" s="1"/>
  <c r="AW102" i="28" s="1"/>
  <c r="AX102" i="28" s="1"/>
  <c r="AY102" i="28" s="1"/>
  <c r="AZ102" i="28" s="1"/>
  <c r="N31" i="13"/>
  <c r="O30" i="13"/>
  <c r="N31" i="18"/>
  <c r="O30" i="18"/>
  <c r="N31" i="21"/>
  <c r="O30" i="21"/>
  <c r="N32" i="8"/>
  <c r="O31" i="8"/>
  <c r="AW104" i="28" l="1"/>
  <c r="BA102" i="28"/>
  <c r="BB102" i="28" s="1"/>
  <c r="BC102" i="28" s="1"/>
  <c r="BD102" i="28" s="1"/>
  <c r="BE102" i="28" s="1"/>
  <c r="BF102" i="28" s="1"/>
  <c r="BG102" i="28" s="1"/>
  <c r="BH102" i="28" s="1"/>
  <c r="BI102" i="28" s="1"/>
  <c r="BJ102" i="28" s="1"/>
  <c r="BK102" i="28" s="1"/>
  <c r="BL102" i="28" s="1"/>
  <c r="BM102" i="28" s="1"/>
  <c r="BN102" i="28" s="1"/>
  <c r="BO102" i="28" s="1"/>
  <c r="BP102" i="28" s="1"/>
  <c r="BQ102" i="28" s="1"/>
  <c r="BR102" i="28" s="1"/>
  <c r="BS102" i="28" s="1"/>
  <c r="BT102" i="28" s="1"/>
  <c r="BU102" i="28" s="1"/>
  <c r="BV102" i="28" s="1"/>
  <c r="BW102" i="28" s="1"/>
  <c r="BX102" i="28" s="1"/>
  <c r="AT104" i="28"/>
  <c r="AB125" i="28"/>
  <c r="D126" i="28" s="1"/>
  <c r="AB128" i="28"/>
  <c r="D130" i="28"/>
  <c r="D131" i="28" s="1"/>
  <c r="J35" i="8"/>
  <c r="AG57" i="7" s="1"/>
  <c r="I36" i="8"/>
  <c r="N33" i="8"/>
  <c r="O32" i="8"/>
  <c r="N32" i="21"/>
  <c r="O31" i="21"/>
  <c r="N32" i="18"/>
  <c r="O31" i="18"/>
  <c r="N32" i="13"/>
  <c r="O31" i="13"/>
  <c r="AG55" i="7" l="1"/>
  <c r="AG98" i="7" s="1"/>
  <c r="AG100" i="7" s="1"/>
  <c r="BY57" i="7"/>
  <c r="BY55" i="7" s="1"/>
  <c r="BX115" i="28"/>
  <c r="BX111" i="28"/>
  <c r="D112" i="28" s="1"/>
  <c r="I37" i="8"/>
  <c r="J36" i="8"/>
  <c r="N33" i="13"/>
  <c r="O32" i="13"/>
  <c r="N33" i="18"/>
  <c r="O32" i="18"/>
  <c r="N33" i="21"/>
  <c r="O32" i="21"/>
  <c r="O33" i="8"/>
  <c r="N34" i="8"/>
  <c r="BX188" i="28" l="1"/>
  <c r="BX172" i="28"/>
  <c r="BX122" i="28"/>
  <c r="BX123" i="28"/>
  <c r="BX156" i="28" s="1"/>
  <c r="BX140" i="28"/>
  <c r="I38" i="8"/>
  <c r="J37" i="8"/>
  <c r="N35" i="8"/>
  <c r="O34" i="8"/>
  <c r="N34" i="21"/>
  <c r="O33" i="21"/>
  <c r="N34" i="18"/>
  <c r="O33" i="18"/>
  <c r="O33" i="13"/>
  <c r="N34" i="13"/>
  <c r="D148" i="28" l="1"/>
  <c r="D149" i="28" s="1"/>
  <c r="BX142" i="28"/>
  <c r="BX158" i="28"/>
  <c r="BX159" i="28" s="1"/>
  <c r="D164" i="28"/>
  <c r="BX125" i="28"/>
  <c r="BX174" i="28"/>
  <c r="D180" i="28"/>
  <c r="BX190" i="28"/>
  <c r="D196" i="28"/>
  <c r="J38" i="8"/>
  <c r="I39" i="8"/>
  <c r="N35" i="13"/>
  <c r="O34" i="13"/>
  <c r="N35" i="18"/>
  <c r="O34" i="18"/>
  <c r="N35" i="21"/>
  <c r="O34" i="21"/>
  <c r="N36" i="8"/>
  <c r="O35" i="8"/>
  <c r="BX191" i="28" l="1"/>
  <c r="D192" i="28"/>
  <c r="BX175" i="28"/>
  <c r="D176" i="28"/>
  <c r="BX143" i="28"/>
  <c r="D144" i="28"/>
  <c r="J39" i="8"/>
  <c r="I40" i="8"/>
  <c r="N37" i="8"/>
  <c r="O36" i="8"/>
  <c r="N36" i="21"/>
  <c r="O35" i="21"/>
  <c r="N36" i="18"/>
  <c r="O35" i="18"/>
  <c r="N36" i="13"/>
  <c r="O35" i="13"/>
  <c r="J40" i="8" l="1"/>
  <c r="I41" i="8"/>
  <c r="N37" i="13"/>
  <c r="O36" i="13"/>
  <c r="N37" i="18"/>
  <c r="O36" i="18"/>
  <c r="N37" i="21"/>
  <c r="O36" i="21"/>
  <c r="N38" i="8"/>
  <c r="O37" i="8"/>
  <c r="J41" i="8" l="1"/>
  <c r="I42" i="8"/>
  <c r="N39" i="8"/>
  <c r="O38" i="8"/>
  <c r="N38" i="21"/>
  <c r="O37" i="21"/>
  <c r="N38" i="18"/>
  <c r="O37" i="18"/>
  <c r="N38" i="13"/>
  <c r="O37" i="13"/>
  <c r="J42" i="8" l="1"/>
  <c r="I43" i="8"/>
  <c r="N39" i="13"/>
  <c r="O38" i="13"/>
  <c r="N39" i="18"/>
  <c r="O38" i="18"/>
  <c r="N39" i="21"/>
  <c r="O38" i="21"/>
  <c r="N40" i="8"/>
  <c r="O39" i="8"/>
  <c r="J43" i="8" l="1"/>
  <c r="I44" i="8"/>
  <c r="N41" i="8"/>
  <c r="O40" i="8"/>
  <c r="N40" i="21"/>
  <c r="O39" i="21"/>
  <c r="N40" i="18"/>
  <c r="O39" i="18"/>
  <c r="N40" i="13"/>
  <c r="O39" i="13"/>
  <c r="I45" i="8" l="1"/>
  <c r="J44" i="8"/>
  <c r="N41" i="13"/>
  <c r="O40" i="13"/>
  <c r="N41" i="18"/>
  <c r="O40" i="18"/>
  <c r="N41" i="21"/>
  <c r="O40" i="21"/>
  <c r="N42" i="8"/>
  <c r="O41" i="8"/>
  <c r="I46" i="8" l="1"/>
  <c r="J45" i="8"/>
  <c r="N43" i="8"/>
  <c r="O42" i="8"/>
  <c r="N42" i="21"/>
  <c r="O41" i="21"/>
  <c r="N42" i="18"/>
  <c r="O41" i="18"/>
  <c r="N42" i="13"/>
  <c r="O41" i="13"/>
  <c r="J46" i="8" l="1"/>
  <c r="I47" i="8"/>
  <c r="N43" i="13"/>
  <c r="O42" i="13"/>
  <c r="O42" i="18"/>
  <c r="N43" i="18"/>
  <c r="N43" i="21"/>
  <c r="O42" i="21"/>
  <c r="N44" i="8"/>
  <c r="O43" i="8"/>
  <c r="J47" i="8" l="1"/>
  <c r="I48" i="8"/>
  <c r="N45" i="8"/>
  <c r="O44" i="8"/>
  <c r="N44" i="21"/>
  <c r="O43" i="21"/>
  <c r="N44" i="18"/>
  <c r="O43" i="18"/>
  <c r="N44" i="13"/>
  <c r="O43" i="13"/>
  <c r="J48" i="8" l="1"/>
  <c r="I49" i="8"/>
  <c r="N45" i="13"/>
  <c r="O44" i="13"/>
  <c r="N45" i="18"/>
  <c r="O44" i="18"/>
  <c r="N45" i="21"/>
  <c r="O44" i="21"/>
  <c r="N46" i="8"/>
  <c r="O45" i="8"/>
  <c r="J49" i="8" l="1"/>
  <c r="I50" i="8"/>
  <c r="N47" i="8"/>
  <c r="O46" i="8"/>
  <c r="N46" i="21"/>
  <c r="O45" i="21"/>
  <c r="N46" i="18"/>
  <c r="O45" i="18"/>
  <c r="O45" i="13"/>
  <c r="N46" i="13"/>
  <c r="J50" i="8" l="1"/>
  <c r="I51" i="8"/>
  <c r="N47" i="13"/>
  <c r="O46" i="13"/>
  <c r="N47" i="18"/>
  <c r="O46" i="18"/>
  <c r="N47" i="21"/>
  <c r="O46" i="21"/>
  <c r="O47" i="8"/>
  <c r="N48" i="8"/>
  <c r="J51" i="8" l="1"/>
  <c r="I52" i="8"/>
  <c r="N49" i="8"/>
  <c r="O48" i="8"/>
  <c r="N48" i="21"/>
  <c r="O47" i="21"/>
  <c r="N48" i="18"/>
  <c r="O47" i="18"/>
  <c r="N48" i="13"/>
  <c r="O47" i="13"/>
  <c r="I53" i="8" l="1"/>
  <c r="J52" i="8"/>
  <c r="N49" i="13"/>
  <c r="O48" i="13"/>
  <c r="O48" i="18"/>
  <c r="N49" i="18"/>
  <c r="N49" i="21"/>
  <c r="O48" i="21"/>
  <c r="O49" i="8"/>
  <c r="N50" i="8"/>
  <c r="I54" i="8" l="1"/>
  <c r="J53" i="8"/>
  <c r="N51" i="8"/>
  <c r="O50" i="8"/>
  <c r="N50" i="21"/>
  <c r="O49" i="21"/>
  <c r="N50" i="18"/>
  <c r="O49" i="18"/>
  <c r="N50" i="13"/>
  <c r="O49" i="13"/>
  <c r="J54" i="8" l="1"/>
  <c r="I55" i="8"/>
  <c r="N51" i="13"/>
  <c r="O50" i="13"/>
  <c r="N51" i="18"/>
  <c r="O50" i="18"/>
  <c r="N51" i="21"/>
  <c r="O50" i="21"/>
  <c r="N52" i="8"/>
  <c r="O51" i="8"/>
  <c r="J55" i="8" l="1"/>
  <c r="I56" i="8"/>
  <c r="N53" i="8"/>
  <c r="O52" i="8"/>
  <c r="N52" i="21"/>
  <c r="O51" i="21"/>
  <c r="N52" i="18"/>
  <c r="O51" i="18"/>
  <c r="N52" i="13"/>
  <c r="O51" i="13"/>
  <c r="J56" i="8" l="1"/>
  <c r="I57" i="8"/>
  <c r="N53" i="13"/>
  <c r="O52" i="13"/>
  <c r="O52" i="18"/>
  <c r="N53" i="18"/>
  <c r="N53" i="21"/>
  <c r="O52" i="21"/>
  <c r="O53" i="8"/>
  <c r="N54" i="8"/>
  <c r="J57" i="8" l="1"/>
  <c r="I58" i="8"/>
  <c r="N55" i="8"/>
  <c r="O54" i="8"/>
  <c r="N54" i="21"/>
  <c r="O53" i="21"/>
  <c r="N54" i="18"/>
  <c r="O53" i="18"/>
  <c r="N54" i="13"/>
  <c r="O53" i="13"/>
  <c r="J58" i="8" l="1"/>
  <c r="I59" i="8"/>
  <c r="N55" i="13"/>
  <c r="O54" i="13"/>
  <c r="N55" i="18"/>
  <c r="O54" i="18"/>
  <c r="N55" i="21"/>
  <c r="O54" i="21"/>
  <c r="N56" i="8"/>
  <c r="O55" i="8"/>
  <c r="J59" i="8" l="1"/>
  <c r="I60" i="8"/>
  <c r="N57" i="8"/>
  <c r="O56" i="8"/>
  <c r="N56" i="21"/>
  <c r="O55" i="21"/>
  <c r="N56" i="18"/>
  <c r="O55" i="18"/>
  <c r="N56" i="13"/>
  <c r="O55" i="13"/>
  <c r="I61" i="8" l="1"/>
  <c r="J60" i="8"/>
  <c r="N57" i="13"/>
  <c r="O56" i="13"/>
  <c r="N57" i="18"/>
  <c r="O56" i="18"/>
  <c r="N57" i="21"/>
  <c r="O56" i="21"/>
  <c r="N58" i="8"/>
  <c r="O57" i="8"/>
  <c r="J61" i="8" l="1"/>
  <c r="I62" i="8"/>
  <c r="N59" i="8"/>
  <c r="O58" i="8"/>
  <c r="N58" i="21"/>
  <c r="O57" i="21"/>
  <c r="N58" i="18"/>
  <c r="O57" i="18"/>
  <c r="N58" i="13"/>
  <c r="O57" i="13"/>
  <c r="J62" i="8" l="1"/>
  <c r="I63" i="8"/>
  <c r="N59" i="13"/>
  <c r="O58" i="13"/>
  <c r="N59" i="18"/>
  <c r="O58" i="18"/>
  <c r="N59" i="21"/>
  <c r="O58" i="21"/>
  <c r="N60" i="8"/>
  <c r="O59" i="8"/>
  <c r="J63" i="8" l="1"/>
  <c r="I64" i="8"/>
  <c r="N61" i="8"/>
  <c r="O60" i="8"/>
  <c r="N60" i="21"/>
  <c r="O59" i="21"/>
  <c r="N60" i="18"/>
  <c r="O59" i="18"/>
  <c r="N60" i="13"/>
  <c r="O59" i="13"/>
  <c r="I65" i="8" l="1"/>
  <c r="J64" i="8"/>
  <c r="N61" i="13"/>
  <c r="O60" i="13"/>
  <c r="O60" i="18"/>
  <c r="N61" i="18"/>
  <c r="N61" i="21"/>
  <c r="O60" i="21"/>
  <c r="O61" i="8"/>
  <c r="N62" i="8"/>
  <c r="I66" i="8" l="1"/>
  <c r="J65" i="8"/>
  <c r="N63" i="8"/>
  <c r="O62" i="8"/>
  <c r="N62" i="21"/>
  <c r="O61" i="21"/>
  <c r="N62" i="18"/>
  <c r="O61" i="18"/>
  <c r="N62" i="13"/>
  <c r="O61" i="13"/>
  <c r="J66" i="8" l="1"/>
  <c r="I67" i="8"/>
  <c r="N63" i="13"/>
  <c r="O62" i="13"/>
  <c r="O62" i="18"/>
  <c r="N63" i="18"/>
  <c r="N63" i="21"/>
  <c r="O62" i="21"/>
  <c r="O63" i="8"/>
  <c r="N64" i="8"/>
  <c r="J67" i="8" l="1"/>
  <c r="I68" i="8"/>
  <c r="N65" i="8"/>
  <c r="O64" i="8"/>
  <c r="N64" i="21"/>
  <c r="O63" i="21"/>
  <c r="N64" i="18"/>
  <c r="O63" i="18"/>
  <c r="N64" i="13"/>
  <c r="O63" i="13"/>
  <c r="J68" i="8" l="1"/>
  <c r="I69" i="8"/>
  <c r="N65" i="13"/>
  <c r="O64" i="13"/>
  <c r="N65" i="18"/>
  <c r="O64" i="18"/>
  <c r="N65" i="21"/>
  <c r="O64" i="21"/>
  <c r="N66" i="8"/>
  <c r="O65" i="8"/>
  <c r="J69" i="8" l="1"/>
  <c r="I70" i="8"/>
  <c r="N67" i="8"/>
  <c r="O66" i="8"/>
  <c r="N66" i="21"/>
  <c r="O65" i="21"/>
  <c r="N66" i="18"/>
  <c r="O65" i="18"/>
  <c r="N66" i="13"/>
  <c r="O65" i="13"/>
  <c r="J70" i="8" l="1"/>
  <c r="I71" i="8"/>
  <c r="N67" i="13"/>
  <c r="O66" i="13"/>
  <c r="N67" i="18"/>
  <c r="O66" i="18"/>
  <c r="N67" i="21"/>
  <c r="O66" i="21"/>
  <c r="O67" i="8"/>
  <c r="N68" i="8"/>
  <c r="J71" i="8" l="1"/>
  <c r="I72" i="8"/>
  <c r="N69" i="8"/>
  <c r="O68" i="8"/>
  <c r="N68" i="21"/>
  <c r="O67" i="21"/>
  <c r="N68" i="18"/>
  <c r="O67" i="18"/>
  <c r="N68" i="13"/>
  <c r="O67" i="13"/>
  <c r="I73" i="8" l="1"/>
  <c r="J72" i="8"/>
  <c r="N69" i="13"/>
  <c r="O68" i="13"/>
  <c r="N69" i="18"/>
  <c r="O68" i="18"/>
  <c r="N69" i="21"/>
  <c r="O68" i="21"/>
  <c r="N70" i="8"/>
  <c r="O69" i="8"/>
  <c r="J73" i="8" l="1"/>
  <c r="I74" i="8"/>
  <c r="N71" i="8"/>
  <c r="O70" i="8"/>
  <c r="N70" i="21"/>
  <c r="O69" i="21"/>
  <c r="N70" i="18"/>
  <c r="O69" i="18"/>
  <c r="N70" i="13"/>
  <c r="O69" i="13"/>
  <c r="J74" i="8" l="1"/>
  <c r="I75" i="8"/>
  <c r="N71" i="13"/>
  <c r="O70" i="13"/>
  <c r="N71" i="18"/>
  <c r="O70" i="18"/>
  <c r="N71" i="21"/>
  <c r="O70" i="21"/>
  <c r="N72" i="8"/>
  <c r="O71" i="8"/>
  <c r="J75" i="8" l="1"/>
  <c r="I76" i="8"/>
  <c r="N73" i="8"/>
  <c r="O72" i="8"/>
  <c r="N72" i="21"/>
  <c r="O71" i="21"/>
  <c r="N72" i="18"/>
  <c r="O71" i="18"/>
  <c r="N72" i="13"/>
  <c r="O71" i="13"/>
  <c r="I77" i="8" l="1"/>
  <c r="J76" i="8"/>
  <c r="N73" i="13"/>
  <c r="O72" i="13"/>
  <c r="O72" i="18"/>
  <c r="N73" i="18"/>
  <c r="N73" i="21"/>
  <c r="O72" i="21"/>
  <c r="N74" i="8"/>
  <c r="O73" i="8"/>
  <c r="I78" i="8" l="1"/>
  <c r="J77" i="8"/>
  <c r="N75" i="8"/>
  <c r="O74" i="8"/>
  <c r="N74" i="21"/>
  <c r="O73" i="21"/>
  <c r="N74" i="18"/>
  <c r="O73" i="18"/>
  <c r="N74" i="13"/>
  <c r="O73" i="13"/>
  <c r="J78" i="8" l="1"/>
  <c r="I79" i="8"/>
  <c r="J79" i="8" s="1"/>
  <c r="N75" i="13"/>
  <c r="O74" i="13"/>
  <c r="N75" i="18"/>
  <c r="O74" i="18"/>
  <c r="N75" i="21"/>
  <c r="O74" i="21"/>
  <c r="N76" i="8"/>
  <c r="O75" i="8"/>
  <c r="N77" i="8" l="1"/>
  <c r="O76" i="8"/>
  <c r="O75" i="21"/>
  <c r="N76" i="21"/>
  <c r="N76" i="18"/>
  <c r="O75" i="18"/>
  <c r="N76" i="13"/>
  <c r="O75" i="13"/>
  <c r="N77" i="13" l="1"/>
  <c r="O76" i="13"/>
  <c r="N77" i="18"/>
  <c r="O76" i="18"/>
  <c r="N77" i="21"/>
  <c r="O76" i="21"/>
  <c r="N78" i="8"/>
  <c r="O77" i="8"/>
  <c r="N79" i="8" l="1"/>
  <c r="O79" i="8" s="1"/>
  <c r="O78" i="8"/>
  <c r="O77" i="21"/>
  <c r="N78" i="21"/>
  <c r="N78" i="18"/>
  <c r="O77" i="18"/>
  <c r="N78" i="13"/>
  <c r="O77" i="13"/>
  <c r="N79" i="13" l="1"/>
  <c r="O79" i="13" s="1"/>
  <c r="O78" i="13"/>
  <c r="N79" i="18"/>
  <c r="O79" i="18" s="1"/>
  <c r="O78" i="18"/>
  <c r="N79" i="21"/>
  <c r="O79" i="21" s="1"/>
  <c r="O78" i="21"/>
  <c r="BY27" i="7" l="1"/>
  <c r="BY26" i="7" s="1"/>
  <c r="BZ17" i="7" s="1"/>
  <c r="BY90" i="7" s="1"/>
  <c r="AA26" i="7"/>
  <c r="AA98" i="7"/>
  <c r="AA100" i="7" s="1"/>
  <c r="Z26" i="7" l="1"/>
  <c r="Z98" i="7" s="1"/>
  <c r="Z99" i="7" s="1"/>
  <c r="AA99" i="7" s="1"/>
  <c r="AB99" i="7" s="1"/>
  <c r="AC99" i="7" s="1"/>
  <c r="AD99" i="7" s="1"/>
  <c r="AE99" i="7" s="1"/>
  <c r="AF99" i="7" s="1"/>
  <c r="Z100" i="7" l="1"/>
  <c r="Z101" i="7" s="1"/>
  <c r="AA101" i="7" s="1"/>
  <c r="AB101" i="7" l="1"/>
  <c r="AC101" i="7"/>
  <c r="AD101" i="7" l="1"/>
  <c r="E6" i="9"/>
  <c r="AE101" i="7"/>
  <c r="AB124" i="7"/>
  <c r="AF101" i="7" l="1"/>
  <c r="AG101" i="7" s="1"/>
  <c r="AE124" i="7"/>
  <c r="E9" i="9"/>
  <c r="E12" i="9" s="1"/>
  <c r="G6" i="9"/>
  <c r="D130" i="7"/>
  <c r="AD124" i="7"/>
  <c r="AH101" i="7" l="1"/>
  <c r="AI101" i="7" s="1"/>
  <c r="AJ101" i="7" s="1"/>
  <c r="AK101" i="7" s="1"/>
  <c r="AL101" i="7" s="1"/>
  <c r="AM101" i="7" s="1"/>
  <c r="AN101" i="7" s="1"/>
  <c r="AO101" i="7" s="1"/>
  <c r="AP101" i="7" s="1"/>
  <c r="AQ101" i="7" s="1"/>
  <c r="AR101" i="7" s="1"/>
  <c r="AS101" i="7" s="1"/>
  <c r="AT101" i="7" s="1"/>
  <c r="AU101" i="7" s="1"/>
  <c r="AV101" i="7" s="1"/>
  <c r="AW101" i="7" s="1"/>
  <c r="AX101" i="7" s="1"/>
  <c r="AY101" i="7" s="1"/>
  <c r="AZ101" i="7" s="1"/>
  <c r="BA101" i="7" s="1"/>
  <c r="BB101" i="7" s="1"/>
  <c r="BC101" i="7" s="1"/>
  <c r="BD101" i="7" s="1"/>
  <c r="BE101" i="7" s="1"/>
  <c r="BF101" i="7" s="1"/>
  <c r="BG101" i="7" s="1"/>
  <c r="BH101" i="7" s="1"/>
  <c r="BI101" i="7" s="1"/>
  <c r="BJ101" i="7" s="1"/>
  <c r="BK101" i="7" s="1"/>
  <c r="BL101" i="7" s="1"/>
  <c r="BM101" i="7" s="1"/>
  <c r="BN101" i="7" s="1"/>
  <c r="BO101" i="7" s="1"/>
  <c r="BP101" i="7" s="1"/>
  <c r="BQ101" i="7" s="1"/>
  <c r="BR101" i="7" s="1"/>
  <c r="BS101" i="7" s="1"/>
  <c r="BT101" i="7" s="1"/>
  <c r="BU101" i="7" s="1"/>
  <c r="BV101" i="7" s="1"/>
  <c r="BW101" i="7" s="1"/>
  <c r="BX101" i="7" s="1"/>
  <c r="AG121" i="7"/>
  <c r="AG124" i="7" s="1"/>
  <c r="BX110" i="7"/>
  <c r="D111" i="7" s="1"/>
  <c r="BX114" i="7"/>
  <c r="BX171" i="7" l="1"/>
  <c r="BX122" i="7"/>
  <c r="BX155" i="7" s="1"/>
  <c r="BX187" i="7"/>
  <c r="BX139" i="7"/>
  <c r="BX121" i="7"/>
  <c r="BX124" i="7" s="1"/>
  <c r="R18" i="9"/>
  <c r="V18" i="9" s="1"/>
  <c r="W18" i="9" s="1"/>
  <c r="F21" i="9"/>
  <c r="F18" i="9" s="1"/>
  <c r="G21" i="9" l="1"/>
  <c r="G18" i="9" s="1"/>
  <c r="E36" i="9" s="1"/>
  <c r="E44" i="9" s="1"/>
  <c r="BX141" i="7"/>
  <c r="D147" i="7"/>
  <c r="D148" i="7" s="1"/>
  <c r="D195" i="7"/>
  <c r="BX189" i="7"/>
  <c r="D163" i="7"/>
  <c r="BX157" i="7"/>
  <c r="BX158" i="7" s="1"/>
  <c r="BX173" i="7"/>
  <c r="D179" i="7"/>
  <c r="E48" i="9"/>
  <c r="E46" i="9"/>
  <c r="E50" i="9"/>
  <c r="E47" i="9" l="1"/>
  <c r="E49" i="9"/>
  <c r="D175" i="7"/>
  <c r="BX174" i="7"/>
  <c r="D191" i="7"/>
  <c r="BX190" i="7"/>
  <c r="D143" i="7"/>
  <c r="BX14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3" authorId="0" shapeId="0" xr:uid="{00000000-0006-0000-0000-000003000000}">
      <text>
        <r>
          <rPr>
            <sz val="11"/>
            <color theme="1"/>
            <rFont val="Arial"/>
            <family val="2"/>
            <scheme val="minor"/>
          </rPr>
          <t>50000 Kc kompenzace nakladu
	-Dmitry Egorov</t>
        </r>
      </text>
    </comment>
    <comment ref="D8" authorId="0" shapeId="0" xr:uid="{00000000-0006-0000-0000-000001000000}">
      <text>
        <r>
          <rPr>
            <sz val="11"/>
            <color theme="1"/>
            <rFont val="Arial"/>
            <family val="2"/>
            <scheme val="minor"/>
          </rPr>
          <t>změna za Fajn zoo
	-Vilma Taborová</t>
        </r>
      </text>
    </comment>
    <comment ref="J8" authorId="0" shapeId="0" xr:uid="{00000000-0006-0000-0000-000002000000}">
      <text>
        <r>
          <rPr>
            <sz val="11"/>
            <color theme="1"/>
            <rFont val="Arial"/>
            <family val="2"/>
            <scheme val="minor"/>
          </rPr>
          <t>poskytneme 1 x měsíční rent free
	-Vilma Taborová</t>
        </r>
      </text>
    </comment>
    <comment ref="N16" authorId="0" shapeId="0" xr:uid="{BC4D6F99-E67C-4C3B-AD3F-2B4D598A699D}">
      <text>
        <r>
          <rPr>
            <sz val="11"/>
            <color theme="1"/>
            <rFont val="Arial"/>
            <family val="2"/>
            <scheme val="minor"/>
          </rPr>
          <t>50000 Kc kompenzace nakladu
	-Dmitry Egorov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36" authorId="0" shapeId="0" xr:uid="{00000000-0006-0000-0400-000001000000}">
      <text>
        <r>
          <rPr>
            <sz val="11"/>
            <color theme="1"/>
            <rFont val="Arial"/>
            <family val="2"/>
            <scheme val="minor"/>
          </rPr>
          <t xml:space="preserve">Kompenzace Alza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V6" authorId="0" shapeId="0" xr:uid="{00000000-0006-0000-0600-000001000000}">
      <text>
        <r>
          <rPr>
            <sz val="11"/>
            <color rgb="FF000000"/>
            <rFont val="Arial"/>
            <family val="2"/>
          </rPr>
          <t xml:space="preserve">390000 LHM
</t>
        </r>
        <r>
          <rPr>
            <sz val="11"/>
            <color rgb="FF000000"/>
            <rFont val="Arial"/>
            <family val="2"/>
          </rPr>
          <t xml:space="preserve">	-Dmitry Egorov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V6" authorId="0" shapeId="0" xr:uid="{254C91C1-4BA5-4076-B512-7AEBA4A2583B}">
      <text>
        <r>
          <rPr>
            <sz val="11"/>
            <color theme="1"/>
            <rFont val="Arial"/>
            <family val="2"/>
            <scheme val="minor"/>
          </rPr>
          <t>390000 LHM
	-Dmitry Egorov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36" authorId="0" shapeId="0" xr:uid="{00000000-0006-0000-0A00-000001000000}">
      <text>
        <r>
          <rPr>
            <sz val="11"/>
            <color theme="1"/>
            <rFont val="Arial"/>
            <family val="2"/>
            <scheme val="minor"/>
          </rPr>
          <t xml:space="preserve">Kompenzace Alza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<sst xmlns="http://schemas.openxmlformats.org/spreadsheetml/2006/main" count="4283" uniqueCount="698">
  <si>
    <t>HOT</t>
  </si>
  <si>
    <t>SOSBN</t>
  </si>
  <si>
    <t>NS</t>
  </si>
  <si>
    <t>NÁJEMCE</t>
  </si>
  <si>
    <t>STAVEBNÍ PŘIPRAVENOST</t>
  </si>
  <si>
    <t>UŽITNÁ PLOCHA</t>
  </si>
  <si>
    <t>PLATEBNÍ OBDOBI</t>
  </si>
  <si>
    <t>NÁJEM EUR M2 BEZ DPH</t>
  </si>
  <si>
    <t>NÁJEM CZK M2 BEZ DPH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</si>
  <si>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</si>
  <si>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</si>
  <si>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</si>
  <si>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</si>
  <si>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</si>
  <si>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</si>
  <si>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</si>
  <si>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</si>
  <si>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</si>
  <si>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</si>
  <si>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</si>
  <si>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 Nájem</t>
  </si>
  <si>
    <t>INDEXACE servisy</t>
  </si>
  <si>
    <t>shell and core</t>
  </si>
  <si>
    <t>Penny</t>
  </si>
  <si>
    <t>full fit-out</t>
  </si>
  <si>
    <t>měsíčně</t>
  </si>
  <si>
    <t>Dodatkem 3 x N vč. servisu</t>
  </si>
  <si>
    <t>15 let</t>
  </si>
  <si>
    <t>Alza</t>
  </si>
  <si>
    <t>pozemek</t>
  </si>
  <si>
    <t>od 2.roku 100%</t>
  </si>
  <si>
    <t>Myčka</t>
  </si>
  <si>
    <t>Pepco</t>
  </si>
  <si>
    <t>3 x N vc. servisu</t>
  </si>
  <si>
    <t>2 x 5 let</t>
  </si>
  <si>
    <t>Teta</t>
  </si>
  <si>
    <t>3 x N</t>
  </si>
  <si>
    <t>Traficon</t>
  </si>
  <si>
    <t>Salon Beauty</t>
  </si>
  <si>
    <t>Z-Box</t>
  </si>
  <si>
    <t>0 Kč</t>
  </si>
  <si>
    <t>CELKEM, rok</t>
  </si>
  <si>
    <t>CHECK</t>
  </si>
  <si>
    <t>LF - Rekonciliace</t>
  </si>
  <si>
    <t>Celkova plocha</t>
  </si>
  <si>
    <t>LF do 20.11.</t>
  </si>
  <si>
    <t>Celkovy najem rok</t>
  </si>
  <si>
    <t>LF jednotlivo</t>
  </si>
  <si>
    <t>Zastavitelnost pozemku</t>
  </si>
  <si>
    <t>dopocitat</t>
  </si>
  <si>
    <t>Pozdovana zastavitelnost</t>
  </si>
  <si>
    <t>Kurz EUR/CZK</t>
  </si>
  <si>
    <t>141 13E 40kc</t>
  </si>
  <si>
    <t>Home Textil</t>
  </si>
  <si>
    <t>fa</t>
  </si>
  <si>
    <t>pm realiyace</t>
  </si>
  <si>
    <t>za rijen v 11</t>
  </si>
  <si>
    <t>vlakd v kn</t>
  </si>
  <si>
    <t xml:space="preserve">v 11 po zapisu </t>
  </si>
  <si>
    <t>WOK</t>
  </si>
  <si>
    <t>14 + 1mesic rent free</t>
  </si>
  <si>
    <t>LF 1/4</t>
  </si>
  <si>
    <t>LF 3/4</t>
  </si>
  <si>
    <t>NÁJEM MĚSÍC BEZ DPH</t>
  </si>
  <si>
    <t xml:space="preserve">Termín nájmu </t>
  </si>
  <si>
    <t xml:space="preserve">Sleva z nájmu </t>
  </si>
  <si>
    <t>Step rents</t>
  </si>
  <si>
    <t>Indexace nájem</t>
  </si>
  <si>
    <t>Indexace service Fix</t>
  </si>
  <si>
    <t>Opce</t>
  </si>
  <si>
    <t xml:space="preserve">Bankovní záruky </t>
  </si>
  <si>
    <t>Korporatní záruka</t>
  </si>
  <si>
    <t>Jistoty</t>
  </si>
  <si>
    <t>Service Fix / m2</t>
  </si>
  <si>
    <t>Service Fix</t>
  </si>
  <si>
    <t> </t>
  </si>
  <si>
    <t>---</t>
  </si>
  <si>
    <t>85% HICP od 1.1.2026</t>
  </si>
  <si>
    <t>100% ČSU od 1.1.2026</t>
  </si>
  <si>
    <t>3 x 5 let + 2 roky</t>
  </si>
  <si>
    <t>63631 EUR + 161197 CZK</t>
  </si>
  <si>
    <t>doba neurčita</t>
  </si>
  <si>
    <t>100% ČSU od 1.1.2027</t>
  </si>
  <si>
    <t>5 let</t>
  </si>
  <si>
    <t>80%  HICP od 2. roku</t>
  </si>
  <si>
    <t>80% HICP od 2. roku</t>
  </si>
  <si>
    <t xml:space="preserve">80% HICP od 2. roku </t>
  </si>
  <si>
    <t xml:space="preserve">100% ČSU od 2. roku </t>
  </si>
  <si>
    <t xml:space="preserve">     39,00 CZK</t>
  </si>
  <si>
    <t>100% HICP od 1.1.2027</t>
  </si>
  <si>
    <t>Home textile</t>
  </si>
  <si>
    <t>10 let</t>
  </si>
  <si>
    <t>85% HICP 4. rok</t>
  </si>
  <si>
    <t>85% ČSU 4. rok</t>
  </si>
  <si>
    <t>5460 EUR + 16800 CZK</t>
  </si>
  <si>
    <t xml:space="preserve">     40,00 CZK</t>
  </si>
  <si>
    <t>100% ČSU od 1.1.2028</t>
  </si>
  <si>
    <t>EUR/CZK 15.10.2025</t>
  </si>
  <si>
    <t>Etapy</t>
  </si>
  <si>
    <t>Reformat</t>
  </si>
  <si>
    <t>Milník</t>
  </si>
  <si>
    <t>Podil milníku na projektu</t>
  </si>
  <si>
    <t>Úkol</t>
  </si>
  <si>
    <t>Začátek</t>
  </si>
  <si>
    <t>Konec</t>
  </si>
  <si>
    <t>Očekavány výsledek</t>
  </si>
  <si>
    <t>Výsledek</t>
  </si>
  <si>
    <t>Komentář</t>
  </si>
  <si>
    <t>Aktuální stav</t>
  </si>
  <si>
    <t>Odkaz</t>
  </si>
  <si>
    <t>Odpovědná osoba</t>
  </si>
  <si>
    <t>Podpůrné zdroje</t>
  </si>
  <si>
    <t>Přípravná fáze výstavby</t>
  </si>
  <si>
    <t>zapis KS</t>
  </si>
  <si>
    <t>Úkol (test)</t>
  </si>
  <si>
    <t>Projektování</t>
  </si>
  <si>
    <t>Nabýti SP</t>
  </si>
  <si>
    <t>Výstavba</t>
  </si>
  <si>
    <t>Nájem</t>
  </si>
  <si>
    <t>Najem</t>
  </si>
  <si>
    <t>Finacování</t>
  </si>
  <si>
    <t>Equity</t>
  </si>
  <si>
    <t>Akvizice</t>
  </si>
  <si>
    <t>Interní</t>
  </si>
  <si>
    <t>Začátek projektu</t>
  </si>
  <si>
    <t>TOTAL</t>
  </si>
  <si>
    <t>Dneska</t>
  </si>
  <si>
    <t>Podil milníku na projektu %</t>
  </si>
  <si>
    <t>Podil milníku na projektu Kč</t>
  </si>
  <si>
    <t>Vypočet den</t>
  </si>
  <si>
    <t xml:space="preserve">PROJEKT: </t>
  </si>
  <si>
    <t xml:space="preserve">Náklady </t>
  </si>
  <si>
    <t>Výnosy</t>
  </si>
  <si>
    <t>Fáze</t>
  </si>
  <si>
    <t xml:space="preserve">A. 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</si>
  <si>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</si>
  <si>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</si>
  <si>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</si>
  <si>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</si>
  <si>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</si>
  <si>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</si>
  <si>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</si>
  <si>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</si>
  <si>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servis fix</t>
  </si>
  <si>
    <t>Kč celkem</t>
  </si>
  <si>
    <t>Analýza pozemků</t>
  </si>
  <si>
    <t>kpl</t>
  </si>
  <si>
    <t>fakt</t>
  </si>
  <si>
    <t>Připrava projektu</t>
  </si>
  <si>
    <t>Nákup podílů</t>
  </si>
  <si>
    <t xml:space="preserve">Územní rozhodnutí </t>
  </si>
  <si>
    <t>vyjadřovaní DOSS</t>
  </si>
  <si>
    <t xml:space="preserve">Stavební povolení </t>
  </si>
  <si>
    <t>pct</t>
  </si>
  <si>
    <t>Vystavba projektu</t>
  </si>
  <si>
    <t xml:space="preserve">Kolaudace </t>
  </si>
  <si>
    <t>Celkem</t>
  </si>
  <si>
    <t>Celkem měsiců</t>
  </si>
  <si>
    <t>Cena na m2 prodejní plochy</t>
  </si>
  <si>
    <t>B.</t>
  </si>
  <si>
    <t>Celkem plocha m2</t>
  </si>
  <si>
    <t>Průměr</t>
  </si>
  <si>
    <t>Reziduální hodnota pozemku (Yield Development)</t>
  </si>
  <si>
    <t>Jednotka</t>
  </si>
  <si>
    <t>JC</t>
  </si>
  <si>
    <t>Celkem výnosy GRI (rok)</t>
  </si>
  <si>
    <t>Yield Development</t>
  </si>
  <si>
    <t>OPEX</t>
  </si>
  <si>
    <t>Roční nájem v Kč</t>
  </si>
  <si>
    <t>ZSPD</t>
  </si>
  <si>
    <t>YIELD Market</t>
  </si>
  <si>
    <t>Náklady projektu bez pozemku</t>
  </si>
  <si>
    <t>DPS 2.etapa</t>
  </si>
  <si>
    <t>Prodejce</t>
  </si>
  <si>
    <t>Pořizovací cena z YIELDu</t>
  </si>
  <si>
    <t>Prodej pozemku (% plochy)</t>
  </si>
  <si>
    <t>Hrubá reziduální hodnota pozemku</t>
  </si>
  <si>
    <t xml:space="preserve">Prodejní cena pozemek </t>
  </si>
  <si>
    <t>ČISTÁ REZIDUÁLNÍ HODNOTA POZEMKU</t>
  </si>
  <si>
    <t xml:space="preserve">Prodejní cena retail </t>
  </si>
  <si>
    <t>Prodejní cena celkem</t>
  </si>
  <si>
    <t>C.</t>
  </si>
  <si>
    <t>Reziduální hodnota pozemku (YIELD Market)</t>
  </si>
  <si>
    <t>Marže v %</t>
  </si>
  <si>
    <t>Marže v Kč</t>
  </si>
  <si>
    <t>Viceprace 1. etapa</t>
  </si>
  <si>
    <t>Náklady na realizace stavby 2. etapa</t>
  </si>
  <si>
    <t>plan</t>
  </si>
  <si>
    <t xml:space="preserve">Prodejní cena </t>
  </si>
  <si>
    <t>Komunikace</t>
  </si>
  <si>
    <t>HTU</t>
  </si>
  <si>
    <t>Vynucené investice</t>
  </si>
  <si>
    <t>Hodnota pozemku po SP</t>
  </si>
  <si>
    <t>Kompenzace nakladu Alza</t>
  </si>
  <si>
    <t>Marže %</t>
  </si>
  <si>
    <t>Marže Kč</t>
  </si>
  <si>
    <t>Distrbucni site 1. etapa</t>
  </si>
  <si>
    <t>Distrbucni site 2. etapa</t>
  </si>
  <si>
    <t>Stavební příspěvek PENNY</t>
  </si>
  <si>
    <t>D.</t>
  </si>
  <si>
    <t>Citlivostní analýza poklesu YIELD</t>
  </si>
  <si>
    <t>NET PROFIT</t>
  </si>
  <si>
    <t>Yield</t>
  </si>
  <si>
    <t>E.</t>
  </si>
  <si>
    <t>Citlivostní analýza změny ceny stavby (YIELD 7,2%)</t>
  </si>
  <si>
    <t>Δ stavby</t>
  </si>
  <si>
    <t>DD včetně odhadu nákladů</t>
  </si>
  <si>
    <t>příprava/měsíční rejt z kterého lze počítat měsíční skutečnost</t>
  </si>
  <si>
    <t>realizace/PM/TDI/měsíc</t>
  </si>
  <si>
    <t>Pripravna faze 1. etapa</t>
  </si>
  <si>
    <t>F.</t>
  </si>
  <si>
    <t>Citlivostní analýza pří prodloužení projektu</t>
  </si>
  <si>
    <t>Δ (mes)</t>
  </si>
  <si>
    <t>ptc</t>
  </si>
  <si>
    <t>month</t>
  </si>
  <si>
    <t>Soft costs 2.etapa</t>
  </si>
  <si>
    <t>Project management (Interní)</t>
  </si>
  <si>
    <t>Project management (Externí)</t>
  </si>
  <si>
    <t>Cost manager</t>
  </si>
  <si>
    <t>cost management VŘ GP</t>
  </si>
  <si>
    <t>cost management VŘ GD</t>
  </si>
  <si>
    <t>realizace cost management controling/měsíc</t>
  </si>
  <si>
    <t>Koordinátor BOZP</t>
  </si>
  <si>
    <t>Administrativní náklady</t>
  </si>
  <si>
    <t>Ostatní náklady</t>
  </si>
  <si>
    <t>Právní služby</t>
  </si>
  <si>
    <t>Marketing</t>
  </si>
  <si>
    <t>Letting fee</t>
  </si>
  <si>
    <t>F. Financial costs 1. etapa</t>
  </si>
  <si>
    <t>Poplatky za zpracování úvěru</t>
  </si>
  <si>
    <t>Úrokové náklady CZK uver</t>
  </si>
  <si>
    <t>p.a</t>
  </si>
  <si>
    <t>F. Financial costs 2. etapa</t>
  </si>
  <si>
    <t>Zavazkova provize</t>
  </si>
  <si>
    <t>plan 11.2025</t>
  </si>
  <si>
    <t>Úrokové náklady EUR uver po prevedeni</t>
  </si>
  <si>
    <t>Bankovní poplatky</t>
  </si>
  <si>
    <t>Daně</t>
  </si>
  <si>
    <t>Sources</t>
  </si>
  <si>
    <t>Const. Loan</t>
  </si>
  <si>
    <t>Interest + Fees</t>
  </si>
  <si>
    <t>Construction Loan</t>
  </si>
  <si>
    <t>Equity Investment</t>
  </si>
  <si>
    <t>Total Sources</t>
  </si>
  <si>
    <t>Investice do projektu celkem:</t>
  </si>
  <si>
    <t>Cena na m2 prodejní plochy:</t>
  </si>
  <si>
    <t>fákt ke dni</t>
  </si>
  <si>
    <t>Cash -flow</t>
  </si>
  <si>
    <t>Součet</t>
  </si>
  <si>
    <t>param</t>
  </si>
  <si>
    <t>kol</t>
  </si>
  <si>
    <t>Vlastní zdroje</t>
  </si>
  <si>
    <t>Lekvi Investment M s.r.o. (1)</t>
  </si>
  <si>
    <t>(+)</t>
  </si>
  <si>
    <t>Lekvi Investment M s.r.o. (2)</t>
  </si>
  <si>
    <t>Equity 1</t>
  </si>
  <si>
    <t>Equity 2</t>
  </si>
  <si>
    <t>Cizí zdroje</t>
  </si>
  <si>
    <t>Úvěr Mezanin</t>
  </si>
  <si>
    <t>Úvěr Banka 2 etapa</t>
  </si>
  <si>
    <t>Úvěr Banka</t>
  </si>
  <si>
    <t>Příjmy z prodeje/Pronájmu</t>
  </si>
  <si>
    <t>Platby z pronájmu</t>
  </si>
  <si>
    <t>Platby z prodeje</t>
  </si>
  <si>
    <t>(+)/(-)</t>
  </si>
  <si>
    <t>Ostatní výnosy/Kauce</t>
  </si>
  <si>
    <t>Celkové zdroje</t>
  </si>
  <si>
    <t>Výdaje</t>
  </si>
  <si>
    <t>A. Land costs</t>
  </si>
  <si>
    <t>Výkup pohledávky</t>
  </si>
  <si>
    <t>(-)</t>
  </si>
  <si>
    <t>ZPF</t>
  </si>
  <si>
    <t>Předakviziční analýza</t>
  </si>
  <si>
    <t>Provize za nákup (INT)</t>
  </si>
  <si>
    <t>Provize za nákup (EXT)</t>
  </si>
  <si>
    <t>B. Architecture &amp; Engineering</t>
  </si>
  <si>
    <t>Projekt , architekt</t>
  </si>
  <si>
    <t>Engineering</t>
  </si>
  <si>
    <t>C. Constructions costs</t>
  </si>
  <si>
    <t>Náklady na realizace stavby</t>
  </si>
  <si>
    <t>Bourací práce</t>
  </si>
  <si>
    <t>Rekonstrukční náklady</t>
  </si>
  <si>
    <t>Náklady na inženýrské sítě</t>
  </si>
  <si>
    <t>Operativní náklady spojené s realizaci stavby</t>
  </si>
  <si>
    <t>Distrbucni site</t>
  </si>
  <si>
    <t>Rezerva</t>
  </si>
  <si>
    <t>D. Tenant improvements</t>
  </si>
  <si>
    <t>Tenant improvement</t>
  </si>
  <si>
    <t>Tenant contribution</t>
  </si>
  <si>
    <t>E. Soft costs</t>
  </si>
  <si>
    <t xml:space="preserve">Účetnictví </t>
  </si>
  <si>
    <t>Znalecké posudky</t>
  </si>
  <si>
    <t>F. Financial costs</t>
  </si>
  <si>
    <t>Poplatek za přístav</t>
  </si>
  <si>
    <t>Úrokové náklady</t>
  </si>
  <si>
    <t>F1.Interest</t>
  </si>
  <si>
    <t>Splátka úroku Lekvi Investment M s.r.o. (1)</t>
  </si>
  <si>
    <t>Splátka úroku Lekvi Investment M s.r.o. (2)</t>
  </si>
  <si>
    <t>Splátka úroku Equity 1</t>
  </si>
  <si>
    <t>Splátka úroku Equity 2</t>
  </si>
  <si>
    <t>Splátka úroku Mezanin</t>
  </si>
  <si>
    <t>Splátka úroku Banka 2 etapa</t>
  </si>
  <si>
    <t>Splátka úroku Banka</t>
  </si>
  <si>
    <t>Operational expenditures</t>
  </si>
  <si>
    <t>ostraha objektu + napojení na PCO</t>
  </si>
  <si>
    <t>pravidelný servis VZT - IVENT pro</t>
  </si>
  <si>
    <t>servisní práce (EPS)</t>
  </si>
  <si>
    <t>kontrola provozuschopnosti EPS</t>
  </si>
  <si>
    <t>Revize zařízení NN RETAIL</t>
  </si>
  <si>
    <t>služby zimní údržba</t>
  </si>
  <si>
    <t>letní údržba, sekání trávy, venkovní úklid</t>
  </si>
  <si>
    <t>požární ochrana</t>
  </si>
  <si>
    <t>pojištění podnikatelských rizik</t>
  </si>
  <si>
    <t>prohlídky aut. dveří</t>
  </si>
  <si>
    <t>kontrola požárních uzávěrů</t>
  </si>
  <si>
    <t>ORL - čištění, rozbory</t>
  </si>
  <si>
    <t>údržba retenční nádrže</t>
  </si>
  <si>
    <t>Tvorba finančních rezerv pro ostatní opravy a údržbu</t>
  </si>
  <si>
    <t>údržba společné příjezdové komunikace-je v rámci zimní i letní</t>
  </si>
  <si>
    <t>Hrubý odhad en bloc</t>
  </si>
  <si>
    <t>Property a facility management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</si>
  <si>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</si>
  <si>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</si>
  <si>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</si>
  <si>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</si>
  <si>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</si>
  <si>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</si>
  <si>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Investment M s.r.o. (1)</t>
  </si>
  <si>
    <t>Splátka jistiny Equity 1</t>
  </si>
  <si>
    <t>Splátka jistiny Lekvi Investment M s.r.o. (2)</t>
  </si>
  <si>
    <t>Splátka jistiny Equity 2</t>
  </si>
  <si>
    <t>Splátka jistiny Business Angel</t>
  </si>
  <si>
    <t>Splátka jistiny Banka 2 etapa</t>
  </si>
  <si>
    <t>Splátka jistiny Banka</t>
  </si>
  <si>
    <t>Celkové výdaje</t>
  </si>
  <si>
    <t xml:space="preserve">Vysledek cash -flow </t>
  </si>
  <si>
    <t>Stav na BÚ</t>
  </si>
  <si>
    <t>Rozdělení zisku:
IRR projektu &lt; 25 %: zisk se rozdělí mezi investory v poměru k vlastnímu kapitálu. Development fee = 0
IRR projektu &gt; 25 %: nejprve je vyplacen Development fee = 20 %, zbytek zisku je rozdělen mezi investory v poměru k vlastnímu kapitálu.</t>
  </si>
  <si>
    <t>CF of investors</t>
  </si>
  <si>
    <t>IRR</t>
  </si>
  <si>
    <t>CF Development Fee</t>
  </si>
  <si>
    <t>Penežní tok Lekvi Investment M s.r.o.</t>
  </si>
  <si>
    <t>Sale of receivables</t>
  </si>
  <si>
    <t>Interest</t>
  </si>
  <si>
    <t>Profit</t>
  </si>
  <si>
    <t>Motivace od výnosu</t>
  </si>
  <si>
    <t>Penežní tok TOTAL</t>
  </si>
  <si>
    <t>Investice - úvěr</t>
  </si>
  <si>
    <t>Investice - podíl</t>
  </si>
  <si>
    <t>Celkem Investice</t>
  </si>
  <si>
    <t>Celkem Výnos</t>
  </si>
  <si>
    <t>ROI</t>
  </si>
  <si>
    <t>Penežní tok LD A LDPI</t>
  </si>
  <si>
    <t>Purchase of receivables</t>
  </si>
  <si>
    <t>Saldo</t>
  </si>
  <si>
    <t>Penežní tok NanoProjekt-10 s.r.o.</t>
  </si>
  <si>
    <t>Penežní tok Gora-N Retail s.r.o.</t>
  </si>
  <si>
    <t>Penežní tok PGS-INVEST R s.r.o.</t>
  </si>
  <si>
    <t>fakt ke dni</t>
  </si>
  <si>
    <t>Loan &amp; Interest Lekvi Development s.r.o.</t>
  </si>
  <si>
    <t xml:space="preserve">Loan &amp; Interest Equity 1 </t>
  </si>
  <si>
    <t>Loan &amp; Interest Equity 2</t>
  </si>
  <si>
    <t>Loan &amp; Interest Equity 3</t>
  </si>
  <si>
    <t>Month</t>
  </si>
  <si>
    <t>△ of loan</t>
  </si>
  <si>
    <t>Interests</t>
  </si>
  <si>
    <t>predpokladaný datum prodeje</t>
  </si>
  <si>
    <t>Предполагаемая дата продажи</t>
  </si>
  <si>
    <t>I etapa</t>
  </si>
  <si>
    <t>II etapa</t>
  </si>
  <si>
    <t>predpokladaná cena prodeje</t>
  </si>
  <si>
    <t>Предполагаемая цена продажи</t>
  </si>
  <si>
    <t>Zůstatek BU k 30.11.2025</t>
  </si>
  <si>
    <t>Остаток на банковском счете 30.11.2025</t>
  </si>
  <si>
    <t>Nájem 4.2026</t>
  </si>
  <si>
    <t>Аренда 12.2025</t>
  </si>
  <si>
    <t>DPH 12.2025</t>
  </si>
  <si>
    <t>НДС</t>
  </si>
  <si>
    <t>Náklady 12.2025</t>
  </si>
  <si>
    <t>Расходы 12.2025</t>
  </si>
  <si>
    <t>Total</t>
  </si>
  <si>
    <t>Vraceni Banka</t>
  </si>
  <si>
    <t>Возврат кредиторам:</t>
  </si>
  <si>
    <t>Vraceni jistiny Banka</t>
  </si>
  <si>
    <t>Возврат суммы кредита банку</t>
  </si>
  <si>
    <t>LD</t>
  </si>
  <si>
    <t>Splaceni uroku Banka</t>
  </si>
  <si>
    <t>Выплата % по кредиту банка</t>
  </si>
  <si>
    <t>LHM</t>
  </si>
  <si>
    <t>Vraceni Equity</t>
  </si>
  <si>
    <t>Возврат суммы кредита инвесторам:</t>
  </si>
  <si>
    <t>Nano</t>
  </si>
  <si>
    <t>Vraceni LD</t>
  </si>
  <si>
    <t>Lekvi Development</t>
  </si>
  <si>
    <t>PGS</t>
  </si>
  <si>
    <t>Vraceni LDPI ( LHM ted)</t>
  </si>
  <si>
    <t>Lekvi rizikový kapitál</t>
  </si>
  <si>
    <t>Gora</t>
  </si>
  <si>
    <t>Vraceni Nano</t>
  </si>
  <si>
    <t>Vraceni Gora</t>
  </si>
  <si>
    <t>Vraceni PGS</t>
  </si>
  <si>
    <t>Splaceni uroku Equity</t>
  </si>
  <si>
    <t>Выплата % по кредитам инвесторов:</t>
  </si>
  <si>
    <t>Splaceni uroku LD</t>
  </si>
  <si>
    <t>Splaceni uroku LDPI (LHM ted)</t>
  </si>
  <si>
    <t>Splaceni uroku NANO</t>
  </si>
  <si>
    <t>Splaceni uroku GORA</t>
  </si>
  <si>
    <t>Splaceni uroku PGS</t>
  </si>
  <si>
    <t>Splaceni pocatecni ceny podilu nebo celkove ceny podilu</t>
  </si>
  <si>
    <t>Выплата начальной стоимости подилу:</t>
  </si>
  <si>
    <t>LDPI (LHM ted)</t>
  </si>
  <si>
    <t>Rozdil mezi cenou prodeje a vracenymi castky</t>
  </si>
  <si>
    <t>Разница между продажной ценой и возвратными суммами</t>
  </si>
  <si>
    <t>Uhrada dane 21% z prijmu - uroky Equity (Odečet)</t>
  </si>
  <si>
    <t>Оплата инвесторами налога 21% за начисленные % по займам. Минус</t>
  </si>
  <si>
    <t>Net profit</t>
  </si>
  <si>
    <t>Чистый доход</t>
  </si>
  <si>
    <t>Rozdeleni net profitu (prodeje podílů)</t>
  </si>
  <si>
    <t>Распределение чистого дохода (продаж подилов) за:</t>
  </si>
  <si>
    <t>3x Najem</t>
  </si>
  <si>
    <t>Puvodni investice 5 750 000</t>
  </si>
  <si>
    <t>Kalkulácia kúpnej ceny za obchodný podiel / Purchase Price calculation shareholding</t>
  </si>
  <si>
    <t>Fx RATE</t>
  </si>
  <si>
    <t>Minimální závazný výčet informací
 podle vyhlášky č. 500/2002 Sb.</t>
  </si>
  <si>
    <t>ROZVAHA</t>
  </si>
  <si>
    <t>Obchodní firma nebo jiný název účetní jednotky:</t>
  </si>
  <si>
    <t>1. Hodnota transakcie / Transaction Value (TV)</t>
  </si>
  <si>
    <t>Predbežná / Preliminary</t>
  </si>
  <si>
    <t>FINAL</t>
  </si>
  <si>
    <t>v plném rozsahu</t>
  </si>
  <si>
    <t>Lekvi Development 3 s.r.o.</t>
  </si>
  <si>
    <t>TV</t>
  </si>
  <si>
    <t>Hodnota transakce</t>
  </si>
  <si>
    <t>Transaction value</t>
  </si>
  <si>
    <t>ke dni</t>
  </si>
  <si>
    <t>2. Úprava transakčnej ceny / Transaction price corrections (CFDF)</t>
  </si>
  <si>
    <t>(v Kč)</t>
  </si>
  <si>
    <t>Sídlo nebo bydliště účetní jednotky
 a místo podnikání liší-li se od bydliště:</t>
  </si>
  <si>
    <t>Vliv na KC</t>
  </si>
  <si>
    <t>hodnota ve vzorci</t>
  </si>
  <si>
    <t>Bod</t>
  </si>
  <si>
    <t>Položka</t>
  </si>
  <si>
    <t>Item</t>
  </si>
  <si>
    <t>Položka Rozvahy</t>
  </si>
  <si>
    <t>Částka</t>
  </si>
  <si>
    <t>Rok</t>
  </si>
  <si>
    <t>Měsíc</t>
  </si>
  <si>
    <t>IČ</t>
  </si>
  <si>
    <t>Pitterova 2855/13</t>
  </si>
  <si>
    <t>+</t>
  </si>
  <si>
    <t>Z</t>
  </si>
  <si>
    <t>A</t>
  </si>
  <si>
    <t>Zásoby</t>
  </si>
  <si>
    <t>Inventory</t>
  </si>
  <si>
    <t>Aktiva C.I.</t>
  </si>
  <si>
    <t>Praha</t>
  </si>
  <si>
    <t>DP</t>
  </si>
  <si>
    <t>B</t>
  </si>
  <si>
    <t>Dlouhodobé pohledávky</t>
  </si>
  <si>
    <t>Non current Receivables</t>
  </si>
  <si>
    <t>Aktiva C.II.1.</t>
  </si>
  <si>
    <t>KP</t>
  </si>
  <si>
    <t>C</t>
  </si>
  <si>
    <t>Krátkodobé pohledávky</t>
  </si>
  <si>
    <t>Current Receivables</t>
  </si>
  <si>
    <t>Aktiva C.II.2.</t>
  </si>
  <si>
    <t>Česká republika</t>
  </si>
  <si>
    <t>PP</t>
  </si>
  <si>
    <t>D</t>
  </si>
  <si>
    <t>Peněžní prostředky</t>
  </si>
  <si>
    <t>Financial assets</t>
  </si>
  <si>
    <t>Aktiva C.IV</t>
  </si>
  <si>
    <t>ČRA</t>
  </si>
  <si>
    <t>E</t>
  </si>
  <si>
    <t>Časové rozlišení aktiv</t>
  </si>
  <si>
    <t>Accrual for assets</t>
  </si>
  <si>
    <t>Aktiva D.</t>
  </si>
  <si>
    <t>Označení</t>
  </si>
  <si>
    <t>A K T I V A</t>
  </si>
  <si>
    <t>Číslo
 řádku</t>
  </si>
  <si>
    <t>Běžné účetní období</t>
  </si>
  <si>
    <t>Minulé úč. období</t>
  </si>
  <si>
    <t>−</t>
  </si>
  <si>
    <t>DR</t>
  </si>
  <si>
    <t>F</t>
  </si>
  <si>
    <t>Dlhodobé rezervy</t>
  </si>
  <si>
    <t>Non-current provisions</t>
  </si>
  <si>
    <t>Pasiva B.II.</t>
  </si>
  <si>
    <t>Brutto</t>
  </si>
  <si>
    <t>Korekce</t>
  </si>
  <si>
    <t>Netto</t>
  </si>
  <si>
    <t>ZU</t>
  </si>
  <si>
    <t>G</t>
  </si>
  <si>
    <t>Závazky k úvěrovým institucím</t>
  </si>
  <si>
    <t>Non-current bank loans</t>
  </si>
  <si>
    <t>Pasiva C.I.2.</t>
  </si>
  <si>
    <t>a</t>
  </si>
  <si>
    <t>b</t>
  </si>
  <si>
    <t>c</t>
  </si>
  <si>
    <t>ZO</t>
  </si>
  <si>
    <t>H</t>
  </si>
  <si>
    <t>Závazky - ovládáná nebo ovládající osoba</t>
  </si>
  <si>
    <t>Liabilities – controlled or controlling entity</t>
  </si>
  <si>
    <t>Pasiva C.I.6.</t>
  </si>
  <si>
    <t>AKTIVA CELKEM</t>
  </si>
  <si>
    <t>KZ</t>
  </si>
  <si>
    <t>I</t>
  </si>
  <si>
    <t>Krátkodobé závazky</t>
  </si>
  <si>
    <t>Current liabilities</t>
  </si>
  <si>
    <t>Pasiva C.II.</t>
  </si>
  <si>
    <t>Stálá aktiva</t>
  </si>
  <si>
    <t>KR</t>
  </si>
  <si>
    <t>J</t>
  </si>
  <si>
    <t>Krátkodobé rezervy</t>
  </si>
  <si>
    <t>Current provisions</t>
  </si>
  <si>
    <t>Pasiva C.III.</t>
  </si>
  <si>
    <t>B.II.</t>
  </si>
  <si>
    <t>Dlouhodobý hmotný majetek</t>
  </si>
  <si>
    <t>BBU</t>
  </si>
  <si>
    <t>K</t>
  </si>
  <si>
    <t>Bežné bankovní úvery</t>
  </si>
  <si>
    <t>Current bank loans</t>
  </si>
  <si>
    <t>Pasiva C.IV.</t>
  </si>
  <si>
    <t>B.II.1.</t>
  </si>
  <si>
    <t>Pozemky a stavby</t>
  </si>
  <si>
    <t>KF</t>
  </si>
  <si>
    <t>Krátkodobé finanční výpomoci</t>
  </si>
  <si>
    <t>Current financial assistance</t>
  </si>
  <si>
    <t>Pasíva C.VII.</t>
  </si>
  <si>
    <t>B.II.1.1.</t>
  </si>
  <si>
    <t>Pozemky</t>
  </si>
  <si>
    <t>ČRP</t>
  </si>
  <si>
    <t>L</t>
  </si>
  <si>
    <t>Časové rozlišení pasiv</t>
  </si>
  <si>
    <t>Accrued expenses and deferred income</t>
  </si>
  <si>
    <t>Pasiva D.</t>
  </si>
  <si>
    <t>B.II.1.2.</t>
  </si>
  <si>
    <t>Stavby</t>
  </si>
  <si>
    <t>∑</t>
  </si>
  <si>
    <t>CFDF</t>
  </si>
  <si>
    <t>Úprava transakční ceny</t>
  </si>
  <si>
    <t>Transaction price corrections</t>
  </si>
  <si>
    <t>B.II.5.</t>
  </si>
  <si>
    <t>Poskytnuté zálohy na dlouhodobý hmotný majetek a nedokončený dlouhodobý hmotný majetek</t>
  </si>
  <si>
    <t>B.II.5.2.</t>
  </si>
  <si>
    <t>Nedokončený dlouhodobý hmotný majetek</t>
  </si>
  <si>
    <t>Oběžná aktiva</t>
  </si>
  <si>
    <t>3. Kúpna cena za obchodný podiel / Purchase price for the business share (PP)</t>
  </si>
  <si>
    <t>C.II.</t>
  </si>
  <si>
    <t>Pohledávky</t>
  </si>
  <si>
    <t>(1. + 2.)</t>
  </si>
  <si>
    <t>Kúpna cena za OP</t>
  </si>
  <si>
    <t>Purchase price for the business share</t>
  </si>
  <si>
    <t>C.II.1.</t>
  </si>
  <si>
    <t>C.II.1.4.</t>
  </si>
  <si>
    <t>Odložená daňová pohledávka</t>
  </si>
  <si>
    <t>x</t>
  </si>
  <si>
    <t>C.II.2.</t>
  </si>
  <si>
    <t>Cash-flow při closingu:</t>
  </si>
  <si>
    <t>Kupní cena obchodního podílu</t>
  </si>
  <si>
    <t>C.II.2.1.</t>
  </si>
  <si>
    <t>Pohledávky z obchodních vztahů</t>
  </si>
  <si>
    <t>úprava kúpnej ceny o 1/4 ročného poistného</t>
  </si>
  <si>
    <t>C.II.2.4.</t>
  </si>
  <si>
    <t>Pohledávky - ostatní</t>
  </si>
  <si>
    <t>C.II.2.4.3.</t>
  </si>
  <si>
    <t>Stát - daňové pohledávky</t>
  </si>
  <si>
    <t>Intragroup půjčky</t>
  </si>
  <si>
    <t>C.II.2.4.4.</t>
  </si>
  <si>
    <t>Krátkodobé poskytnuté zálohy</t>
  </si>
  <si>
    <t>CELKEM</t>
  </si>
  <si>
    <t>Kupní cena za podíl po čerpání banky II. Etapa</t>
  </si>
  <si>
    <t>C.IV.</t>
  </si>
  <si>
    <t>C.IV.1.</t>
  </si>
  <si>
    <t>Peněžní prostředky v pokladně</t>
  </si>
  <si>
    <t>C.IV.2.</t>
  </si>
  <si>
    <t>Peněžní prostředky na účtech</t>
  </si>
  <si>
    <t>D.1.</t>
  </si>
  <si>
    <t>Náklady příštích období</t>
  </si>
  <si>
    <t>P A S I V A</t>
  </si>
  <si>
    <t>Běžné
 účetní období</t>
  </si>
  <si>
    <t>Minulé
 účetní období</t>
  </si>
  <si>
    <t>PASIVA CELKEM</t>
  </si>
  <si>
    <t>A.</t>
  </si>
  <si>
    <t>Vlastní kapitál</t>
  </si>
  <si>
    <t>A.I.</t>
  </si>
  <si>
    <t>Základní kapitál</t>
  </si>
  <si>
    <t>A.I.1.</t>
  </si>
  <si>
    <t>A.IV.</t>
  </si>
  <si>
    <t>Výsledek hospodaření minulých let (+/-)</t>
  </si>
  <si>
    <t>A.IV.1.</t>
  </si>
  <si>
    <t>Nerozdělený zisk nebo neuhrazená ztráta minulých let (+/-)</t>
  </si>
  <si>
    <t>A.V.</t>
  </si>
  <si>
    <t>Výsledek hospodaření běžného účetního období (+/-)</t>
  </si>
  <si>
    <t>B. + C.</t>
  </si>
  <si>
    <t>Závazky</t>
  </si>
  <si>
    <t>C.I.</t>
  </si>
  <si>
    <t>Dlouhodobé závazky</t>
  </si>
  <si>
    <t>C.I.2.</t>
  </si>
  <si>
    <t>C.I.4.</t>
  </si>
  <si>
    <t>Závazky z obchodních vztahů</t>
  </si>
  <si>
    <t>C.I.6.</t>
  </si>
  <si>
    <t>C.II.4.</t>
  </si>
  <si>
    <t>C.II.8.</t>
  </si>
  <si>
    <t>Závazky ostatní</t>
  </si>
  <si>
    <t>C.II.8.5.</t>
  </si>
  <si>
    <t>Stát - daňové závazky a dotace</t>
  </si>
  <si>
    <t>C.II.8.6.</t>
  </si>
  <si>
    <t>Dohadné účty pasivní</t>
  </si>
  <si>
    <t>C.II.8.7.</t>
  </si>
  <si>
    <t>Jiné závazky</t>
  </si>
  <si>
    <t>Výdaje příštích období</t>
  </si>
  <si>
    <t>2.etapa</t>
  </si>
  <si>
    <t>Marže</t>
  </si>
  <si>
    <t>Potřeba &gt;17,00%</t>
  </si>
  <si>
    <t>Marže na nákladech</t>
  </si>
  <si>
    <t>Potřeba &gt;20,00%</t>
  </si>
  <si>
    <t>Motivační složka developera</t>
  </si>
  <si>
    <t>informativně</t>
  </si>
  <si>
    <t>Čistá marže na equity</t>
  </si>
  <si>
    <t>Úvěr Business Angel</t>
  </si>
  <si>
    <t>Nákup nemovitosti/pozemků</t>
  </si>
  <si>
    <t>Splátka úroku Business Angel (p.m.)</t>
  </si>
  <si>
    <t>SVJ</t>
  </si>
  <si>
    <t>Splátka jistiny Mezanin</t>
  </si>
  <si>
    <t>Jistina a podily</t>
  </si>
  <si>
    <t>Jistina, podily a výkup podílu</t>
  </si>
  <si>
    <t>Rozdíl</t>
  </si>
  <si>
    <t>-</t>
  </si>
  <si>
    <t>Penežní tok Equity 1</t>
  </si>
  <si>
    <t>Výlup pohledávky</t>
  </si>
  <si>
    <t>Lekvi Development s.r.o.</t>
  </si>
  <si>
    <t>Úvěr Mezanin 1</t>
  </si>
  <si>
    <t>Úvěr Mezanin 2</t>
  </si>
  <si>
    <t>Úvěr Business Angel 1</t>
  </si>
  <si>
    <t>Úvěr Business Angel 2</t>
  </si>
  <si>
    <t>Splátka úroku Lekvi Development s.r.o.</t>
  </si>
  <si>
    <t>Splátka úroku Equity 3</t>
  </si>
  <si>
    <t>Splátka úroku Mezanin 1</t>
  </si>
  <si>
    <t>Splátka úroku Mezanin 2</t>
  </si>
  <si>
    <t>Splátka úroku Business Angel 1</t>
  </si>
  <si>
    <t>Splátka úroku Business Angel 2</t>
  </si>
  <si>
    <t>Splátka jistiny Lekvi Development s.r.o.</t>
  </si>
  <si>
    <t>Splátka jistiny Equity 3</t>
  </si>
  <si>
    <t>Splátka jistiny Mezanin 1</t>
  </si>
  <si>
    <t>Splátka jistiny Mezanin 2</t>
  </si>
  <si>
    <t>Splátka jistiny Business Angel 1</t>
  </si>
  <si>
    <t>Splátka jistiny Business Angel 2</t>
  </si>
  <si>
    <t xml:space="preserve">Vysledek  EQUITY cash -flow </t>
  </si>
  <si>
    <t>Vysledek CASHFLOW</t>
  </si>
  <si>
    <t>Investservis</t>
  </si>
  <si>
    <t>Max plocha</t>
  </si>
  <si>
    <t>kooBOZP/měsíc/realizace/ příprava</t>
  </si>
  <si>
    <t>projekt do 2000m2/zast.plocha</t>
  </si>
  <si>
    <t>projekt do 4000m2/zas. plocha</t>
  </si>
  <si>
    <t>projekt do 6000m2/zast.plocha</t>
  </si>
  <si>
    <t>projekt nad 6000m2/zast.plocha</t>
  </si>
  <si>
    <t>PROJEKT: OC : prodej SPV (vystavba)</t>
  </si>
  <si>
    <t>Právo stavby do SP</t>
  </si>
  <si>
    <t>sevis fix</t>
  </si>
  <si>
    <t>Kč celkem bez SF</t>
  </si>
  <si>
    <t>Pozemek</t>
  </si>
  <si>
    <t>Provize</t>
  </si>
  <si>
    <t xml:space="preserve">Stavebně - konstrukční náklady </t>
  </si>
  <si>
    <t>Shell &amp; Core</t>
  </si>
  <si>
    <t>Fit-out</t>
  </si>
  <si>
    <t xml:space="preserve">Vynucené investice  </t>
  </si>
  <si>
    <t>Právo stavby</t>
  </si>
  <si>
    <t>Ostatní (přípojky)</t>
  </si>
  <si>
    <t>YIELD Development</t>
  </si>
  <si>
    <t>Potřeba &gt;9%</t>
  </si>
  <si>
    <t>Demolice</t>
  </si>
  <si>
    <t>Prime YIELD</t>
  </si>
  <si>
    <t>Reziduální hodnota pozemku</t>
  </si>
  <si>
    <t xml:space="preserve">Rezerva </t>
  </si>
  <si>
    <t>Marže na nákladech stávby %</t>
  </si>
  <si>
    <t>NET YIELD Development</t>
  </si>
  <si>
    <t>Marže na nákladech stávby  Kč</t>
  </si>
  <si>
    <t>LCGT discount</t>
  </si>
  <si>
    <t xml:space="preserve">Honoráře spojené s projektem </t>
  </si>
  <si>
    <t xml:space="preserve">Prodejni cena retail </t>
  </si>
  <si>
    <t xml:space="preserve">JC </t>
  </si>
  <si>
    <t>Architekt, projektant</t>
  </si>
  <si>
    <r>
      <rPr>
        <sz val="11"/>
        <color theme="1"/>
        <rFont val="Calibri"/>
        <family val="2"/>
      </rPr>
      <t xml:space="preserve">Projektový management (příprava +  realizace) - </t>
    </r>
    <r>
      <rPr>
        <u/>
        <sz val="11"/>
        <color theme="1"/>
        <rFont val="Calibri"/>
        <family val="2"/>
      </rPr>
      <t>interní manag.</t>
    </r>
  </si>
  <si>
    <r>
      <rPr>
        <sz val="11"/>
        <color theme="1"/>
        <rFont val="Calibri"/>
        <family val="2"/>
      </rPr>
      <t xml:space="preserve">Stavební dozor, koordinátor BOZP  - </t>
    </r>
    <r>
      <rPr>
        <u/>
        <sz val="11"/>
        <color theme="1"/>
        <rFont val="Calibri"/>
        <family val="2"/>
      </rPr>
      <t xml:space="preserve">externí management </t>
    </r>
  </si>
  <si>
    <t xml:space="preserve">kpl </t>
  </si>
  <si>
    <t xml:space="preserve">Právní služby </t>
  </si>
  <si>
    <t xml:space="preserve">Vícenáklady - rezerva </t>
  </si>
  <si>
    <t>Daň z převodu</t>
  </si>
  <si>
    <t xml:space="preserve">Záruka </t>
  </si>
  <si>
    <t xml:space="preserve">Administrativa společnosti </t>
  </si>
  <si>
    <t>Inženýring - ÚR, SP, kolaudace</t>
  </si>
  <si>
    <t>Privátní equita pozemek</t>
  </si>
  <si>
    <t>p.a.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</si>
  <si>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financování  - vlastní realizace projektu </t>
    </r>
  </si>
  <si>
    <t xml:space="preserve">Privátní equita  - vlastní realizace projektu 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</si>
  <si>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financování  - pozemek po SP</t>
    </r>
  </si>
  <si>
    <t>Privátní equita - pozemek po 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</si>
</sst>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3" formatCode="_-* #,##0.00_-;\-* #,##0.00_-;_-* &quot;-&quot;??_-;_-@_-"/>
    <numFmt numFmtId="164" formatCode="#,##0.0[$€]"/>
    <numFmt numFmtId="165" formatCode="#,##0.00[$€]"/>
    <numFmt numFmtId="166" formatCode="#,##0[$ Kč]"/>
    <numFmt numFmtId="167" formatCode="#,##0[$€]"/>
    <numFmt numFmtId="168" formatCode="#,##0.00\ [$Kč-405]"/>
    <numFmt numFmtId="169" formatCode="m\.yyyy"/>
    <numFmt numFmtId="170" formatCode="dd\.mm\.yyyy"/>
    <numFmt numFmtId="171" formatCode="d\.m\.yyyy"/>
    <numFmt numFmtId="172" formatCode="_-* #,##0\ [$Kč-405]_-;\-* #,##0\ [$Kč-405]_-;_-* &quot;-&quot;??\ [$Kč-405]_-;_-@"/>
    <numFmt numFmtId="173" formatCode="_-* #,##0.0\ [$Kč-405]_-;\-* #,##0.0\ [$Kč-405]_-;_-* &quot;-&quot;??\ [$Kč-405]_-;_-@"/>
    <numFmt numFmtId="174" formatCode="_-* #,##0.00\ [$Kč-405]_-;\-* #,##0.00\ [$Kč-405]_-;_-* &quot;-&quot;??\ [$Kč-405]_-;_-@"/>
    <numFmt numFmtId="175" formatCode="[Black]\ #,##0;[Red]\ \-#,##0"/>
    <numFmt numFmtId="176" formatCode="0.0%"/>
    <numFmt numFmtId="177" formatCode="#,##0_ ;\-#,##0\ "/>
    <numFmt numFmtId="178" formatCode="#,##0.00\ &quot;CZK&quot;"/>
    <numFmt numFmtId="179" formatCode="#,##0\ [$Kč-405]"/>
    <numFmt numFmtId="180" formatCode="_-* #,##0.00\ &quot;CZK&quot;_-;\-* #,##0.00\ &quot;CZK&quot;_-;_-* &quot;-&quot;??\ &quot;CZK&quot;_-;_-@"/>
    <numFmt numFmtId="181" formatCode="0.000%"/>
    <numFmt numFmtId="182" formatCode="yyyy&quot; &quot;"/>
    <numFmt numFmtId="183" formatCode="mmm&quot; &quot;"/>
    <numFmt numFmtId="184" formatCode="&quot; &quot;m&quot;. &quot;yyyy"/>
    <numFmt numFmtId="185" formatCode="#,##0.00[$ Kč]"/>
    <numFmt numFmtId="186" formatCode="[$€]#,##0"/>
    <numFmt numFmtId="187" formatCode="[$€]#,##0.00"/>
    <numFmt numFmtId="188" formatCode="#,##0\ [$Kč-405];\-#,##0\ [$Kč-405]"/>
    <numFmt numFmtId="189" formatCode="#,##0.00\ [$€-425]"/>
    <numFmt numFmtId="190" formatCode="_-* #,##0.00\ [$Kč-405]_-;\-* #,##0.00\ [$Kč-405]_-;_-* &quot;-&quot;??\ [$Kč-405]_-;_-@_-"/>
    <numFmt numFmtId="191" formatCode="_-* #,##0.00\ [$€-1]_-;\-* #,##0.00\ [$€-1]_-;_-* &quot;-&quot;??\ [$€-1]_-;_-@_-"/>
    <numFmt numFmtId="192" formatCode="[$€-462]\ #,##0.00_-"/>
    <numFmt numFmtId="193" formatCode="_-[$€-2]\ * #,##0.00_-;\-[$€-2]\ * #,##0.00_-;_-[$€-2]\ * &quot;-&quot;??_-;_-@_-"/>
    <numFmt numFmtId="194" formatCode="_-* #,##0_-;\-* #,##0_-;_-* &quot;-&quot;??_-;_-@_-"/>
  </numFmts>
  <fonts count="108">
    <font>
      <sz val="11"/>
      <color theme="1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Times New Roman"/>
      <family val="1"/>
    </font>
    <font>
      <sz val="12"/>
      <color theme="1"/>
      <name val="&quot;Times New Roman&quot;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&quot;Times New Roman&quot;"/>
    </font>
    <font>
      <sz val="12"/>
      <color rgb="FFFFFFFF"/>
      <name val="Calibri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i/>
      <sz val="11"/>
      <color theme="1"/>
      <name val="Arial"/>
      <family val="2"/>
    </font>
    <font>
      <b/>
      <sz val="11"/>
      <color rgb="FFFF0000"/>
      <name val="Calibri"/>
      <family val="2"/>
    </font>
    <font>
      <i/>
      <sz val="11"/>
      <color theme="1"/>
      <name val="Calibri"/>
      <family val="2"/>
    </font>
    <font>
      <sz val="9"/>
      <color rgb="FFEA9999"/>
      <name val="Calibri"/>
      <family val="2"/>
    </font>
    <font>
      <i/>
      <sz val="10"/>
      <color theme="1"/>
      <name val="Calibri"/>
      <family val="2"/>
    </font>
    <font>
      <b/>
      <sz val="12"/>
      <color rgb="FFFF0000"/>
      <name val="Calibri"/>
      <family val="2"/>
    </font>
    <font>
      <sz val="9"/>
      <color rgb="FFFF0000"/>
      <name val="Calibri"/>
      <family val="2"/>
    </font>
    <font>
      <sz val="9"/>
      <color rgb="FF4285F4"/>
      <name val="Arial"/>
      <family val="2"/>
    </font>
    <font>
      <b/>
      <sz val="13"/>
      <color theme="1"/>
      <name val="Calibri"/>
      <family val="2"/>
    </font>
    <font>
      <sz val="9"/>
      <color rgb="FF000000"/>
      <name val="Arial"/>
      <family val="2"/>
    </font>
    <font>
      <i/>
      <sz val="9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b/>
      <sz val="16"/>
      <color rgb="FFFFFFFF"/>
      <name val="Calibri"/>
      <family val="2"/>
    </font>
    <font>
      <b/>
      <sz val="20"/>
      <color rgb="FFFFFFFF"/>
      <name val="Calibri"/>
      <family val="2"/>
    </font>
    <font>
      <b/>
      <sz val="20"/>
      <color theme="1"/>
      <name val="Calibri"/>
      <family val="2"/>
    </font>
    <font>
      <sz val="20"/>
      <color theme="1"/>
      <name val="Calibri"/>
      <family val="2"/>
    </font>
    <font>
      <sz val="11"/>
      <color rgb="FF244061"/>
      <name val="Arial"/>
      <family val="2"/>
    </font>
    <font>
      <b/>
      <sz val="12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rgb="FF000000"/>
      <name val="&quot;Aptos Narrow&quot;"/>
    </font>
    <font>
      <b/>
      <sz val="11"/>
      <color rgb="FF000000"/>
      <name val="&quot;Aptos Narrow&quot;"/>
    </font>
    <font>
      <b/>
      <i/>
      <sz val="10"/>
      <color rgb="FF000000"/>
      <name val="&quot;Aptos Narrow&quot;"/>
    </font>
    <font>
      <b/>
      <sz val="12"/>
      <color rgb="FF000000"/>
      <name val="&quot;Aptos Narrow&quot;"/>
    </font>
    <font>
      <b/>
      <sz val="11"/>
      <color rgb="FF000000"/>
      <name val="Arial"/>
      <family val="2"/>
    </font>
    <font>
      <b/>
      <i/>
      <sz val="10"/>
      <color rgb="FF000000"/>
      <name val="Arial"/>
      <family val="2"/>
    </font>
    <font>
      <i/>
      <sz val="10"/>
      <color rgb="FF000000"/>
      <name val="&quot;Aptos Narrow&quot;"/>
    </font>
    <font>
      <sz val="11"/>
      <color rgb="FF000000"/>
      <name val="Arial"/>
      <family val="2"/>
    </font>
    <font>
      <i/>
      <sz val="11"/>
      <color rgb="FF000000"/>
      <name val="&quot;Aptos Narrow&quot;"/>
    </font>
    <font>
      <i/>
      <sz val="10"/>
      <color rgb="FF000000"/>
      <name val="Arial"/>
      <family val="2"/>
    </font>
    <font>
      <i/>
      <sz val="10"/>
      <color rgb="FF000000"/>
      <name val="Helvetica"/>
      <family val="2"/>
    </font>
    <font>
      <b/>
      <sz val="13"/>
      <color rgb="FF000000"/>
      <name val="&quot;Aptos Narrow&quot;"/>
    </font>
    <font>
      <i/>
      <sz val="11"/>
      <color rgb="FF1155CC"/>
      <name val="&quot;Aptos Narrow&quot;"/>
    </font>
    <font>
      <b/>
      <i/>
      <sz val="12"/>
      <color rgb="FFFF0000"/>
      <name val="Aptos"/>
    </font>
    <font>
      <sz val="11"/>
      <color rgb="FFFFFFFF"/>
      <name val="Arial"/>
      <family val="2"/>
      <scheme val="minor"/>
    </font>
    <font>
      <b/>
      <u/>
      <sz val="11"/>
      <color theme="1"/>
      <name val="Arial"/>
      <family val="2"/>
    </font>
    <font>
      <i/>
      <sz val="9"/>
      <color rgb="FF000000"/>
      <name val="Arial"/>
      <family val="2"/>
    </font>
    <font>
      <sz val="7"/>
      <color rgb="FF000000"/>
      <name val="Arial"/>
      <family val="2"/>
    </font>
    <font>
      <b/>
      <sz val="14"/>
      <color rgb="FF000000"/>
      <name val="&quot;Times New Roman&quot;"/>
    </font>
    <font>
      <b/>
      <sz val="11"/>
      <color rgb="FFFFFFFF"/>
      <name val="Arial"/>
      <family val="2"/>
    </font>
    <font>
      <b/>
      <sz val="11"/>
      <color rgb="FFFF0000"/>
      <name val="Arial"/>
      <family val="2"/>
    </font>
    <font>
      <b/>
      <sz val="13"/>
      <color rgb="FF000000"/>
      <name val="Arial"/>
      <family val="2"/>
    </font>
    <font>
      <b/>
      <i/>
      <sz val="12"/>
      <color rgb="FF3B7D23"/>
      <name val="Aptos"/>
    </font>
    <font>
      <i/>
      <sz val="11"/>
      <color rgb="FF000000"/>
      <name val="Arial"/>
      <family val="2"/>
    </font>
    <font>
      <u/>
      <sz val="11"/>
      <color rgb="FF000000"/>
      <name val="Arial"/>
      <family val="2"/>
    </font>
    <font>
      <sz val="9"/>
      <color theme="1"/>
      <name val="Arial"/>
      <family val="2"/>
    </font>
    <font>
      <b/>
      <u/>
      <sz val="11"/>
      <color rgb="FF000000"/>
      <name val="Arial"/>
      <family val="2"/>
    </font>
    <font>
      <sz val="12"/>
      <color rgb="FF000000"/>
      <name val="Arial"/>
      <family val="2"/>
    </font>
    <font>
      <b/>
      <sz val="11"/>
      <color theme="1"/>
      <name val="Arial"/>
      <family val="2"/>
    </font>
    <font>
      <sz val="12"/>
      <color rgb="FF000000"/>
      <name val="&quot;Aptos Narrow&quot;"/>
    </font>
    <font>
      <b/>
      <sz val="28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sz val="11"/>
      <color rgb="FFFFFFFF"/>
      <name val="Calibri"/>
      <family val="2"/>
    </font>
    <font>
      <b/>
      <sz val="13"/>
      <color rgb="FFFF0000"/>
      <name val="Calibri"/>
      <family val="2"/>
    </font>
    <font>
      <sz val="10"/>
      <color rgb="FFFFFFFF"/>
      <name val="Arial"/>
      <family val="2"/>
      <scheme val="minor"/>
    </font>
    <font>
      <sz val="11"/>
      <color rgb="FF999999"/>
      <name val="Arial"/>
      <family val="2"/>
      <scheme val="minor"/>
    </font>
    <font>
      <i/>
      <sz val="12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7"/>
      <color theme="1"/>
      <name val="Calibri"/>
      <family val="2"/>
    </font>
    <font>
      <u/>
      <sz val="11"/>
      <color theme="1"/>
      <name val="Calibri"/>
      <family val="2"/>
    </font>
    <font>
      <strike/>
      <sz val="11"/>
      <color theme="1"/>
      <name val="Calibri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sz val="11"/>
      <color rgb="FFFF0000"/>
      <name val="Arial"/>
      <family val="2"/>
    </font>
    <font>
      <sz val="12"/>
      <color rgb="FF000000"/>
      <name val="Aptos Narrow"/>
      <family val="2"/>
    </font>
    <font>
      <b/>
      <sz val="16"/>
      <color rgb="FF000000"/>
      <name val="Aptos Narrow"/>
    </font>
    <font>
      <b/>
      <sz val="12"/>
      <color rgb="FF000000"/>
      <name val="Aptos Narrow"/>
    </font>
    <font>
      <b/>
      <sz val="11"/>
      <color rgb="FF9C0006"/>
      <name val="Arial"/>
      <family val="2"/>
    </font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Calibri"/>
      <family val="2"/>
    </font>
  </fonts>
  <fills count="4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FFC7CE"/>
        <bgColor rgb="FFFFC7CE"/>
      </patternFill>
    </fill>
    <fill>
      <patternFill patternType="solid">
        <fgColor rgb="FFCCCCCC"/>
        <bgColor rgb="FFCCCCCC"/>
      </patternFill>
    </fill>
    <fill>
      <patternFill patternType="solid">
        <fgColor rgb="FFFFE599"/>
        <bgColor rgb="FFFFE599"/>
      </patternFill>
    </fill>
    <fill>
      <patternFill patternType="solid">
        <fgColor rgb="FFEFEFEF"/>
        <bgColor rgb="FFEFEFEF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E36C09"/>
        <bgColor rgb="FFE36C09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FFF2CC"/>
        <bgColor rgb="FFFFF2CC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A4C2F4"/>
        <bgColor rgb="FFA4C2F4"/>
      </patternFill>
    </fill>
    <fill>
      <patternFill patternType="solid">
        <fgColor rgb="FFADADAD"/>
        <bgColor rgb="FFADADAD"/>
      </patternFill>
    </fill>
    <fill>
      <patternFill patternType="solid">
        <fgColor rgb="FFD9D9D9"/>
        <bgColor rgb="FFD9D9D9"/>
      </patternFill>
    </fill>
    <fill>
      <patternFill patternType="solid">
        <fgColor rgb="FFF7C7AC"/>
        <bgColor rgb="FFF7C7AC"/>
      </patternFill>
    </fill>
    <fill>
      <patternFill patternType="solid">
        <fgColor rgb="FF808080"/>
        <bgColor rgb="FF808080"/>
      </patternFill>
    </fill>
    <fill>
      <patternFill patternType="solid">
        <fgColor rgb="FF92D050"/>
        <bgColor rgb="FF92D050"/>
      </patternFill>
    </fill>
    <fill>
      <patternFill patternType="solid">
        <fgColor rgb="FFE8E8E8"/>
        <bgColor rgb="FFE8E8E8"/>
      </patternFill>
    </fill>
    <fill>
      <patternFill patternType="solid">
        <fgColor rgb="FF00B050"/>
        <bgColor rgb="FF00B05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00"/>
      </patternFill>
    </fill>
    <fill>
      <patternFill patternType="solid">
        <fgColor rgb="FFFFFFFF"/>
        <bgColor rgb="FFFFC7CE"/>
      </patternFill>
    </fill>
    <fill>
      <patternFill patternType="solid">
        <fgColor rgb="FFFFFFFF"/>
        <bgColor rgb="FFFF0000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 style="thick">
        <color rgb="FF000000"/>
      </left>
      <right style="hair">
        <color rgb="FF000000"/>
      </right>
      <top style="thick">
        <color rgb="FF000000"/>
      </top>
      <bottom style="thick">
        <color rgb="FF000000"/>
      </bottom>
      <diagonal/>
    </border>
    <border>
      <left style="hair">
        <color rgb="FF000000"/>
      </left>
      <right style="hair">
        <color rgb="FF000000"/>
      </right>
      <top style="thick">
        <color rgb="FF000000"/>
      </top>
      <bottom style="thick">
        <color rgb="FF000000"/>
      </bottom>
      <diagonal/>
    </border>
    <border>
      <left style="hair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 style="hair">
        <color rgb="FF000000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hair">
        <color rgb="FF000000"/>
      </bottom>
      <diagonal/>
    </border>
    <border>
      <left/>
      <right/>
      <top style="thick">
        <color rgb="FF000000"/>
      </top>
      <bottom style="hair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hair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04" fillId="0" borderId="0" applyFont="0" applyFill="0" applyBorder="0" applyAlignment="0" applyProtection="0"/>
  </cellStyleXfs>
  <cellXfs count="87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right"/>
    </xf>
    <xf numFmtId="164" fontId="3" fillId="0" borderId="2" xfId="0" applyNumberFormat="1" applyFont="1" applyBorder="1"/>
    <xf numFmtId="165" fontId="3" fillId="0" borderId="2" xfId="0" applyNumberFormat="1" applyFont="1" applyBorder="1" applyAlignment="1">
      <alignment horizontal="right"/>
    </xf>
    <xf numFmtId="166" fontId="3" fillId="0" borderId="2" xfId="0" applyNumberFormat="1" applyFont="1" applyBorder="1" applyAlignment="1">
      <alignment horizontal="right"/>
    </xf>
    <xf numFmtId="0" fontId="3" fillId="2" borderId="3" xfId="0" applyFont="1" applyFill="1" applyBorder="1"/>
    <xf numFmtId="0" fontId="3" fillId="0" borderId="4" xfId="0" applyFont="1" applyBorder="1"/>
    <xf numFmtId="0" fontId="3" fillId="0" borderId="4" xfId="0" applyFont="1" applyBorder="1" applyAlignment="1">
      <alignment horizontal="right"/>
    </xf>
    <xf numFmtId="164" fontId="3" fillId="0" borderId="4" xfId="0" applyNumberFormat="1" applyFont="1" applyBorder="1"/>
    <xf numFmtId="166" fontId="3" fillId="0" borderId="4" xfId="0" applyNumberFormat="1" applyFont="1" applyBorder="1" applyAlignment="1">
      <alignment horizontal="right"/>
    </xf>
    <xf numFmtId="0" fontId="3" fillId="3" borderId="3" xfId="0" applyFont="1" applyFill="1" applyBorder="1"/>
    <xf numFmtId="0" fontId="3" fillId="0" borderId="3" xfId="0" applyFont="1" applyBorder="1"/>
    <xf numFmtId="166" fontId="4" fillId="4" borderId="4" xfId="0" applyNumberFormat="1" applyFont="1" applyFill="1" applyBorder="1" applyAlignment="1">
      <alignment horizontal="right"/>
    </xf>
    <xf numFmtId="0" fontId="3" fillId="2" borderId="4" xfId="0" applyFont="1" applyFill="1" applyBorder="1"/>
    <xf numFmtId="167" fontId="3" fillId="0" borderId="4" xfId="0" applyNumberFormat="1" applyFont="1" applyBorder="1"/>
    <xf numFmtId="165" fontId="3" fillId="2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6" fontId="1" fillId="5" borderId="1" xfId="0" applyNumberFormat="1" applyFont="1" applyFill="1" applyBorder="1"/>
    <xf numFmtId="0" fontId="5" fillId="0" borderId="0" xfId="0" applyFont="1"/>
    <xf numFmtId="0" fontId="3" fillId="0" borderId="0" xfId="0" applyFont="1"/>
    <xf numFmtId="168" fontId="5" fillId="0" borderId="0" xfId="0" applyNumberFormat="1" applyFont="1"/>
    <xf numFmtId="169" fontId="5" fillId="0" borderId="0" xfId="0" applyNumberFormat="1" applyFont="1"/>
    <xf numFmtId="10" fontId="5" fillId="0" borderId="0" xfId="0" applyNumberFormat="1" applyFont="1"/>
    <xf numFmtId="4" fontId="5" fillId="0" borderId="5" xfId="0" applyNumberFormat="1" applyFont="1" applyBorder="1"/>
    <xf numFmtId="168" fontId="5" fillId="0" borderId="0" xfId="0" applyNumberFormat="1" applyFont="1" applyAlignment="1">
      <alignment horizontal="center"/>
    </xf>
    <xf numFmtId="168" fontId="6" fillId="6" borderId="0" xfId="0" applyNumberFormat="1" applyFont="1" applyFill="1"/>
    <xf numFmtId="0" fontId="1" fillId="0" borderId="5" xfId="0" applyFont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 wrapText="1"/>
    </xf>
    <xf numFmtId="0" fontId="9" fillId="7" borderId="6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9" fontId="10" fillId="7" borderId="3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170" fontId="9" fillId="7" borderId="1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/>
    </xf>
    <xf numFmtId="171" fontId="9" fillId="7" borderId="1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2" fillId="7" borderId="1" xfId="0" applyFont="1" applyFill="1" applyBorder="1" applyAlignment="1">
      <alignment horizontal="center"/>
    </xf>
    <xf numFmtId="170" fontId="12" fillId="7" borderId="5" xfId="0" applyNumberFormat="1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168" fontId="12" fillId="7" borderId="5" xfId="0" applyNumberFormat="1" applyFont="1" applyFill="1" applyBorder="1" applyAlignment="1">
      <alignment horizontal="center"/>
    </xf>
    <xf numFmtId="0" fontId="11" fillId="7" borderId="5" xfId="0" applyFont="1" applyFill="1" applyBorder="1"/>
    <xf numFmtId="14" fontId="12" fillId="7" borderId="5" xfId="0" applyNumberFormat="1" applyFont="1" applyFill="1" applyBorder="1" applyAlignment="1">
      <alignment horizontal="center"/>
    </xf>
    <xf numFmtId="172" fontId="13" fillId="0" borderId="0" xfId="0" applyNumberFormat="1" applyFont="1" applyAlignment="1">
      <alignment horizontal="right"/>
    </xf>
    <xf numFmtId="0" fontId="12" fillId="7" borderId="3" xfId="0" applyFont="1" applyFill="1" applyBorder="1" applyAlignment="1">
      <alignment horizontal="center"/>
    </xf>
    <xf numFmtId="0" fontId="12" fillId="7" borderId="4" xfId="0" applyFont="1" applyFill="1" applyBorder="1" applyAlignment="1">
      <alignment horizontal="center"/>
    </xf>
    <xf numFmtId="9" fontId="8" fillId="7" borderId="4" xfId="0" applyNumberFormat="1" applyFont="1" applyFill="1" applyBorder="1" applyAlignment="1">
      <alignment horizontal="center"/>
    </xf>
    <xf numFmtId="168" fontId="8" fillId="7" borderId="4" xfId="0" applyNumberFormat="1" applyFont="1" applyFill="1" applyBorder="1" applyAlignment="1">
      <alignment horizontal="center"/>
    </xf>
    <xf numFmtId="170" fontId="8" fillId="7" borderId="4" xfId="0" applyNumberFormat="1" applyFont="1" applyFill="1" applyBorder="1" applyAlignment="1">
      <alignment horizontal="center"/>
    </xf>
    <xf numFmtId="168" fontId="11" fillId="0" borderId="0" xfId="0" applyNumberFormat="1" applyFont="1"/>
    <xf numFmtId="171" fontId="8" fillId="7" borderId="3" xfId="0" applyNumberFormat="1" applyFont="1" applyFill="1" applyBorder="1" applyAlignment="1">
      <alignment horizontal="center"/>
    </xf>
    <xf numFmtId="168" fontId="9" fillId="7" borderId="3" xfId="0" applyNumberFormat="1" applyFont="1" applyFill="1" applyBorder="1" applyAlignment="1">
      <alignment horizontal="center" vertical="center"/>
    </xf>
    <xf numFmtId="171" fontId="10" fillId="7" borderId="3" xfId="0" applyNumberFormat="1" applyFont="1" applyFill="1" applyBorder="1" applyAlignment="1">
      <alignment horizontal="center" vertical="center"/>
    </xf>
    <xf numFmtId="168" fontId="9" fillId="7" borderId="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vertical="center"/>
    </xf>
    <xf numFmtId="3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73" fontId="18" fillId="0" borderId="0" xfId="0" applyNumberFormat="1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74" fontId="19" fillId="0" borderId="0" xfId="0" applyNumberFormat="1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74" fontId="16" fillId="0" borderId="0" xfId="0" applyNumberFormat="1" applyFont="1" applyAlignment="1">
      <alignment horizontal="center" vertical="center"/>
    </xf>
    <xf numFmtId="173" fontId="16" fillId="0" borderId="0" xfId="0" applyNumberFormat="1" applyFont="1" applyAlignment="1">
      <alignment vertical="center"/>
    </xf>
    <xf numFmtId="0" fontId="22" fillId="0" borderId="8" xfId="0" applyFont="1" applyBorder="1" applyAlignment="1">
      <alignment horizontal="center" vertical="center"/>
    </xf>
    <xf numFmtId="174" fontId="16" fillId="0" borderId="8" xfId="0" applyNumberFormat="1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vertical="center"/>
    </xf>
    <xf numFmtId="3" fontId="23" fillId="0" borderId="10" xfId="0" applyNumberFormat="1" applyFont="1" applyBorder="1" applyAlignment="1">
      <alignment horizontal="center" vertical="center"/>
    </xf>
    <xf numFmtId="173" fontId="23" fillId="0" borderId="10" xfId="0" applyNumberFormat="1" applyFont="1" applyBorder="1" applyAlignment="1">
      <alignment horizontal="center" vertical="center"/>
    </xf>
    <xf numFmtId="174" fontId="16" fillId="0" borderId="11" xfId="0" applyNumberFormat="1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173" fontId="23" fillId="0" borderId="11" xfId="0" applyNumberFormat="1" applyFont="1" applyBorder="1" applyAlignment="1">
      <alignment horizontal="center" vertical="center"/>
    </xf>
    <xf numFmtId="0" fontId="24" fillId="0" borderId="13" xfId="0" applyFont="1" applyBorder="1"/>
    <xf numFmtId="0" fontId="24" fillId="0" borderId="14" xfId="0" applyFont="1" applyBorder="1" applyAlignment="1">
      <alignment horizontal="center" vertical="center"/>
    </xf>
    <xf numFmtId="3" fontId="16" fillId="0" borderId="15" xfId="0" applyNumberFormat="1" applyFont="1" applyBorder="1" applyAlignment="1">
      <alignment horizontal="center" vertical="center"/>
    </xf>
    <xf numFmtId="172" fontId="16" fillId="10" borderId="16" xfId="0" applyNumberFormat="1" applyFont="1" applyFill="1" applyBorder="1" applyAlignment="1">
      <alignment vertical="center"/>
    </xf>
    <xf numFmtId="172" fontId="16" fillId="10" borderId="17" xfId="0" applyNumberFormat="1" applyFont="1" applyFill="1" applyBorder="1" applyAlignment="1">
      <alignment vertical="center"/>
    </xf>
    <xf numFmtId="0" fontId="24" fillId="0" borderId="18" xfId="0" applyFont="1" applyBorder="1"/>
    <xf numFmtId="0" fontId="24" fillId="0" borderId="1" xfId="0" applyFont="1" applyBorder="1" applyAlignment="1">
      <alignment horizontal="center" vertical="center"/>
    </xf>
    <xf numFmtId="172" fontId="25" fillId="10" borderId="1" xfId="0" applyNumberFormat="1" applyFont="1" applyFill="1" applyBorder="1" applyAlignment="1">
      <alignment vertical="center"/>
    </xf>
    <xf numFmtId="172" fontId="25" fillId="10" borderId="19" xfId="0" applyNumberFormat="1" applyFont="1" applyFill="1" applyBorder="1" applyAlignment="1">
      <alignment vertical="center"/>
    </xf>
    <xf numFmtId="0" fontId="24" fillId="0" borderId="20" xfId="0" applyFont="1" applyBorder="1"/>
    <xf numFmtId="0" fontId="24" fillId="0" borderId="21" xfId="0" applyFont="1" applyBorder="1" applyAlignment="1">
      <alignment horizontal="center" vertical="center"/>
    </xf>
    <xf numFmtId="172" fontId="26" fillId="0" borderId="15" xfId="0" applyNumberFormat="1" applyFont="1" applyBorder="1" applyAlignment="1">
      <alignment vertical="center"/>
    </xf>
    <xf numFmtId="172" fontId="16" fillId="0" borderId="22" xfId="0" applyNumberFormat="1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172" fontId="19" fillId="0" borderId="8" xfId="0" applyNumberFormat="1" applyFont="1" applyBorder="1" applyAlignment="1">
      <alignment vertical="center"/>
    </xf>
    <xf numFmtId="0" fontId="27" fillId="0" borderId="20" xfId="0" applyFont="1" applyBorder="1"/>
    <xf numFmtId="0" fontId="24" fillId="0" borderId="19" xfId="0" applyFont="1" applyBorder="1" applyAlignment="1">
      <alignment horizontal="center" vertical="center"/>
    </xf>
    <xf numFmtId="9" fontId="16" fillId="0" borderId="15" xfId="0" applyNumberFormat="1" applyFont="1" applyBorder="1" applyAlignment="1">
      <alignment horizontal="center" vertical="center"/>
    </xf>
    <xf numFmtId="172" fontId="25" fillId="0" borderId="8" xfId="0" applyNumberFormat="1" applyFont="1" applyBorder="1" applyAlignment="1">
      <alignment horizontal="center" vertical="center"/>
    </xf>
    <xf numFmtId="0" fontId="24" fillId="0" borderId="23" xfId="0" applyFont="1" applyBorder="1"/>
    <xf numFmtId="0" fontId="25" fillId="0" borderId="24" xfId="0" applyFont="1" applyBorder="1" applyAlignment="1">
      <alignment horizontal="center" vertical="center"/>
    </xf>
    <xf numFmtId="0" fontId="25" fillId="8" borderId="25" xfId="0" applyFont="1" applyFill="1" applyBorder="1" applyAlignment="1">
      <alignment vertical="center"/>
    </xf>
    <xf numFmtId="172" fontId="19" fillId="0" borderId="8" xfId="0" applyNumberFormat="1" applyFont="1" applyBorder="1" applyAlignment="1">
      <alignment horizontal="center" vertical="center" wrapText="1"/>
    </xf>
    <xf numFmtId="0" fontId="17" fillId="9" borderId="27" xfId="0" applyFont="1" applyFill="1" applyBorder="1" applyAlignment="1">
      <alignment horizontal="left" vertical="center"/>
    </xf>
    <xf numFmtId="1" fontId="17" fillId="9" borderId="28" xfId="0" applyNumberFormat="1" applyFont="1" applyFill="1" applyBorder="1" applyAlignment="1">
      <alignment horizontal="center" vertical="center"/>
    </xf>
    <xf numFmtId="0" fontId="28" fillId="0" borderId="0" xfId="0" applyFont="1"/>
    <xf numFmtId="172" fontId="28" fillId="0" borderId="0" xfId="0" applyNumberFormat="1" applyFont="1"/>
    <xf numFmtId="0" fontId="19" fillId="0" borderId="25" xfId="0" applyFont="1" applyBorder="1" applyAlignment="1">
      <alignment horizontal="left" vertical="center"/>
    </xf>
    <xf numFmtId="4" fontId="16" fillId="0" borderId="29" xfId="0" applyNumberFormat="1" applyFont="1" applyBorder="1" applyAlignment="1">
      <alignment horizontal="center" vertical="center"/>
    </xf>
    <xf numFmtId="3" fontId="16" fillId="0" borderId="29" xfId="0" applyNumberFormat="1" applyFont="1" applyBorder="1" applyAlignment="1">
      <alignment horizontal="center" vertical="center"/>
    </xf>
    <xf numFmtId="172" fontId="16" fillId="0" borderId="29" xfId="0" applyNumberFormat="1" applyFont="1" applyBorder="1" applyAlignment="1">
      <alignment horizontal="center" vertical="center"/>
    </xf>
    <xf numFmtId="172" fontId="16" fillId="0" borderId="29" xfId="0" applyNumberFormat="1" applyFont="1" applyBorder="1" applyAlignment="1">
      <alignment vertical="center"/>
    </xf>
    <xf numFmtId="172" fontId="16" fillId="0" borderId="30" xfId="0" applyNumberFormat="1" applyFont="1" applyBorder="1" applyAlignment="1">
      <alignment horizontal="center" vertical="center"/>
    </xf>
    <xf numFmtId="0" fontId="23" fillId="0" borderId="9" xfId="0" applyFont="1" applyBorder="1" applyAlignment="1">
      <alignment vertical="center"/>
    </xf>
    <xf numFmtId="0" fontId="23" fillId="0" borderId="10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17" fillId="9" borderId="31" xfId="0" applyFont="1" applyFill="1" applyBorder="1" applyAlignment="1">
      <alignment horizontal="left" vertical="center"/>
    </xf>
    <xf numFmtId="0" fontId="25" fillId="0" borderId="18" xfId="0" applyFont="1" applyBorder="1" applyAlignment="1">
      <alignment vertical="center"/>
    </xf>
    <xf numFmtId="176" fontId="25" fillId="0" borderId="32" xfId="0" applyNumberFormat="1" applyFont="1" applyBorder="1" applyAlignment="1">
      <alignment horizontal="right"/>
    </xf>
    <xf numFmtId="175" fontId="16" fillId="10" borderId="33" xfId="0" applyNumberFormat="1" applyFont="1" applyFill="1" applyBorder="1" applyAlignment="1">
      <alignment vertical="center" wrapText="1"/>
    </xf>
    <xf numFmtId="177" fontId="16" fillId="10" borderId="16" xfId="0" applyNumberFormat="1" applyFont="1" applyFill="1" applyBorder="1" applyAlignment="1">
      <alignment horizontal="center" vertical="center"/>
    </xf>
    <xf numFmtId="172" fontId="16" fillId="10" borderId="16" xfId="0" applyNumberFormat="1" applyFont="1" applyFill="1" applyBorder="1" applyAlignment="1">
      <alignment horizontal="center" vertical="center"/>
    </xf>
    <xf numFmtId="9" fontId="29" fillId="0" borderId="16" xfId="0" applyNumberFormat="1" applyFont="1" applyBorder="1" applyAlignment="1">
      <alignment vertical="center"/>
    </xf>
    <xf numFmtId="172" fontId="19" fillId="10" borderId="17" xfId="0" applyNumberFormat="1" applyFont="1" applyFill="1" applyBorder="1" applyAlignment="1">
      <alignment horizontal="center" vertical="center"/>
    </xf>
    <xf numFmtId="172" fontId="16" fillId="0" borderId="8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/>
    </xf>
    <xf numFmtId="172" fontId="16" fillId="0" borderId="1" xfId="0" applyNumberFormat="1" applyFont="1" applyBorder="1" applyAlignment="1">
      <alignment vertical="center"/>
    </xf>
    <xf numFmtId="172" fontId="25" fillId="0" borderId="19" xfId="0" applyNumberFormat="1" applyFont="1" applyBorder="1" applyAlignment="1">
      <alignment horizontal="center" vertical="center"/>
    </xf>
    <xf numFmtId="0" fontId="25" fillId="0" borderId="20" xfId="0" applyFont="1" applyBorder="1"/>
    <xf numFmtId="172" fontId="25" fillId="0" borderId="32" xfId="0" applyNumberFormat="1" applyFont="1" applyBorder="1" applyAlignment="1">
      <alignment horizontal="center"/>
    </xf>
    <xf numFmtId="0" fontId="33" fillId="0" borderId="23" xfId="0" applyFont="1" applyBorder="1" applyAlignment="1">
      <alignment horizontal="left" vertical="center"/>
    </xf>
    <xf numFmtId="3" fontId="16" fillId="0" borderId="34" xfId="0" applyNumberFormat="1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173" fontId="16" fillId="0" borderId="34" xfId="0" applyNumberFormat="1" applyFont="1" applyBorder="1" applyAlignment="1">
      <alignment vertical="center"/>
    </xf>
    <xf numFmtId="10" fontId="25" fillId="0" borderId="24" xfId="0" applyNumberFormat="1" applyFont="1" applyBorder="1" applyAlignment="1">
      <alignment horizontal="center" vertical="center"/>
    </xf>
    <xf numFmtId="0" fontId="33" fillId="0" borderId="35" xfId="0" applyFont="1" applyBorder="1" applyAlignment="1">
      <alignment horizontal="left" vertical="center"/>
    </xf>
    <xf numFmtId="3" fontId="16" fillId="0" borderId="36" xfId="0" applyNumberFormat="1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176" fontId="16" fillId="0" borderId="36" xfId="0" applyNumberFormat="1" applyFont="1" applyBorder="1" applyAlignment="1">
      <alignment vertical="center"/>
    </xf>
    <xf numFmtId="178" fontId="25" fillId="0" borderId="37" xfId="0" applyNumberFormat="1" applyFont="1" applyBorder="1" applyAlignment="1">
      <alignment horizontal="right" vertical="center"/>
    </xf>
    <xf numFmtId="175" fontId="16" fillId="10" borderId="38" xfId="0" applyNumberFormat="1" applyFont="1" applyFill="1" applyBorder="1" applyAlignment="1">
      <alignment vertical="center" wrapText="1"/>
    </xf>
    <xf numFmtId="0" fontId="16" fillId="0" borderId="8" xfId="0" applyFont="1" applyBorder="1" applyAlignment="1">
      <alignment horizontal="center" vertical="center"/>
    </xf>
    <xf numFmtId="0" fontId="17" fillId="11" borderId="35" xfId="0" applyFont="1" applyFill="1" applyBorder="1" applyAlignment="1">
      <alignment horizontal="left" vertical="center"/>
    </xf>
    <xf numFmtId="0" fontId="25" fillId="0" borderId="39" xfId="0" applyFont="1" applyBorder="1"/>
    <xf numFmtId="178" fontId="25" fillId="0" borderId="24" xfId="0" applyNumberFormat="1" applyFont="1" applyBorder="1" applyAlignment="1">
      <alignment horizontal="right" vertical="center"/>
    </xf>
    <xf numFmtId="10" fontId="16" fillId="0" borderId="8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178" fontId="17" fillId="9" borderId="41" xfId="0" applyNumberFormat="1" applyFont="1" applyFill="1" applyBorder="1" applyAlignment="1">
      <alignment horizontal="right" vertical="center"/>
    </xf>
    <xf numFmtId="0" fontId="17" fillId="9" borderId="42" xfId="0" applyFont="1" applyFill="1" applyBorder="1" applyAlignment="1">
      <alignment horizontal="left" vertical="center"/>
    </xf>
    <xf numFmtId="10" fontId="35" fillId="12" borderId="0" xfId="0" applyNumberFormat="1" applyFont="1" applyFill="1"/>
    <xf numFmtId="168" fontId="16" fillId="0" borderId="0" xfId="0" applyNumberFormat="1" applyFont="1" applyAlignment="1">
      <alignment vertical="center"/>
    </xf>
    <xf numFmtId="10" fontId="16" fillId="0" borderId="0" xfId="0" applyNumberFormat="1" applyFont="1" applyAlignment="1">
      <alignment vertical="center"/>
    </xf>
    <xf numFmtId="0" fontId="25" fillId="0" borderId="20" xfId="0" applyFont="1" applyBorder="1" applyAlignment="1">
      <alignment vertical="center"/>
    </xf>
    <xf numFmtId="176" fontId="25" fillId="0" borderId="14" xfId="0" applyNumberFormat="1" applyFont="1" applyBorder="1" applyAlignment="1">
      <alignment horizontal="right" vertical="center"/>
    </xf>
    <xf numFmtId="175" fontId="16" fillId="10" borderId="33" xfId="0" applyNumberFormat="1" applyFont="1" applyFill="1" applyBorder="1" applyAlignment="1">
      <alignment horizontal="center" vertical="center" wrapText="1"/>
    </xf>
    <xf numFmtId="172" fontId="25" fillId="0" borderId="21" xfId="0" applyNumberFormat="1" applyFont="1" applyBorder="1" applyAlignment="1">
      <alignment horizontal="center" vertical="center"/>
    </xf>
    <xf numFmtId="0" fontId="16" fillId="10" borderId="33" xfId="0" applyFont="1" applyFill="1" applyBorder="1" applyAlignment="1">
      <alignment horizontal="center" vertical="center" wrapText="1"/>
    </xf>
    <xf numFmtId="0" fontId="25" fillId="0" borderId="45" xfId="0" applyFont="1" applyBorder="1" applyAlignment="1">
      <alignment vertical="center"/>
    </xf>
    <xf numFmtId="0" fontId="30" fillId="10" borderId="33" xfId="0" applyFont="1" applyFill="1" applyBorder="1" applyAlignment="1">
      <alignment horizontal="right" vertical="center" wrapText="1"/>
    </xf>
    <xf numFmtId="0" fontId="25" fillId="0" borderId="23" xfId="0" applyFont="1" applyBorder="1" applyAlignment="1">
      <alignment vertical="center"/>
    </xf>
    <xf numFmtId="0" fontId="17" fillId="9" borderId="25" xfId="0" applyFont="1" applyFill="1" applyBorder="1" applyAlignment="1">
      <alignment horizontal="left" vertical="center"/>
    </xf>
    <xf numFmtId="176" fontId="16" fillId="10" borderId="16" xfId="0" applyNumberFormat="1" applyFont="1" applyFill="1" applyBorder="1" applyAlignment="1">
      <alignment horizontal="center" vertical="center"/>
    </xf>
    <xf numFmtId="172" fontId="16" fillId="2" borderId="17" xfId="0" applyNumberFormat="1" applyFont="1" applyFill="1" applyBorder="1" applyAlignment="1">
      <alignment vertical="center"/>
    </xf>
    <xf numFmtId="0" fontId="16" fillId="0" borderId="46" xfId="0" applyFont="1" applyBorder="1" applyAlignment="1">
      <alignment vertical="center"/>
    </xf>
    <xf numFmtId="175" fontId="25" fillId="0" borderId="13" xfId="0" applyNumberFormat="1" applyFont="1" applyBorder="1" applyAlignment="1">
      <alignment vertical="center"/>
    </xf>
    <xf numFmtId="180" fontId="25" fillId="0" borderId="14" xfId="0" applyNumberFormat="1" applyFont="1" applyBorder="1" applyAlignment="1">
      <alignment horizontal="right" vertical="center"/>
    </xf>
    <xf numFmtId="10" fontId="25" fillId="0" borderId="21" xfId="0" applyNumberFormat="1" applyFont="1" applyBorder="1" applyAlignment="1">
      <alignment horizontal="right" vertical="center"/>
    </xf>
    <xf numFmtId="0" fontId="16" fillId="10" borderId="16" xfId="0" applyFont="1" applyFill="1" applyBorder="1" applyAlignment="1">
      <alignment horizontal="center" vertical="center"/>
    </xf>
    <xf numFmtId="10" fontId="26" fillId="0" borderId="16" xfId="0" applyNumberFormat="1" applyFont="1" applyBorder="1" applyAlignment="1">
      <alignment vertical="center"/>
    </xf>
    <xf numFmtId="174" fontId="25" fillId="0" borderId="19" xfId="0" applyNumberFormat="1" applyFont="1" applyBorder="1" applyAlignment="1">
      <alignment horizontal="center" vertical="center"/>
    </xf>
    <xf numFmtId="175" fontId="25" fillId="0" borderId="23" xfId="0" applyNumberFormat="1" applyFont="1" applyBorder="1" applyAlignment="1">
      <alignment vertical="center"/>
    </xf>
    <xf numFmtId="175" fontId="16" fillId="10" borderId="47" xfId="0" applyNumberFormat="1" applyFont="1" applyFill="1" applyBorder="1" applyAlignment="1">
      <alignment vertical="center" wrapText="1"/>
    </xf>
    <xf numFmtId="177" fontId="16" fillId="10" borderId="48" xfId="0" applyNumberFormat="1" applyFont="1" applyFill="1" applyBorder="1" applyAlignment="1">
      <alignment horizontal="center" vertical="center"/>
    </xf>
    <xf numFmtId="0" fontId="16" fillId="10" borderId="48" xfId="0" applyFont="1" applyFill="1" applyBorder="1" applyAlignment="1">
      <alignment horizontal="center" vertical="center"/>
    </xf>
    <xf numFmtId="10" fontId="26" fillId="0" borderId="48" xfId="0" applyNumberFormat="1" applyFont="1" applyBorder="1" applyAlignment="1">
      <alignment vertical="center"/>
    </xf>
    <xf numFmtId="172" fontId="16" fillId="10" borderId="49" xfId="0" applyNumberFormat="1" applyFont="1" applyFill="1" applyBorder="1" applyAlignment="1">
      <alignment vertical="center"/>
    </xf>
    <xf numFmtId="0" fontId="37" fillId="12" borderId="0" xfId="0" applyFont="1" applyFill="1"/>
    <xf numFmtId="0" fontId="25" fillId="0" borderId="1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166" fontId="25" fillId="0" borderId="18" xfId="0" applyNumberFormat="1" applyFont="1" applyBorder="1" applyAlignment="1">
      <alignment horizontal="center" vertical="center" wrapText="1"/>
    </xf>
    <xf numFmtId="10" fontId="25" fillId="0" borderId="50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vertical="center"/>
    </xf>
    <xf numFmtId="10" fontId="25" fillId="0" borderId="51" xfId="0" applyNumberFormat="1" applyFont="1" applyBorder="1" applyAlignment="1">
      <alignment horizontal="center" vertical="center"/>
    </xf>
    <xf numFmtId="10" fontId="25" fillId="0" borderId="19" xfId="0" applyNumberFormat="1" applyFont="1" applyBorder="1" applyAlignment="1">
      <alignment horizontal="center" vertical="center"/>
    </xf>
    <xf numFmtId="172" fontId="25" fillId="0" borderId="0" xfId="0" applyNumberFormat="1" applyFont="1" applyAlignment="1">
      <alignment horizontal="center" vertical="center"/>
    </xf>
    <xf numFmtId="166" fontId="25" fillId="0" borderId="23" xfId="0" applyNumberFormat="1" applyFont="1" applyBorder="1" applyAlignment="1">
      <alignment horizontal="center" vertical="center" wrapText="1"/>
    </xf>
    <xf numFmtId="181" fontId="25" fillId="0" borderId="52" xfId="0" applyNumberFormat="1" applyFont="1" applyBorder="1" applyAlignment="1">
      <alignment horizontal="center" vertical="center"/>
    </xf>
    <xf numFmtId="172" fontId="16" fillId="10" borderId="17" xfId="0" applyNumberFormat="1" applyFont="1" applyFill="1" applyBorder="1" applyAlignment="1">
      <alignment horizontal="center" vertical="center"/>
    </xf>
    <xf numFmtId="175" fontId="38" fillId="10" borderId="33" xfId="0" applyNumberFormat="1" applyFont="1" applyFill="1" applyBorder="1" applyAlignment="1">
      <alignment horizontal="right" vertical="center" wrapText="1"/>
    </xf>
    <xf numFmtId="10" fontId="25" fillId="0" borderId="52" xfId="0" applyNumberFormat="1" applyFont="1" applyBorder="1" applyAlignment="1">
      <alignment horizontal="center" vertical="center"/>
    </xf>
    <xf numFmtId="172" fontId="32" fillId="10" borderId="17" xfId="0" applyNumberFormat="1" applyFont="1" applyFill="1" applyBorder="1" applyAlignment="1">
      <alignment vertical="center"/>
    </xf>
    <xf numFmtId="1" fontId="25" fillId="0" borderId="50" xfId="0" applyNumberFormat="1" applyFont="1" applyBorder="1" applyAlignment="1">
      <alignment horizontal="center" vertical="center"/>
    </xf>
    <xf numFmtId="3" fontId="25" fillId="0" borderId="52" xfId="0" applyNumberFormat="1" applyFont="1" applyBorder="1" applyAlignment="1">
      <alignment horizontal="center" vertical="center"/>
    </xf>
    <xf numFmtId="3" fontId="23" fillId="0" borderId="10" xfId="0" applyNumberFormat="1" applyFont="1" applyBorder="1" applyAlignment="1">
      <alignment horizontal="center"/>
    </xf>
    <xf numFmtId="173" fontId="23" fillId="0" borderId="10" xfId="0" applyNumberFormat="1" applyFont="1" applyBorder="1" applyAlignment="1">
      <alignment horizontal="center"/>
    </xf>
    <xf numFmtId="175" fontId="16" fillId="12" borderId="33" xfId="0" applyNumberFormat="1" applyFont="1" applyFill="1" applyBorder="1" applyAlignment="1">
      <alignment wrapText="1"/>
    </xf>
    <xf numFmtId="177" fontId="16" fillId="12" borderId="16" xfId="0" applyNumberFormat="1" applyFont="1" applyFill="1" applyBorder="1" applyAlignment="1">
      <alignment horizontal="center"/>
    </xf>
    <xf numFmtId="172" fontId="16" fillId="12" borderId="16" xfId="0" applyNumberFormat="1" applyFont="1" applyFill="1" applyBorder="1" applyAlignment="1">
      <alignment horizontal="center"/>
    </xf>
    <xf numFmtId="10" fontId="26" fillId="0" borderId="16" xfId="0" applyNumberFormat="1" applyFont="1" applyBorder="1" applyAlignment="1">
      <alignment horizontal="right"/>
    </xf>
    <xf numFmtId="172" fontId="16" fillId="12" borderId="17" xfId="0" applyNumberFormat="1" applyFont="1" applyFill="1" applyBorder="1" applyAlignment="1">
      <alignment horizontal="center"/>
    </xf>
    <xf numFmtId="172" fontId="19" fillId="12" borderId="17" xfId="0" applyNumberFormat="1" applyFont="1" applyFill="1" applyBorder="1" applyAlignment="1">
      <alignment horizontal="center"/>
    </xf>
    <xf numFmtId="175" fontId="38" fillId="12" borderId="33" xfId="0" applyNumberFormat="1" applyFont="1" applyFill="1" applyBorder="1" applyAlignment="1">
      <alignment horizontal="right" wrapText="1"/>
    </xf>
    <xf numFmtId="172" fontId="16" fillId="0" borderId="0" xfId="0" applyNumberFormat="1" applyFont="1" applyAlignment="1">
      <alignment vertical="center"/>
    </xf>
    <xf numFmtId="0" fontId="16" fillId="12" borderId="16" xfId="0" applyFont="1" applyFill="1" applyBorder="1" applyAlignment="1">
      <alignment horizontal="center"/>
    </xf>
    <xf numFmtId="175" fontId="16" fillId="2" borderId="33" xfId="0" applyNumberFormat="1" applyFont="1" applyFill="1" applyBorder="1" applyAlignment="1">
      <alignment vertical="center" wrapText="1"/>
    </xf>
    <xf numFmtId="177" fontId="16" fillId="2" borderId="16" xfId="0" applyNumberFormat="1" applyFont="1" applyFill="1" applyBorder="1" applyAlignment="1">
      <alignment horizontal="center" vertical="center"/>
    </xf>
    <xf numFmtId="172" fontId="16" fillId="2" borderId="16" xfId="0" applyNumberFormat="1" applyFont="1" applyFill="1" applyBorder="1" applyAlignment="1">
      <alignment horizontal="center" vertical="center"/>
    </xf>
    <xf numFmtId="10" fontId="16" fillId="2" borderId="16" xfId="0" applyNumberFormat="1" applyFont="1" applyFill="1" applyBorder="1" applyAlignment="1">
      <alignment vertical="center"/>
    </xf>
    <xf numFmtId="10" fontId="16" fillId="10" borderId="16" xfId="0" applyNumberFormat="1" applyFont="1" applyFill="1" applyBorder="1" applyAlignment="1">
      <alignment vertical="center"/>
    </xf>
    <xf numFmtId="0" fontId="39" fillId="0" borderId="54" xfId="0" applyFont="1" applyBorder="1"/>
    <xf numFmtId="3" fontId="39" fillId="0" borderId="55" xfId="0" applyNumberFormat="1" applyFont="1" applyBorder="1"/>
    <xf numFmtId="0" fontId="40" fillId="0" borderId="56" xfId="0" applyFont="1" applyBorder="1" applyAlignment="1">
      <alignment horizontal="center"/>
    </xf>
    <xf numFmtId="173" fontId="40" fillId="0" borderId="0" xfId="0" applyNumberFormat="1" applyFont="1" applyAlignment="1">
      <alignment horizontal="center"/>
    </xf>
    <xf numFmtId="174" fontId="40" fillId="0" borderId="0" xfId="0" applyNumberFormat="1" applyFont="1" applyAlignment="1">
      <alignment horizontal="center"/>
    </xf>
    <xf numFmtId="3" fontId="41" fillId="0" borderId="0" xfId="0" applyNumberFormat="1" applyFont="1"/>
    <xf numFmtId="10" fontId="40" fillId="0" borderId="0" xfId="0" applyNumberFormat="1" applyFont="1" applyAlignment="1">
      <alignment horizontal="right"/>
    </xf>
    <xf numFmtId="0" fontId="39" fillId="0" borderId="35" xfId="0" applyFont="1" applyBorder="1"/>
    <xf numFmtId="10" fontId="39" fillId="0" borderId="36" xfId="0" applyNumberFormat="1" applyFont="1" applyBorder="1" applyAlignment="1">
      <alignment horizontal="right"/>
    </xf>
    <xf numFmtId="0" fontId="17" fillId="13" borderId="25" xfId="0" applyFont="1" applyFill="1" applyBorder="1" applyAlignment="1">
      <alignment vertical="center"/>
    </xf>
    <xf numFmtId="0" fontId="42" fillId="13" borderId="25" xfId="0" applyFont="1" applyFill="1" applyBorder="1" applyAlignment="1">
      <alignment vertical="center"/>
    </xf>
    <xf numFmtId="175" fontId="16" fillId="0" borderId="0" xfId="0" applyNumberFormat="1" applyFont="1"/>
    <xf numFmtId="14" fontId="43" fillId="14" borderId="36" xfId="0" applyNumberFormat="1" applyFont="1" applyFill="1" applyBorder="1" applyAlignment="1">
      <alignment horizontal="right"/>
    </xf>
    <xf numFmtId="14" fontId="44" fillId="14" borderId="36" xfId="0" applyNumberFormat="1" applyFont="1" applyFill="1" applyBorder="1" applyAlignment="1">
      <alignment horizontal="right"/>
    </xf>
    <xf numFmtId="175" fontId="16" fillId="0" borderId="36" xfId="0" applyNumberFormat="1" applyFont="1" applyBorder="1"/>
    <xf numFmtId="183" fontId="19" fillId="0" borderId="6" xfId="0" applyNumberFormat="1" applyFont="1" applyBorder="1" applyAlignment="1">
      <alignment horizontal="center"/>
    </xf>
    <xf numFmtId="184" fontId="19" fillId="0" borderId="57" xfId="0" applyNumberFormat="1" applyFont="1" applyBorder="1" applyAlignment="1">
      <alignment horizontal="center"/>
    </xf>
    <xf numFmtId="175" fontId="16" fillId="15" borderId="6" xfId="0" applyNumberFormat="1" applyFont="1" applyFill="1" applyBorder="1"/>
    <xf numFmtId="175" fontId="16" fillId="15" borderId="58" xfId="0" applyNumberFormat="1" applyFont="1" applyFill="1" applyBorder="1" applyAlignment="1">
      <alignment horizontal="center"/>
    </xf>
    <xf numFmtId="175" fontId="16" fillId="15" borderId="59" xfId="0" applyNumberFormat="1" applyFont="1" applyFill="1" applyBorder="1"/>
    <xf numFmtId="175" fontId="16" fillId="15" borderId="60" xfId="0" applyNumberFormat="1" applyFont="1" applyFill="1" applyBorder="1"/>
    <xf numFmtId="175" fontId="16" fillId="15" borderId="58" xfId="0" applyNumberFormat="1" applyFont="1" applyFill="1" applyBorder="1"/>
    <xf numFmtId="175" fontId="19" fillId="15" borderId="58" xfId="0" applyNumberFormat="1" applyFont="1" applyFill="1" applyBorder="1" applyAlignment="1">
      <alignment horizontal="center"/>
    </xf>
    <xf numFmtId="175" fontId="16" fillId="15" borderId="4" xfId="0" applyNumberFormat="1" applyFont="1" applyFill="1" applyBorder="1"/>
    <xf numFmtId="175" fontId="16" fillId="15" borderId="4" xfId="0" applyNumberFormat="1" applyFont="1" applyFill="1" applyBorder="1" applyAlignment="1">
      <alignment horizontal="center"/>
    </xf>
    <xf numFmtId="175" fontId="16" fillId="15" borderId="61" xfId="0" applyNumberFormat="1" applyFont="1" applyFill="1" applyBorder="1"/>
    <xf numFmtId="175" fontId="19" fillId="15" borderId="4" xfId="0" applyNumberFormat="1" applyFont="1" applyFill="1" applyBorder="1" applyAlignment="1">
      <alignment horizontal="center"/>
    </xf>
    <xf numFmtId="10" fontId="16" fillId="0" borderId="0" xfId="0" applyNumberFormat="1" applyFont="1"/>
    <xf numFmtId="175" fontId="16" fillId="15" borderId="61" xfId="0" applyNumberFormat="1" applyFont="1" applyFill="1" applyBorder="1" applyAlignment="1">
      <alignment horizontal="center"/>
    </xf>
    <xf numFmtId="168" fontId="16" fillId="0" borderId="0" xfId="0" applyNumberFormat="1" applyFont="1" applyAlignment="1">
      <alignment horizontal="right"/>
    </xf>
    <xf numFmtId="10" fontId="16" fillId="0" borderId="0" xfId="0" applyNumberFormat="1" applyFont="1" applyAlignment="1">
      <alignment horizontal="right"/>
    </xf>
    <xf numFmtId="175" fontId="16" fillId="16" borderId="6" xfId="0" applyNumberFormat="1" applyFont="1" applyFill="1" applyBorder="1"/>
    <xf numFmtId="175" fontId="16" fillId="16" borderId="57" xfId="0" applyNumberFormat="1" applyFont="1" applyFill="1" applyBorder="1" applyAlignment="1">
      <alignment horizontal="center"/>
    </xf>
    <xf numFmtId="175" fontId="19" fillId="18" borderId="5" xfId="0" applyNumberFormat="1" applyFont="1" applyFill="1" applyBorder="1" applyAlignment="1">
      <alignment horizontal="center"/>
    </xf>
    <xf numFmtId="175" fontId="16" fillId="18" borderId="1" xfId="0" applyNumberFormat="1" applyFont="1" applyFill="1" applyBorder="1"/>
    <xf numFmtId="175" fontId="16" fillId="18" borderId="5" xfId="0" applyNumberFormat="1" applyFont="1" applyFill="1" applyBorder="1" applyAlignment="1">
      <alignment horizontal="center"/>
    </xf>
    <xf numFmtId="175" fontId="25" fillId="19" borderId="58" xfId="0" applyNumberFormat="1" applyFont="1" applyFill="1" applyBorder="1" applyAlignment="1">
      <alignment horizontal="center"/>
    </xf>
    <xf numFmtId="175" fontId="25" fillId="19" borderId="6" xfId="0" applyNumberFormat="1" applyFont="1" applyFill="1" applyBorder="1" applyAlignment="1">
      <alignment horizontal="center"/>
    </xf>
    <xf numFmtId="175" fontId="16" fillId="17" borderId="58" xfId="0" applyNumberFormat="1" applyFont="1" applyFill="1" applyBorder="1"/>
    <xf numFmtId="175" fontId="16" fillId="17" borderId="58" xfId="0" applyNumberFormat="1" applyFont="1" applyFill="1" applyBorder="1" applyAlignment="1">
      <alignment horizontal="center"/>
    </xf>
    <xf numFmtId="175" fontId="16" fillId="17" borderId="59" xfId="0" applyNumberFormat="1" applyFont="1" applyFill="1" applyBorder="1"/>
    <xf numFmtId="175" fontId="16" fillId="17" borderId="59" xfId="0" applyNumberFormat="1" applyFont="1" applyFill="1" applyBorder="1" applyAlignment="1">
      <alignment horizontal="center"/>
    </xf>
    <xf numFmtId="175" fontId="29" fillId="17" borderId="58" xfId="0" applyNumberFormat="1" applyFont="1" applyFill="1" applyBorder="1" applyAlignment="1">
      <alignment horizontal="center"/>
    </xf>
    <xf numFmtId="175" fontId="16" fillId="17" borderId="6" xfId="0" applyNumberFormat="1" applyFont="1" applyFill="1" applyBorder="1" applyAlignment="1">
      <alignment horizontal="center"/>
    </xf>
    <xf numFmtId="175" fontId="16" fillId="17" borderId="60" xfId="0" applyNumberFormat="1" applyFont="1" applyFill="1" applyBorder="1"/>
    <xf numFmtId="175" fontId="16" fillId="17" borderId="60" xfId="0" applyNumberFormat="1" applyFont="1" applyFill="1" applyBorder="1" applyAlignment="1">
      <alignment horizontal="center"/>
    </xf>
    <xf numFmtId="175" fontId="19" fillId="17" borderId="58" xfId="0" applyNumberFormat="1" applyFont="1" applyFill="1" applyBorder="1" applyAlignment="1">
      <alignment horizontal="center"/>
    </xf>
    <xf numFmtId="171" fontId="16" fillId="0" borderId="0" xfId="0" applyNumberFormat="1" applyFont="1"/>
    <xf numFmtId="175" fontId="16" fillId="2" borderId="59" xfId="0" applyNumberFormat="1" applyFont="1" applyFill="1" applyBorder="1" applyAlignment="1">
      <alignment horizontal="center"/>
    </xf>
    <xf numFmtId="175" fontId="16" fillId="17" borderId="62" xfId="0" applyNumberFormat="1" applyFont="1" applyFill="1" applyBorder="1"/>
    <xf numFmtId="175" fontId="19" fillId="17" borderId="63" xfId="0" applyNumberFormat="1" applyFont="1" applyFill="1" applyBorder="1" applyAlignment="1">
      <alignment horizontal="center"/>
    </xf>
    <xf numFmtId="175" fontId="19" fillId="17" borderId="64" xfId="0" applyNumberFormat="1" applyFont="1" applyFill="1" applyBorder="1" applyAlignment="1">
      <alignment horizontal="center"/>
    </xf>
    <xf numFmtId="175" fontId="16" fillId="17" borderId="6" xfId="0" applyNumberFormat="1" applyFont="1" applyFill="1" applyBorder="1"/>
    <xf numFmtId="175" fontId="19" fillId="17" borderId="3" xfId="0" applyNumberFormat="1" applyFont="1" applyFill="1" applyBorder="1" applyAlignment="1">
      <alignment horizontal="center"/>
    </xf>
    <xf numFmtId="175" fontId="16" fillId="2" borderId="59" xfId="0" applyNumberFormat="1" applyFont="1" applyFill="1" applyBorder="1"/>
    <xf numFmtId="175" fontId="26" fillId="17" borderId="59" xfId="0" applyNumberFormat="1" applyFont="1" applyFill="1" applyBorder="1" applyAlignment="1">
      <alignment horizontal="center"/>
    </xf>
    <xf numFmtId="175" fontId="16" fillId="17" borderId="0" xfId="0" applyNumberFormat="1" applyFont="1" applyFill="1"/>
    <xf numFmtId="175" fontId="26" fillId="17" borderId="60" xfId="0" applyNumberFormat="1" applyFont="1" applyFill="1" applyBorder="1" applyAlignment="1">
      <alignment horizontal="center"/>
    </xf>
    <xf numFmtId="175" fontId="16" fillId="18" borderId="58" xfId="0" applyNumberFormat="1" applyFont="1" applyFill="1" applyBorder="1" applyAlignment="1">
      <alignment horizontal="center"/>
    </xf>
    <xf numFmtId="175" fontId="16" fillId="18" borderId="65" xfId="0" applyNumberFormat="1" applyFont="1" applyFill="1" applyBorder="1"/>
    <xf numFmtId="175" fontId="16" fillId="18" borderId="66" xfId="0" applyNumberFormat="1" applyFont="1" applyFill="1" applyBorder="1"/>
    <xf numFmtId="175" fontId="16" fillId="18" borderId="2" xfId="0" applyNumberFormat="1" applyFont="1" applyFill="1" applyBorder="1"/>
    <xf numFmtId="175" fontId="30" fillId="17" borderId="58" xfId="0" applyNumberFormat="1" applyFont="1" applyFill="1" applyBorder="1" applyAlignment="1">
      <alignment horizontal="right"/>
    </xf>
    <xf numFmtId="175" fontId="30" fillId="17" borderId="59" xfId="0" applyNumberFormat="1" applyFont="1" applyFill="1" applyBorder="1"/>
    <xf numFmtId="10" fontId="16" fillId="17" borderId="58" xfId="0" applyNumberFormat="1" applyFont="1" applyFill="1" applyBorder="1" applyAlignment="1">
      <alignment horizontal="center"/>
    </xf>
    <xf numFmtId="175" fontId="29" fillId="11" borderId="63" xfId="0" applyNumberFormat="1" applyFont="1" applyFill="1" applyBorder="1" applyAlignment="1">
      <alignment horizontal="center"/>
    </xf>
    <xf numFmtId="175" fontId="29" fillId="11" borderId="64" xfId="0" applyNumberFormat="1" applyFont="1" applyFill="1" applyBorder="1" applyAlignment="1">
      <alignment horizontal="center"/>
    </xf>
    <xf numFmtId="175" fontId="19" fillId="11" borderId="64" xfId="0" applyNumberFormat="1" applyFont="1" applyFill="1" applyBorder="1" applyAlignment="1">
      <alignment horizontal="center"/>
    </xf>
    <xf numFmtId="10" fontId="16" fillId="17" borderId="6" xfId="0" applyNumberFormat="1" applyFont="1" applyFill="1" applyBorder="1" applyAlignment="1">
      <alignment horizontal="center"/>
    </xf>
    <xf numFmtId="175" fontId="16" fillId="17" borderId="4" xfId="0" applyNumberFormat="1" applyFont="1" applyFill="1" applyBorder="1"/>
    <xf numFmtId="10" fontId="16" fillId="17" borderId="4" xfId="0" applyNumberFormat="1" applyFont="1" applyFill="1" applyBorder="1" applyAlignment="1">
      <alignment horizontal="center"/>
    </xf>
    <xf numFmtId="175" fontId="16" fillId="17" borderId="61" xfId="0" applyNumberFormat="1" applyFont="1" applyFill="1" applyBorder="1"/>
    <xf numFmtId="175" fontId="16" fillId="17" borderId="61" xfId="0" applyNumberFormat="1" applyFont="1" applyFill="1" applyBorder="1" applyAlignment="1">
      <alignment horizontal="center"/>
    </xf>
    <xf numFmtId="175" fontId="16" fillId="17" borderId="5" xfId="0" applyNumberFormat="1" applyFont="1" applyFill="1" applyBorder="1"/>
    <xf numFmtId="175" fontId="29" fillId="11" borderId="3" xfId="0" applyNumberFormat="1" applyFont="1" applyFill="1" applyBorder="1" applyAlignment="1">
      <alignment horizontal="center"/>
    </xf>
    <xf numFmtId="175" fontId="16" fillId="17" borderId="63" xfId="0" applyNumberFormat="1" applyFont="1" applyFill="1" applyBorder="1"/>
    <xf numFmtId="175" fontId="29" fillId="17" borderId="67" xfId="0" applyNumberFormat="1" applyFont="1" applyFill="1" applyBorder="1" applyAlignment="1">
      <alignment horizontal="center"/>
    </xf>
    <xf numFmtId="175" fontId="16" fillId="17" borderId="64" xfId="0" applyNumberFormat="1" applyFont="1" applyFill="1" applyBorder="1"/>
    <xf numFmtId="175" fontId="16" fillId="17" borderId="68" xfId="0" applyNumberFormat="1" applyFont="1" applyFill="1" applyBorder="1"/>
    <xf numFmtId="175" fontId="16" fillId="17" borderId="3" xfId="0" applyNumberFormat="1" applyFont="1" applyFill="1" applyBorder="1"/>
    <xf numFmtId="175" fontId="16" fillId="17" borderId="5" xfId="0" applyNumberFormat="1" applyFont="1" applyFill="1" applyBorder="1" applyAlignment="1">
      <alignment horizontal="center"/>
    </xf>
    <xf numFmtId="175" fontId="29" fillId="17" borderId="69" xfId="0" applyNumberFormat="1" applyFont="1" applyFill="1" applyBorder="1" applyAlignment="1">
      <alignment horizontal="center"/>
    </xf>
    <xf numFmtId="175" fontId="29" fillId="17" borderId="3" xfId="0" applyNumberFormat="1" applyFont="1" applyFill="1" applyBorder="1" applyAlignment="1">
      <alignment horizontal="center"/>
    </xf>
    <xf numFmtId="175" fontId="19" fillId="17" borderId="67" xfId="0" applyNumberFormat="1" applyFont="1" applyFill="1" applyBorder="1" applyAlignment="1">
      <alignment horizontal="center"/>
    </xf>
    <xf numFmtId="175" fontId="16" fillId="17" borderId="4" xfId="0" applyNumberFormat="1" applyFont="1" applyFill="1" applyBorder="1" applyAlignment="1">
      <alignment horizontal="center"/>
    </xf>
    <xf numFmtId="175" fontId="16" fillId="18" borderId="4" xfId="0" applyNumberFormat="1" applyFont="1" applyFill="1" applyBorder="1" applyAlignment="1">
      <alignment horizontal="center"/>
    </xf>
    <xf numFmtId="175" fontId="16" fillId="18" borderId="70" xfId="0" applyNumberFormat="1" applyFont="1" applyFill="1" applyBorder="1" applyAlignment="1">
      <alignment horizontal="center"/>
    </xf>
    <xf numFmtId="175" fontId="16" fillId="21" borderId="6" xfId="0" applyNumberFormat="1" applyFont="1" applyFill="1" applyBorder="1"/>
    <xf numFmtId="175" fontId="16" fillId="21" borderId="71" xfId="0" applyNumberFormat="1" applyFont="1" applyFill="1" applyBorder="1" applyAlignment="1">
      <alignment horizontal="center"/>
    </xf>
    <xf numFmtId="175" fontId="26" fillId="21" borderId="71" xfId="0" applyNumberFormat="1" applyFont="1" applyFill="1" applyBorder="1" applyAlignment="1">
      <alignment horizontal="center"/>
    </xf>
    <xf numFmtId="175" fontId="16" fillId="21" borderId="36" xfId="0" applyNumberFormat="1" applyFont="1" applyFill="1" applyBorder="1" applyAlignment="1">
      <alignment horizontal="center"/>
    </xf>
    <xf numFmtId="175" fontId="19" fillId="21" borderId="36" xfId="0" applyNumberFormat="1" applyFont="1" applyFill="1" applyBorder="1" applyAlignment="1">
      <alignment horizontal="center"/>
    </xf>
    <xf numFmtId="175" fontId="16" fillId="21" borderId="57" xfId="0" applyNumberFormat="1" applyFont="1" applyFill="1" applyBorder="1"/>
    <xf numFmtId="175" fontId="16" fillId="21" borderId="72" xfId="0" applyNumberFormat="1" applyFont="1" applyFill="1" applyBorder="1" applyAlignment="1">
      <alignment horizontal="center"/>
    </xf>
    <xf numFmtId="175" fontId="16" fillId="22" borderId="57" xfId="0" applyNumberFormat="1" applyFont="1" applyFill="1" applyBorder="1"/>
    <xf numFmtId="175" fontId="16" fillId="22" borderId="71" xfId="0" applyNumberFormat="1" applyFont="1" applyFill="1" applyBorder="1" applyAlignment="1">
      <alignment horizontal="center"/>
    </xf>
    <xf numFmtId="175" fontId="16" fillId="0" borderId="0" xfId="0" applyNumberFormat="1" applyFont="1" applyAlignment="1">
      <alignment horizontal="right"/>
    </xf>
    <xf numFmtId="175" fontId="47" fillId="23" borderId="0" xfId="0" applyNumberFormat="1" applyFont="1" applyFill="1"/>
    <xf numFmtId="175" fontId="16" fillId="23" borderId="0" xfId="0" applyNumberFormat="1" applyFont="1" applyFill="1"/>
    <xf numFmtId="175" fontId="19" fillId="16" borderId="5" xfId="0" applyNumberFormat="1" applyFont="1" applyFill="1" applyBorder="1" applyAlignment="1">
      <alignment horizontal="center"/>
    </xf>
    <xf numFmtId="175" fontId="16" fillId="16" borderId="4" xfId="0" applyNumberFormat="1" applyFont="1" applyFill="1" applyBorder="1"/>
    <xf numFmtId="175" fontId="16" fillId="16" borderId="4" xfId="0" applyNumberFormat="1" applyFont="1" applyFill="1" applyBorder="1" applyAlignment="1">
      <alignment horizontal="right"/>
    </xf>
    <xf numFmtId="175" fontId="19" fillId="16" borderId="4" xfId="0" applyNumberFormat="1" applyFont="1" applyFill="1" applyBorder="1" applyAlignment="1">
      <alignment horizontal="center"/>
    </xf>
    <xf numFmtId="175" fontId="16" fillId="16" borderId="5" xfId="0" applyNumberFormat="1" applyFont="1" applyFill="1" applyBorder="1"/>
    <xf numFmtId="175" fontId="36" fillId="16" borderId="4" xfId="0" applyNumberFormat="1" applyFont="1" applyFill="1" applyBorder="1"/>
    <xf numFmtId="9" fontId="17" fillId="16" borderId="4" xfId="0" applyNumberFormat="1" applyFont="1" applyFill="1" applyBorder="1" applyAlignment="1">
      <alignment horizontal="center"/>
    </xf>
    <xf numFmtId="175" fontId="16" fillId="0" borderId="5" xfId="0" applyNumberFormat="1" applyFont="1" applyBorder="1"/>
    <xf numFmtId="175" fontId="16" fillId="0" borderId="6" xfId="0" applyNumberFormat="1" applyFont="1" applyBorder="1"/>
    <xf numFmtId="9" fontId="19" fillId="16" borderId="4" xfId="0" applyNumberFormat="1" applyFont="1" applyFill="1" applyBorder="1" applyAlignment="1">
      <alignment horizontal="center"/>
    </xf>
    <xf numFmtId="175" fontId="16" fillId="16" borderId="6" xfId="0" applyNumberFormat="1" applyFont="1" applyFill="1" applyBorder="1" applyAlignment="1">
      <alignment horizontal="right"/>
    </xf>
    <xf numFmtId="175" fontId="16" fillId="14" borderId="4" xfId="0" applyNumberFormat="1" applyFont="1" applyFill="1" applyBorder="1" applyAlignment="1">
      <alignment horizontal="right"/>
    </xf>
    <xf numFmtId="10" fontId="19" fillId="14" borderId="4" xfId="0" applyNumberFormat="1" applyFont="1" applyFill="1" applyBorder="1" applyAlignment="1">
      <alignment horizontal="right"/>
    </xf>
    <xf numFmtId="175" fontId="16" fillId="16" borderId="4" xfId="0" applyNumberFormat="1" applyFont="1" applyFill="1" applyBorder="1" applyAlignment="1">
      <alignment horizontal="center"/>
    </xf>
    <xf numFmtId="166" fontId="16" fillId="14" borderId="4" xfId="0" applyNumberFormat="1" applyFont="1" applyFill="1" applyBorder="1" applyAlignment="1">
      <alignment horizontal="right"/>
    </xf>
    <xf numFmtId="166" fontId="19" fillId="14" borderId="4" xfId="0" applyNumberFormat="1" applyFont="1" applyFill="1" applyBorder="1" applyAlignment="1">
      <alignment horizontal="right"/>
    </xf>
    <xf numFmtId="175" fontId="16" fillId="24" borderId="4" xfId="0" applyNumberFormat="1" applyFont="1" applyFill="1" applyBorder="1" applyAlignment="1">
      <alignment horizontal="right"/>
    </xf>
    <xf numFmtId="175" fontId="26" fillId="24" borderId="4" xfId="0" applyNumberFormat="1" applyFont="1" applyFill="1" applyBorder="1" applyAlignment="1">
      <alignment horizontal="right"/>
    </xf>
    <xf numFmtId="175" fontId="5" fillId="0" borderId="0" xfId="0" applyNumberFormat="1" applyFont="1"/>
    <xf numFmtId="175" fontId="40" fillId="0" borderId="1" xfId="0" applyNumberFormat="1" applyFont="1" applyBorder="1" applyAlignment="1">
      <alignment horizontal="center"/>
    </xf>
    <xf numFmtId="0" fontId="43" fillId="14" borderId="36" xfId="0" applyFont="1" applyFill="1" applyBorder="1" applyAlignment="1">
      <alignment horizontal="right"/>
    </xf>
    <xf numFmtId="175" fontId="16" fillId="23" borderId="60" xfId="0" applyNumberFormat="1" applyFont="1" applyFill="1" applyBorder="1" applyAlignment="1">
      <alignment horizontal="center"/>
    </xf>
    <xf numFmtId="168" fontId="16" fillId="0" borderId="0" xfId="0" applyNumberFormat="1" applyFont="1"/>
    <xf numFmtId="175" fontId="16" fillId="25" borderId="59" xfId="0" applyNumberFormat="1" applyFont="1" applyFill="1" applyBorder="1" applyAlignment="1">
      <alignment horizontal="center"/>
    </xf>
    <xf numFmtId="175" fontId="40" fillId="3" borderId="71" xfId="0" applyNumberFormat="1" applyFont="1" applyFill="1" applyBorder="1" applyAlignment="1">
      <alignment horizontal="center"/>
    </xf>
    <xf numFmtId="175" fontId="16" fillId="0" borderId="0" xfId="0" applyNumberFormat="1" applyFont="1" applyAlignment="1">
      <alignment horizontal="center"/>
    </xf>
    <xf numFmtId="0" fontId="6" fillId="26" borderId="73" xfId="0" applyFont="1" applyFill="1" applyBorder="1" applyAlignment="1">
      <alignment horizontal="center"/>
    </xf>
    <xf numFmtId="0" fontId="6" fillId="7" borderId="73" xfId="0" applyFont="1" applyFill="1" applyBorder="1" applyAlignment="1">
      <alignment horizontal="center"/>
    </xf>
    <xf numFmtId="0" fontId="6" fillId="23" borderId="73" xfId="0" applyFont="1" applyFill="1" applyBorder="1" applyAlignment="1">
      <alignment horizontal="center"/>
    </xf>
    <xf numFmtId="0" fontId="6" fillId="27" borderId="73" xfId="0" applyFont="1" applyFill="1" applyBorder="1" applyAlignment="1">
      <alignment horizontal="center"/>
    </xf>
    <xf numFmtId="169" fontId="49" fillId="19" borderId="1" xfId="0" applyNumberFormat="1" applyFont="1" applyFill="1" applyBorder="1" applyAlignment="1">
      <alignment horizontal="center"/>
    </xf>
    <xf numFmtId="175" fontId="50" fillId="7" borderId="1" xfId="0" applyNumberFormat="1" applyFont="1" applyFill="1" applyBorder="1" applyAlignment="1">
      <alignment horizontal="center"/>
    </xf>
    <xf numFmtId="166" fontId="5" fillId="23" borderId="0" xfId="0" applyNumberFormat="1" applyFont="1" applyFill="1"/>
    <xf numFmtId="185" fontId="5" fillId="27" borderId="0" xfId="0" applyNumberFormat="1" applyFont="1" applyFill="1"/>
    <xf numFmtId="175" fontId="6" fillId="7" borderId="73" xfId="0" applyNumberFormat="1" applyFont="1" applyFill="1" applyBorder="1" applyAlignment="1">
      <alignment horizontal="center"/>
    </xf>
    <xf numFmtId="169" fontId="49" fillId="26" borderId="1" xfId="0" applyNumberFormat="1" applyFont="1" applyFill="1" applyBorder="1" applyAlignment="1">
      <alignment horizontal="center"/>
    </xf>
    <xf numFmtId="169" fontId="49" fillId="28" borderId="1" xfId="0" applyNumberFormat="1" applyFont="1" applyFill="1" applyBorder="1" applyAlignment="1">
      <alignment horizontal="center"/>
    </xf>
    <xf numFmtId="0" fontId="51" fillId="0" borderId="0" xfId="0" applyFont="1"/>
    <xf numFmtId="0" fontId="52" fillId="29" borderId="1" xfId="0" applyFont="1" applyFill="1" applyBorder="1" applyAlignment="1">
      <alignment horizontal="center" wrapText="1"/>
    </xf>
    <xf numFmtId="0" fontId="53" fillId="0" borderId="2" xfId="0" applyFont="1" applyBorder="1" applyAlignment="1">
      <alignment horizontal="center" wrapText="1"/>
    </xf>
    <xf numFmtId="0" fontId="52" fillId="0" borderId="0" xfId="0" applyFont="1"/>
    <xf numFmtId="0" fontId="51" fillId="0" borderId="0" xfId="0" applyFont="1" applyAlignment="1">
      <alignment wrapText="1"/>
    </xf>
    <xf numFmtId="0" fontId="53" fillId="0" borderId="0" xfId="0" applyFont="1" applyAlignment="1">
      <alignment horizontal="center" wrapText="1"/>
    </xf>
    <xf numFmtId="0" fontId="52" fillId="29" borderId="3" xfId="0" applyFont="1" applyFill="1" applyBorder="1" applyAlignment="1">
      <alignment horizontal="center"/>
    </xf>
    <xf numFmtId="0" fontId="52" fillId="29" borderId="4" xfId="0" applyFont="1" applyFill="1" applyBorder="1" applyAlignment="1">
      <alignment horizontal="center"/>
    </xf>
    <xf numFmtId="166" fontId="54" fillId="0" borderId="4" xfId="0" applyNumberFormat="1" applyFont="1" applyBorder="1" applyAlignment="1">
      <alignment horizontal="center"/>
    </xf>
    <xf numFmtId="0" fontId="55" fillId="29" borderId="1" xfId="0" applyFont="1" applyFill="1" applyBorder="1" applyAlignment="1">
      <alignment horizontal="center" wrapText="1"/>
    </xf>
    <xf numFmtId="0" fontId="56" fillId="0" borderId="1" xfId="0" applyFont="1" applyBorder="1" applyAlignment="1">
      <alignment horizontal="center" wrapText="1"/>
    </xf>
    <xf numFmtId="168" fontId="57" fillId="0" borderId="1" xfId="0" applyNumberFormat="1" applyFont="1" applyBorder="1" applyAlignment="1">
      <alignment horizontal="center" vertical="center"/>
    </xf>
    <xf numFmtId="0" fontId="58" fillId="0" borderId="0" xfId="0" applyFont="1"/>
    <xf numFmtId="0" fontId="53" fillId="0" borderId="1" xfId="0" applyFont="1" applyBorder="1" applyAlignment="1">
      <alignment horizontal="center" wrapText="1"/>
    </xf>
    <xf numFmtId="179" fontId="57" fillId="0" borderId="1" xfId="0" applyNumberFormat="1" applyFont="1" applyBorder="1" applyAlignment="1">
      <alignment horizontal="center" vertical="center"/>
    </xf>
    <xf numFmtId="0" fontId="51" fillId="0" borderId="43" xfId="0" applyFont="1" applyBorder="1" applyAlignment="1">
      <alignment horizontal="center"/>
    </xf>
    <xf numFmtId="0" fontId="51" fillId="0" borderId="44" xfId="0" applyFont="1" applyBorder="1" applyAlignment="1">
      <alignment horizontal="center"/>
    </xf>
    <xf numFmtId="0" fontId="51" fillId="0" borderId="2" xfId="0" applyFont="1" applyBorder="1" applyAlignment="1">
      <alignment horizontal="center"/>
    </xf>
    <xf numFmtId="0" fontId="52" fillId="12" borderId="0" xfId="0" applyFont="1" applyFill="1" applyAlignment="1">
      <alignment horizontal="center" wrapText="1"/>
    </xf>
    <xf numFmtId="0" fontId="51" fillId="0" borderId="0" xfId="0" applyFont="1" applyAlignment="1">
      <alignment horizontal="center"/>
    </xf>
    <xf numFmtId="0" fontId="51" fillId="0" borderId="1" xfId="0" applyFont="1" applyBorder="1"/>
    <xf numFmtId="184" fontId="19" fillId="0" borderId="1" xfId="0" applyNumberFormat="1" applyFont="1" applyBorder="1" applyAlignment="1">
      <alignment horizontal="center"/>
    </xf>
    <xf numFmtId="0" fontId="52" fillId="29" borderId="1" xfId="0" applyFont="1" applyFill="1" applyBorder="1" applyAlignment="1">
      <alignment horizontal="center" vertical="center" wrapText="1"/>
    </xf>
    <xf numFmtId="168" fontId="52" fillId="0" borderId="2" xfId="0" applyNumberFormat="1" applyFont="1" applyBorder="1" applyAlignment="1">
      <alignment horizontal="center" vertical="center"/>
    </xf>
    <xf numFmtId="175" fontId="16" fillId="15" borderId="1" xfId="0" applyNumberFormat="1" applyFont="1" applyFill="1" applyBorder="1"/>
    <xf numFmtId="0" fontId="59" fillId="29" borderId="3" xfId="0" applyFont="1" applyFill="1" applyBorder="1" applyAlignment="1">
      <alignment horizontal="right" wrapText="1"/>
    </xf>
    <xf numFmtId="0" fontId="57" fillId="0" borderId="4" xfId="0" applyFont="1" applyBorder="1" applyAlignment="1">
      <alignment horizontal="center" wrapText="1"/>
    </xf>
    <xf numFmtId="168" fontId="57" fillId="0" borderId="4" xfId="0" applyNumberFormat="1" applyFont="1" applyBorder="1" applyAlignment="1">
      <alignment horizontal="center" vertical="center"/>
    </xf>
    <xf numFmtId="0" fontId="58" fillId="0" borderId="1" xfId="0" applyFont="1" applyBorder="1"/>
    <xf numFmtId="179" fontId="5" fillId="0" borderId="1" xfId="0" applyNumberFormat="1" applyFont="1" applyBorder="1"/>
    <xf numFmtId="179" fontId="5" fillId="0" borderId="0" xfId="0" applyNumberFormat="1" applyFont="1"/>
    <xf numFmtId="179" fontId="5" fillId="2" borderId="1" xfId="0" applyNumberFormat="1" applyFont="1" applyFill="1" applyBorder="1"/>
    <xf numFmtId="0" fontId="52" fillId="29" borderId="3" xfId="0" applyFont="1" applyFill="1" applyBorder="1" applyAlignment="1">
      <alignment horizontal="center" vertical="center" wrapText="1"/>
    </xf>
    <xf numFmtId="0" fontId="53" fillId="0" borderId="4" xfId="0" applyFont="1" applyBorder="1" applyAlignment="1">
      <alignment horizontal="center" wrapText="1"/>
    </xf>
    <xf numFmtId="168" fontId="52" fillId="0" borderId="4" xfId="0" applyNumberFormat="1" applyFont="1" applyBorder="1" applyAlignment="1">
      <alignment horizontal="center" vertical="center"/>
    </xf>
    <xf numFmtId="168" fontId="54" fillId="0" borderId="4" xfId="0" applyNumberFormat="1" applyFont="1" applyBorder="1" applyAlignment="1">
      <alignment horizontal="center" vertical="center"/>
    </xf>
    <xf numFmtId="168" fontId="60" fillId="0" borderId="4" xfId="0" applyNumberFormat="1" applyFont="1" applyBorder="1" applyAlignment="1">
      <alignment horizontal="center" vertical="center"/>
    </xf>
    <xf numFmtId="10" fontId="51" fillId="0" borderId="0" xfId="0" applyNumberFormat="1" applyFont="1"/>
    <xf numFmtId="0" fontId="61" fillId="0" borderId="4" xfId="0" applyFont="1" applyBorder="1" applyAlignment="1">
      <alignment horizontal="center" wrapText="1"/>
    </xf>
    <xf numFmtId="168" fontId="51" fillId="0" borderId="0" xfId="0" applyNumberFormat="1" applyFont="1"/>
    <xf numFmtId="181" fontId="51" fillId="0" borderId="0" xfId="0" applyNumberFormat="1" applyFont="1"/>
    <xf numFmtId="168" fontId="57" fillId="2" borderId="4" xfId="0" applyNumberFormat="1" applyFont="1" applyFill="1" applyBorder="1" applyAlignment="1">
      <alignment horizontal="center" vertical="center"/>
    </xf>
    <xf numFmtId="168" fontId="60" fillId="2" borderId="4" xfId="0" applyNumberFormat="1" applyFont="1" applyFill="1" applyBorder="1" applyAlignment="1">
      <alignment horizontal="center" vertical="center"/>
    </xf>
    <xf numFmtId="0" fontId="52" fillId="29" borderId="3" xfId="0" applyFont="1" applyFill="1" applyBorder="1" applyAlignment="1">
      <alignment horizontal="center" wrapText="1"/>
    </xf>
    <xf numFmtId="168" fontId="55" fillId="0" borderId="4" xfId="0" applyNumberFormat="1" applyFont="1" applyBorder="1" applyAlignment="1">
      <alignment horizontal="center" vertical="center"/>
    </xf>
    <xf numFmtId="168" fontId="27" fillId="0" borderId="4" xfId="0" applyNumberFormat="1" applyFont="1" applyBorder="1" applyAlignment="1">
      <alignment horizontal="center" vertical="center"/>
    </xf>
    <xf numFmtId="0" fontId="52" fillId="3" borderId="3" xfId="0" applyFont="1" applyFill="1" applyBorder="1" applyAlignment="1">
      <alignment horizontal="center" wrapText="1"/>
    </xf>
    <xf numFmtId="185" fontId="51" fillId="0" borderId="4" xfId="0" applyNumberFormat="1" applyFont="1" applyBorder="1" applyAlignment="1">
      <alignment horizontal="center" vertical="center"/>
    </xf>
    <xf numFmtId="185" fontId="51" fillId="0" borderId="6" xfId="0" applyNumberFormat="1" applyFont="1" applyBorder="1" applyAlignment="1">
      <alignment horizontal="center" vertical="center"/>
    </xf>
    <xf numFmtId="185" fontId="51" fillId="0" borderId="2" xfId="0" applyNumberFormat="1" applyFont="1" applyBorder="1" applyAlignment="1">
      <alignment horizontal="center" vertical="center"/>
    </xf>
    <xf numFmtId="0" fontId="57" fillId="0" borderId="0" xfId="0" applyFont="1" applyAlignment="1">
      <alignment horizontal="center" wrapText="1"/>
    </xf>
    <xf numFmtId="0" fontId="51" fillId="0" borderId="0" xfId="0" applyFont="1" applyAlignment="1">
      <alignment horizontal="center" vertical="center"/>
    </xf>
    <xf numFmtId="10" fontId="55" fillId="0" borderId="1" xfId="0" applyNumberFormat="1" applyFont="1" applyBorder="1" applyAlignment="1">
      <alignment horizontal="right"/>
    </xf>
    <xf numFmtId="0" fontId="27" fillId="12" borderId="0" xfId="0" applyFont="1" applyFill="1"/>
    <xf numFmtId="0" fontId="3" fillId="12" borderId="0" xfId="0" applyFont="1" applyFill="1"/>
    <xf numFmtId="0" fontId="64" fillId="12" borderId="73" xfId="0" applyFont="1" applyFill="1" applyBorder="1" applyAlignment="1">
      <alignment horizontal="center"/>
    </xf>
    <xf numFmtId="10" fontId="64" fillId="12" borderId="73" xfId="0" applyNumberFormat="1" applyFont="1" applyFill="1" applyBorder="1" applyAlignment="1">
      <alignment horizontal="center"/>
    </xf>
    <xf numFmtId="0" fontId="65" fillId="10" borderId="0" xfId="0" applyFont="1" applyFill="1"/>
    <xf numFmtId="0" fontId="27" fillId="12" borderId="79" xfId="0" applyFont="1" applyFill="1" applyBorder="1"/>
    <xf numFmtId="0" fontId="66" fillId="12" borderId="73" xfId="0" applyFont="1" applyFill="1" applyBorder="1" applyAlignment="1">
      <alignment horizontal="center"/>
    </xf>
    <xf numFmtId="0" fontId="27" fillId="12" borderId="73" xfId="0" applyFont="1" applyFill="1" applyBorder="1" applyAlignment="1">
      <alignment horizontal="center"/>
    </xf>
    <xf numFmtId="170" fontId="67" fillId="12" borderId="0" xfId="0" applyNumberFormat="1" applyFont="1" applyFill="1" applyAlignment="1">
      <alignment horizontal="center"/>
    </xf>
    <xf numFmtId="171" fontId="67" fillId="12" borderId="0" xfId="0" applyNumberFormat="1" applyFont="1" applyFill="1" applyAlignment="1">
      <alignment horizontal="center"/>
    </xf>
    <xf numFmtId="0" fontId="40" fillId="12" borderId="0" xfId="0" applyFont="1" applyFill="1"/>
    <xf numFmtId="0" fontId="52" fillId="12" borderId="0" xfId="0" applyFont="1" applyFill="1" applyAlignment="1">
      <alignment horizontal="center"/>
    </xf>
    <xf numFmtId="0" fontId="3" fillId="0" borderId="83" xfId="0" applyFont="1" applyBorder="1"/>
    <xf numFmtId="0" fontId="55" fillId="12" borderId="0" xfId="0" applyFont="1" applyFill="1" applyAlignment="1">
      <alignment horizontal="center"/>
    </xf>
    <xf numFmtId="0" fontId="70" fillId="32" borderId="1" xfId="0" applyFont="1" applyFill="1" applyBorder="1" applyAlignment="1">
      <alignment horizontal="center"/>
    </xf>
    <xf numFmtId="0" fontId="71" fillId="33" borderId="1" xfId="0" applyFont="1" applyFill="1" applyBorder="1" applyAlignment="1">
      <alignment horizontal="center" wrapText="1"/>
    </xf>
    <xf numFmtId="0" fontId="70" fillId="32" borderId="2" xfId="0" applyFont="1" applyFill="1" applyBorder="1" applyAlignment="1">
      <alignment horizontal="center"/>
    </xf>
    <xf numFmtId="0" fontId="72" fillId="34" borderId="4" xfId="0" quotePrefix="1" applyFont="1" applyFill="1" applyBorder="1" applyAlignment="1">
      <alignment horizontal="center"/>
    </xf>
    <xf numFmtId="0" fontId="73" fillId="0" borderId="3" xfId="0" applyFont="1" applyBorder="1" applyAlignment="1">
      <alignment horizontal="center"/>
    </xf>
    <xf numFmtId="0" fontId="3" fillId="34" borderId="4" xfId="0" applyFont="1" applyFill="1" applyBorder="1" applyAlignment="1">
      <alignment horizontal="right"/>
    </xf>
    <xf numFmtId="167" fontId="74" fillId="12" borderId="4" xfId="0" applyNumberFormat="1" applyFont="1" applyFill="1" applyBorder="1" applyAlignment="1">
      <alignment horizontal="right"/>
    </xf>
    <xf numFmtId="0" fontId="73" fillId="0" borderId="85" xfId="0" applyFont="1" applyBorder="1" applyAlignment="1">
      <alignment horizontal="center"/>
    </xf>
    <xf numFmtId="167" fontId="74" fillId="12" borderId="57" xfId="0" applyNumberFormat="1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75" fillId="0" borderId="0" xfId="0" applyFont="1"/>
    <xf numFmtId="165" fontId="76" fillId="12" borderId="88" xfId="0" applyNumberFormat="1" applyFont="1" applyFill="1" applyBorder="1" applyAlignment="1">
      <alignment horizontal="right"/>
    </xf>
    <xf numFmtId="0" fontId="3" fillId="12" borderId="90" xfId="0" applyFont="1" applyFill="1" applyBorder="1"/>
    <xf numFmtId="0" fontId="3" fillId="12" borderId="5" xfId="0" applyFont="1" applyFill="1" applyBorder="1"/>
    <xf numFmtId="0" fontId="3" fillId="12" borderId="92" xfId="0" applyFont="1" applyFill="1" applyBorder="1"/>
    <xf numFmtId="0" fontId="77" fillId="0" borderId="0" xfId="0" applyFont="1"/>
    <xf numFmtId="0" fontId="3" fillId="12" borderId="92" xfId="0" applyFont="1" applyFill="1" applyBorder="1" applyAlignment="1">
      <alignment horizontal="right"/>
    </xf>
    <xf numFmtId="0" fontId="27" fillId="12" borderId="93" xfId="0" applyFont="1" applyFill="1" applyBorder="1"/>
    <xf numFmtId="0" fontId="78" fillId="12" borderId="94" xfId="0" applyFont="1" applyFill="1" applyBorder="1"/>
    <xf numFmtId="187" fontId="27" fillId="12" borderId="94" xfId="0" applyNumberFormat="1" applyFont="1" applyFill="1" applyBorder="1" applyAlignment="1">
      <alignment horizontal="right"/>
    </xf>
    <xf numFmtId="187" fontId="27" fillId="12" borderId="95" xfId="0" applyNumberFormat="1" applyFont="1" applyFill="1" applyBorder="1" applyAlignment="1">
      <alignment horizontal="right"/>
    </xf>
    <xf numFmtId="187" fontId="76" fillId="12" borderId="96" xfId="0" applyNumberFormat="1" applyFont="1" applyFill="1" applyBorder="1" applyAlignment="1">
      <alignment horizontal="right"/>
    </xf>
    <xf numFmtId="0" fontId="79" fillId="12" borderId="0" xfId="0" applyFont="1" applyFill="1" applyAlignment="1">
      <alignment horizontal="center"/>
    </xf>
    <xf numFmtId="0" fontId="71" fillId="12" borderId="0" xfId="0" applyFont="1" applyFill="1" applyAlignment="1">
      <alignment horizontal="center"/>
    </xf>
    <xf numFmtId="0" fontId="3" fillId="12" borderId="0" xfId="0" applyFont="1" applyFill="1" applyAlignment="1">
      <alignment horizontal="right"/>
    </xf>
    <xf numFmtId="0" fontId="80" fillId="12" borderId="0" xfId="0" applyFont="1" applyFill="1" applyAlignment="1">
      <alignment horizontal="right"/>
    </xf>
    <xf numFmtId="0" fontId="79" fillId="12" borderId="0" xfId="0" applyFont="1" applyFill="1" applyAlignment="1">
      <alignment horizontal="right"/>
    </xf>
    <xf numFmtId="0" fontId="22" fillId="0" borderId="54" xfId="0" applyFont="1" applyBorder="1" applyAlignment="1">
      <alignment vertical="center"/>
    </xf>
    <xf numFmtId="0" fontId="22" fillId="0" borderId="55" xfId="0" applyFont="1" applyBorder="1" applyAlignment="1">
      <alignment vertical="center"/>
    </xf>
    <xf numFmtId="0" fontId="22" fillId="0" borderId="56" xfId="0" applyFont="1" applyBorder="1" applyAlignment="1">
      <alignment vertical="center"/>
    </xf>
    <xf numFmtId="172" fontId="82" fillId="0" borderId="35" xfId="0" applyNumberFormat="1" applyFont="1" applyBorder="1" applyAlignment="1">
      <alignment vertical="center"/>
    </xf>
    <xf numFmtId="172" fontId="83" fillId="0" borderId="36" xfId="0" applyNumberFormat="1" applyFont="1" applyBorder="1" applyAlignment="1">
      <alignment vertical="center"/>
    </xf>
    <xf numFmtId="172" fontId="16" fillId="0" borderId="36" xfId="0" applyNumberFormat="1" applyFont="1" applyBorder="1" applyAlignment="1">
      <alignment vertical="center"/>
    </xf>
    <xf numFmtId="172" fontId="85" fillId="0" borderId="35" xfId="0" applyNumberFormat="1" applyFont="1" applyBorder="1" applyAlignment="1">
      <alignment vertical="center"/>
    </xf>
    <xf numFmtId="172" fontId="86" fillId="0" borderId="36" xfId="0" applyNumberFormat="1" applyFont="1" applyBorder="1" applyAlignment="1">
      <alignment vertical="center"/>
    </xf>
    <xf numFmtId="9" fontId="86" fillId="0" borderId="36" xfId="0" applyNumberFormat="1" applyFont="1" applyBorder="1" applyAlignment="1">
      <alignment vertical="center"/>
    </xf>
    <xf numFmtId="172" fontId="87" fillId="0" borderId="0" xfId="0" applyNumberFormat="1" applyFont="1" applyAlignment="1">
      <alignment horizontal="left" vertical="center" wrapText="1"/>
    </xf>
    <xf numFmtId="175" fontId="16" fillId="14" borderId="36" xfId="0" applyNumberFormat="1" applyFont="1" applyFill="1" applyBorder="1"/>
    <xf numFmtId="14" fontId="16" fillId="14" borderId="36" xfId="0" applyNumberFormat="1" applyFont="1" applyFill="1" applyBorder="1" applyAlignment="1">
      <alignment horizontal="right"/>
    </xf>
    <xf numFmtId="184" fontId="19" fillId="2" borderId="57" xfId="0" applyNumberFormat="1" applyFont="1" applyFill="1" applyBorder="1" applyAlignment="1">
      <alignment horizontal="center"/>
    </xf>
    <xf numFmtId="175" fontId="16" fillId="2" borderId="61" xfId="0" applyNumberFormat="1" applyFont="1" applyFill="1" applyBorder="1"/>
    <xf numFmtId="175" fontId="16" fillId="2" borderId="61" xfId="0" applyNumberFormat="1" applyFont="1" applyFill="1" applyBorder="1" applyAlignment="1">
      <alignment horizontal="center"/>
    </xf>
    <xf numFmtId="175" fontId="26" fillId="2" borderId="59" xfId="0" applyNumberFormat="1" applyFont="1" applyFill="1" applyBorder="1" applyAlignment="1">
      <alignment horizontal="center"/>
    </xf>
    <xf numFmtId="175" fontId="16" fillId="2" borderId="60" xfId="0" applyNumberFormat="1" applyFont="1" applyFill="1" applyBorder="1" applyAlignment="1">
      <alignment horizontal="center"/>
    </xf>
    <xf numFmtId="184" fontId="19" fillId="12" borderId="57" xfId="0" applyNumberFormat="1" applyFont="1" applyFill="1" applyBorder="1" applyAlignment="1">
      <alignment horizontal="center"/>
    </xf>
    <xf numFmtId="175" fontId="88" fillId="0" borderId="0" xfId="0" applyNumberFormat="1" applyFont="1"/>
    <xf numFmtId="175" fontId="88" fillId="12" borderId="0" xfId="0" applyNumberFormat="1" applyFont="1" applyFill="1"/>
    <xf numFmtId="185" fontId="5" fillId="0" borderId="0" xfId="0" applyNumberFormat="1" applyFont="1"/>
    <xf numFmtId="0" fontId="50" fillId="7" borderId="1" xfId="0" applyFont="1" applyFill="1" applyBorder="1" applyAlignment="1">
      <alignment horizontal="center"/>
    </xf>
    <xf numFmtId="183" fontId="19" fillId="0" borderId="57" xfId="0" applyNumberFormat="1" applyFont="1" applyBorder="1" applyAlignment="1">
      <alignment horizontal="center"/>
    </xf>
    <xf numFmtId="175" fontId="16" fillId="15" borderId="98" xfId="0" applyNumberFormat="1" applyFont="1" applyFill="1" applyBorder="1"/>
    <xf numFmtId="175" fontId="16" fillId="15" borderId="99" xfId="0" applyNumberFormat="1" applyFont="1" applyFill="1" applyBorder="1" applyAlignment="1">
      <alignment horizontal="center"/>
    </xf>
    <xf numFmtId="175" fontId="16" fillId="15" borderId="100" xfId="0" applyNumberFormat="1" applyFont="1" applyFill="1" applyBorder="1" applyAlignment="1">
      <alignment horizontal="center"/>
    </xf>
    <xf numFmtId="175" fontId="19" fillId="15" borderId="100" xfId="0" applyNumberFormat="1" applyFont="1" applyFill="1" applyBorder="1" applyAlignment="1">
      <alignment horizontal="center"/>
    </xf>
    <xf numFmtId="175" fontId="16" fillId="15" borderId="0" xfId="0" applyNumberFormat="1" applyFont="1" applyFill="1" applyAlignment="1">
      <alignment horizontal="center"/>
    </xf>
    <xf numFmtId="175" fontId="16" fillId="15" borderId="0" xfId="0" applyNumberFormat="1" applyFont="1" applyFill="1"/>
    <xf numFmtId="175" fontId="19" fillId="15" borderId="0" xfId="0" applyNumberFormat="1" applyFont="1" applyFill="1" applyAlignment="1">
      <alignment horizontal="center"/>
    </xf>
    <xf numFmtId="175" fontId="19" fillId="15" borderId="5" xfId="0" applyNumberFormat="1" applyFont="1" applyFill="1" applyBorder="1" applyAlignment="1">
      <alignment horizontal="center"/>
    </xf>
    <xf numFmtId="175" fontId="16" fillId="15" borderId="62" xfId="0" applyNumberFormat="1" applyFont="1" applyFill="1" applyBorder="1" applyAlignment="1">
      <alignment horizontal="center"/>
    </xf>
    <xf numFmtId="175" fontId="19" fillId="15" borderId="62" xfId="0" applyNumberFormat="1" applyFont="1" applyFill="1" applyBorder="1" applyAlignment="1">
      <alignment horizontal="center"/>
    </xf>
    <xf numFmtId="175" fontId="19" fillId="15" borderId="106" xfId="0" applyNumberFormat="1" applyFont="1" applyFill="1" applyBorder="1" applyAlignment="1">
      <alignment horizontal="center"/>
    </xf>
    <xf numFmtId="175" fontId="16" fillId="15" borderId="95" xfId="0" applyNumberFormat="1" applyFont="1" applyFill="1" applyBorder="1"/>
    <xf numFmtId="175" fontId="16" fillId="15" borderId="95" xfId="0" applyNumberFormat="1" applyFont="1" applyFill="1" applyBorder="1" applyAlignment="1">
      <alignment horizontal="center"/>
    </xf>
    <xf numFmtId="175" fontId="16" fillId="15" borderId="94" xfId="0" applyNumberFormat="1" applyFont="1" applyFill="1" applyBorder="1" applyAlignment="1">
      <alignment horizontal="center"/>
    </xf>
    <xf numFmtId="175" fontId="16" fillId="15" borderId="108" xfId="0" applyNumberFormat="1" applyFont="1" applyFill="1" applyBorder="1"/>
    <xf numFmtId="175" fontId="19" fillId="15" borderId="94" xfId="0" applyNumberFormat="1" applyFont="1" applyFill="1" applyBorder="1" applyAlignment="1">
      <alignment horizontal="center"/>
    </xf>
    <xf numFmtId="175" fontId="19" fillId="15" borderId="109" xfId="0" applyNumberFormat="1" applyFont="1" applyFill="1" applyBorder="1" applyAlignment="1">
      <alignment horizontal="center"/>
    </xf>
    <xf numFmtId="175" fontId="16" fillId="17" borderId="99" xfId="0" applyNumberFormat="1" applyFont="1" applyFill="1" applyBorder="1"/>
    <xf numFmtId="10" fontId="16" fillId="17" borderId="99" xfId="0" applyNumberFormat="1" applyFont="1" applyFill="1" applyBorder="1" applyAlignment="1">
      <alignment horizontal="center"/>
    </xf>
    <xf numFmtId="175" fontId="26" fillId="17" borderId="99" xfId="0" applyNumberFormat="1" applyFont="1" applyFill="1" applyBorder="1" applyAlignment="1">
      <alignment horizontal="right"/>
    </xf>
    <xf numFmtId="175" fontId="29" fillId="17" borderId="100" xfId="0" applyNumberFormat="1" applyFont="1" applyFill="1" applyBorder="1" applyAlignment="1">
      <alignment horizontal="center"/>
    </xf>
    <xf numFmtId="175" fontId="19" fillId="17" borderId="62" xfId="0" applyNumberFormat="1" applyFont="1" applyFill="1" applyBorder="1" applyAlignment="1">
      <alignment horizontal="center"/>
    </xf>
    <xf numFmtId="175" fontId="16" fillId="17" borderId="95" xfId="0" applyNumberFormat="1" applyFont="1" applyFill="1" applyBorder="1"/>
    <xf numFmtId="10" fontId="16" fillId="17" borderId="95" xfId="0" applyNumberFormat="1" applyFont="1" applyFill="1" applyBorder="1" applyAlignment="1">
      <alignment horizontal="center"/>
    </xf>
    <xf numFmtId="175" fontId="19" fillId="17" borderId="94" xfId="0" applyNumberFormat="1" applyFont="1" applyFill="1" applyBorder="1" applyAlignment="1">
      <alignment horizontal="center"/>
    </xf>
    <xf numFmtId="175" fontId="16" fillId="17" borderId="99" xfId="0" applyNumberFormat="1" applyFont="1" applyFill="1" applyBorder="1" applyAlignment="1">
      <alignment horizontal="center"/>
    </xf>
    <xf numFmtId="175" fontId="26" fillId="17" borderId="100" xfId="0" applyNumberFormat="1" applyFont="1" applyFill="1" applyBorder="1" applyAlignment="1">
      <alignment horizontal="center"/>
    </xf>
    <xf numFmtId="175" fontId="29" fillId="17" borderId="87" xfId="0" applyNumberFormat="1" applyFont="1" applyFill="1" applyBorder="1" applyAlignment="1">
      <alignment horizontal="center"/>
    </xf>
    <xf numFmtId="175" fontId="19" fillId="17" borderId="0" xfId="0" applyNumberFormat="1" applyFont="1" applyFill="1" applyAlignment="1">
      <alignment horizontal="center"/>
    </xf>
    <xf numFmtId="175" fontId="16" fillId="17" borderId="95" xfId="0" applyNumberFormat="1" applyFont="1" applyFill="1" applyBorder="1" applyAlignment="1">
      <alignment horizontal="center"/>
    </xf>
    <xf numFmtId="0" fontId="5" fillId="9" borderId="43" xfId="0" applyFont="1" applyFill="1" applyBorder="1"/>
    <xf numFmtId="175" fontId="5" fillId="9" borderId="44" xfId="0" applyNumberFormat="1" applyFont="1" applyFill="1" applyBorder="1" applyAlignment="1">
      <alignment horizontal="center"/>
    </xf>
    <xf numFmtId="0" fontId="5" fillId="9" borderId="2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65" fillId="35" borderId="0" xfId="0" applyFont="1" applyFill="1"/>
    <xf numFmtId="175" fontId="90" fillId="35" borderId="0" xfId="0" applyNumberFormat="1" applyFont="1" applyFill="1" applyAlignment="1">
      <alignment horizontal="left" vertical="center"/>
    </xf>
    <xf numFmtId="0" fontId="90" fillId="35" borderId="0" xfId="0" applyFont="1" applyFill="1" applyAlignment="1">
      <alignment horizontal="left" vertical="center"/>
    </xf>
    <xf numFmtId="0" fontId="6" fillId="6" borderId="1" xfId="0" applyFont="1" applyFill="1" applyBorder="1" applyAlignment="1">
      <alignment horizontal="center"/>
    </xf>
    <xf numFmtId="0" fontId="40" fillId="0" borderId="1" xfId="0" applyFont="1" applyBorder="1"/>
    <xf numFmtId="0" fontId="40" fillId="0" borderId="2" xfId="0" applyFont="1" applyBorder="1" applyAlignment="1">
      <alignment horizontal="center" wrapText="1"/>
    </xf>
    <xf numFmtId="0" fontId="40" fillId="0" borderId="3" xfId="0" applyFont="1" applyBorder="1"/>
    <xf numFmtId="0" fontId="40" fillId="0" borderId="4" xfId="0" applyFont="1" applyBorder="1" applyAlignment="1">
      <alignment horizontal="right"/>
    </xf>
    <xf numFmtId="184" fontId="19" fillId="25" borderId="57" xfId="0" applyNumberFormat="1" applyFont="1" applyFill="1" applyBorder="1" applyAlignment="1">
      <alignment horizontal="center"/>
    </xf>
    <xf numFmtId="172" fontId="16" fillId="0" borderId="15" xfId="0" applyNumberFormat="1" applyFont="1" applyBorder="1" applyAlignment="1">
      <alignment horizontal="center" vertical="center"/>
    </xf>
    <xf numFmtId="172" fontId="19" fillId="0" borderId="8" xfId="0" applyNumberFormat="1" applyFont="1" applyBorder="1" applyAlignment="1">
      <alignment horizontal="center" vertical="center"/>
    </xf>
    <xf numFmtId="0" fontId="16" fillId="0" borderId="111" xfId="0" applyFont="1" applyBorder="1" applyAlignment="1">
      <alignment vertical="center"/>
    </xf>
    <xf numFmtId="3" fontId="16" fillId="0" borderId="112" xfId="0" applyNumberFormat="1" applyFont="1" applyBorder="1" applyAlignment="1">
      <alignment horizontal="center" vertical="center"/>
    </xf>
    <xf numFmtId="9" fontId="16" fillId="0" borderId="112" xfId="0" applyNumberFormat="1" applyFont="1" applyBorder="1" applyAlignment="1">
      <alignment horizontal="center" vertical="center"/>
    </xf>
    <xf numFmtId="172" fontId="26" fillId="0" borderId="112" xfId="0" applyNumberFormat="1" applyFont="1" applyBorder="1" applyAlignment="1">
      <alignment vertical="center"/>
    </xf>
    <xf numFmtId="172" fontId="16" fillId="0" borderId="113" xfId="0" applyNumberFormat="1" applyFont="1" applyBorder="1" applyAlignment="1">
      <alignment horizontal="center" vertical="center"/>
    </xf>
    <xf numFmtId="0" fontId="16" fillId="10" borderId="33" xfId="0" applyFont="1" applyFill="1" applyBorder="1" applyAlignment="1">
      <alignment vertical="center" wrapText="1"/>
    </xf>
    <xf numFmtId="0" fontId="24" fillId="0" borderId="45" xfId="0" applyFont="1" applyBorder="1"/>
    <xf numFmtId="0" fontId="25" fillId="0" borderId="37" xfId="0" applyFont="1" applyBorder="1" applyAlignment="1">
      <alignment horizontal="center" vertical="center"/>
    </xf>
    <xf numFmtId="0" fontId="16" fillId="10" borderId="38" xfId="0" applyFont="1" applyFill="1" applyBorder="1" applyAlignment="1">
      <alignment vertical="center" wrapText="1"/>
    </xf>
    <xf numFmtId="172" fontId="16" fillId="10" borderId="114" xfId="0" applyNumberFormat="1" applyFont="1" applyFill="1" applyBorder="1" applyAlignment="1">
      <alignment vertical="center"/>
    </xf>
    <xf numFmtId="3" fontId="16" fillId="0" borderId="115" xfId="0" applyNumberFormat="1" applyFont="1" applyBorder="1" applyAlignment="1">
      <alignment horizontal="center" vertical="center"/>
    </xf>
    <xf numFmtId="172" fontId="16" fillId="0" borderId="115" xfId="0" applyNumberFormat="1" applyFont="1" applyBorder="1" applyAlignment="1">
      <alignment horizontal="center" vertical="center"/>
    </xf>
    <xf numFmtId="172" fontId="16" fillId="0" borderId="115" xfId="0" applyNumberFormat="1" applyFont="1" applyBorder="1" applyAlignment="1">
      <alignment vertical="center"/>
    </xf>
    <xf numFmtId="172" fontId="16" fillId="0" borderId="41" xfId="0" applyNumberFormat="1" applyFont="1" applyBorder="1" applyAlignment="1">
      <alignment horizontal="center" vertical="center"/>
    </xf>
    <xf numFmtId="177" fontId="16" fillId="10" borderId="116" xfId="0" applyNumberFormat="1" applyFont="1" applyFill="1" applyBorder="1" applyAlignment="1">
      <alignment horizontal="center" vertical="center"/>
    </xf>
    <xf numFmtId="172" fontId="16" fillId="10" borderId="116" xfId="0" applyNumberFormat="1" applyFont="1" applyFill="1" applyBorder="1" applyAlignment="1">
      <alignment vertical="center"/>
    </xf>
    <xf numFmtId="0" fontId="17" fillId="9" borderId="120" xfId="0" applyFont="1" applyFill="1" applyBorder="1" applyAlignment="1">
      <alignment horizontal="left" vertical="center"/>
    </xf>
    <xf numFmtId="188" fontId="17" fillId="9" borderId="121" xfId="0" applyNumberFormat="1" applyFont="1" applyFill="1" applyBorder="1" applyAlignment="1">
      <alignment horizontal="center" vertical="center"/>
    </xf>
    <xf numFmtId="0" fontId="33" fillId="0" borderId="13" xfId="0" applyFont="1" applyBorder="1" applyAlignment="1">
      <alignment horizontal="left" vertical="center"/>
    </xf>
    <xf numFmtId="3" fontId="16" fillId="0" borderId="122" xfId="0" applyNumberFormat="1" applyFont="1" applyBorder="1" applyAlignment="1">
      <alignment horizontal="center" vertical="center"/>
    </xf>
    <xf numFmtId="0" fontId="16" fillId="0" borderId="122" xfId="0" applyFont="1" applyBorder="1" applyAlignment="1">
      <alignment horizontal="center" vertical="center"/>
    </xf>
    <xf numFmtId="173" fontId="16" fillId="0" borderId="122" xfId="0" applyNumberFormat="1" applyFont="1" applyBorder="1" applyAlignment="1">
      <alignment vertical="center"/>
    </xf>
    <xf numFmtId="10" fontId="25" fillId="0" borderId="14" xfId="0" applyNumberFormat="1" applyFont="1" applyBorder="1" applyAlignment="1">
      <alignment horizontal="center" vertical="center"/>
    </xf>
    <xf numFmtId="0" fontId="33" fillId="0" borderId="20" xfId="0" applyFont="1" applyBorder="1" applyAlignment="1">
      <alignment horizontal="left" vertical="center"/>
    </xf>
    <xf numFmtId="3" fontId="16" fillId="0" borderId="3" xfId="0" applyNumberFormat="1" applyFont="1" applyBorder="1" applyAlignment="1">
      <alignment horizontal="center" vertical="center"/>
    </xf>
    <xf numFmtId="9" fontId="16" fillId="0" borderId="3" xfId="0" applyNumberFormat="1" applyFont="1" applyBorder="1" applyAlignment="1">
      <alignment vertical="center"/>
    </xf>
    <xf numFmtId="2" fontId="25" fillId="0" borderId="21" xfId="0" applyNumberFormat="1" applyFont="1" applyBorder="1" applyAlignment="1">
      <alignment horizontal="center" vertical="center"/>
    </xf>
    <xf numFmtId="0" fontId="16" fillId="10" borderId="111" xfId="0" applyFont="1" applyFill="1" applyBorder="1" applyAlignment="1">
      <alignment vertical="center" wrapText="1"/>
    </xf>
    <xf numFmtId="1" fontId="16" fillId="10" borderId="112" xfId="0" applyNumberFormat="1" applyFont="1" applyFill="1" applyBorder="1" applyAlignment="1">
      <alignment horizontal="center" vertical="center"/>
    </xf>
    <xf numFmtId="10" fontId="16" fillId="10" borderId="112" xfId="0" applyNumberFormat="1" applyFont="1" applyFill="1" applyBorder="1" applyAlignment="1">
      <alignment vertical="center"/>
    </xf>
    <xf numFmtId="172" fontId="16" fillId="10" borderId="113" xfId="0" applyNumberFormat="1" applyFont="1" applyFill="1" applyBorder="1" applyAlignment="1">
      <alignment vertical="center"/>
    </xf>
    <xf numFmtId="0" fontId="25" fillId="0" borderId="13" xfId="0" applyFont="1" applyBorder="1" applyAlignment="1">
      <alignment vertical="center"/>
    </xf>
    <xf numFmtId="0" fontId="33" fillId="0" borderId="18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173" fontId="16" fillId="0" borderId="1" xfId="0" applyNumberFormat="1" applyFont="1" applyBorder="1" applyAlignment="1">
      <alignment vertical="center"/>
    </xf>
    <xf numFmtId="172" fontId="92" fillId="0" borderId="0" xfId="0" applyNumberFormat="1" applyFont="1" applyAlignment="1">
      <alignment horizontal="center" vertical="center"/>
    </xf>
    <xf numFmtId="9" fontId="16" fillId="0" borderId="36" xfId="0" applyNumberFormat="1" applyFont="1" applyBorder="1" applyAlignment="1">
      <alignment vertical="center"/>
    </xf>
    <xf numFmtId="188" fontId="19" fillId="0" borderId="41" xfId="0" applyNumberFormat="1" applyFont="1" applyBorder="1" applyAlignment="1">
      <alignment horizontal="center" vertical="center"/>
    </xf>
    <xf numFmtId="0" fontId="93" fillId="0" borderId="33" xfId="0" applyFont="1" applyBorder="1" applyAlignment="1">
      <alignment vertical="center"/>
    </xf>
    <xf numFmtId="3" fontId="23" fillId="0" borderId="16" xfId="0" applyNumberFormat="1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173" fontId="23" fillId="0" borderId="16" xfId="0" applyNumberFormat="1" applyFont="1" applyBorder="1" applyAlignment="1">
      <alignment horizontal="center" vertical="center"/>
    </xf>
    <xf numFmtId="172" fontId="16" fillId="0" borderId="17" xfId="0" applyNumberFormat="1" applyFont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6" fillId="0" borderId="16" xfId="0" applyFont="1" applyBorder="1" applyAlignment="1">
      <alignment horizontal="center" vertical="center"/>
    </xf>
    <xf numFmtId="9" fontId="16" fillId="0" borderId="16" xfId="0" applyNumberFormat="1" applyFont="1" applyBorder="1" applyAlignment="1">
      <alignment horizontal="center" vertical="center"/>
    </xf>
    <xf numFmtId="172" fontId="81" fillId="33" borderId="120" xfId="0" applyNumberFormat="1" applyFont="1" applyFill="1" applyBorder="1" applyAlignment="1">
      <alignment horizontal="left" vertical="center"/>
    </xf>
    <xf numFmtId="3" fontId="16" fillId="0" borderId="16" xfId="0" applyNumberFormat="1" applyFont="1" applyBorder="1" applyAlignment="1">
      <alignment horizontal="center" vertical="center"/>
    </xf>
    <xf numFmtId="0" fontId="22" fillId="0" borderId="0" xfId="0" applyFont="1" applyAlignment="1">
      <alignment vertical="center" wrapText="1"/>
    </xf>
    <xf numFmtId="3" fontId="87" fillId="0" borderId="0" xfId="0" applyNumberFormat="1" applyFont="1" applyAlignment="1">
      <alignment horizontal="left" vertical="center"/>
    </xf>
    <xf numFmtId="176" fontId="16" fillId="0" borderId="16" xfId="0" applyNumberFormat="1" applyFont="1" applyBorder="1" applyAlignment="1">
      <alignment horizontal="center" vertical="center"/>
    </xf>
    <xf numFmtId="9" fontId="26" fillId="0" borderId="16" xfId="0" applyNumberFormat="1" applyFont="1" applyBorder="1" applyAlignment="1">
      <alignment vertical="center"/>
    </xf>
    <xf numFmtId="176" fontId="22" fillId="0" borderId="0" xfId="0" applyNumberFormat="1" applyFont="1" applyAlignment="1">
      <alignment vertical="center" wrapText="1"/>
    </xf>
    <xf numFmtId="3" fontId="87" fillId="0" borderId="0" xfId="0" applyNumberFormat="1" applyFont="1" applyAlignment="1">
      <alignment vertical="center"/>
    </xf>
    <xf numFmtId="0" fontId="92" fillId="0" borderId="0" xfId="0" applyFont="1" applyAlignment="1">
      <alignment vertical="center"/>
    </xf>
    <xf numFmtId="1" fontId="25" fillId="0" borderId="52" xfId="0" applyNumberFormat="1" applyFont="1" applyBorder="1" applyAlignment="1">
      <alignment horizontal="center" vertical="center"/>
    </xf>
    <xf numFmtId="9" fontId="3" fillId="0" borderId="0" xfId="0" applyNumberFormat="1" applyFont="1"/>
    <xf numFmtId="0" fontId="10" fillId="7" borderId="1" xfId="0" applyFont="1" applyFill="1" applyBorder="1" applyAlignment="1">
      <alignment horizontal="center" vertical="center" wrapText="1"/>
    </xf>
    <xf numFmtId="175" fontId="16" fillId="0" borderId="31" xfId="0" applyNumberFormat="1" applyFont="1" applyBorder="1" applyAlignment="1">
      <alignment vertical="center"/>
    </xf>
    <xf numFmtId="0" fontId="30" fillId="10" borderId="38" xfId="0" applyFont="1" applyFill="1" applyBorder="1" applyAlignment="1">
      <alignment horizontal="right" vertical="center" wrapText="1"/>
    </xf>
    <xf numFmtId="10" fontId="31" fillId="0" borderId="116" xfId="0" applyNumberFormat="1" applyFont="1" applyBorder="1" applyAlignment="1">
      <alignment vertical="center"/>
    </xf>
    <xf numFmtId="172" fontId="32" fillId="2" borderId="114" xfId="0" applyNumberFormat="1" applyFont="1" applyFill="1" applyBorder="1" applyAlignment="1">
      <alignment vertical="center"/>
    </xf>
    <xf numFmtId="10" fontId="34" fillId="0" borderId="116" xfId="0" applyNumberFormat="1" applyFont="1" applyBorder="1" applyAlignment="1">
      <alignment vertical="center"/>
    </xf>
    <xf numFmtId="172" fontId="19" fillId="0" borderId="121" xfId="0" applyNumberFormat="1" applyFont="1" applyBorder="1" applyAlignment="1">
      <alignment horizontal="right" vertical="center"/>
    </xf>
    <xf numFmtId="172" fontId="16" fillId="10" borderId="116" xfId="0" applyNumberFormat="1" applyFont="1" applyFill="1" applyBorder="1" applyAlignment="1">
      <alignment horizontal="center" vertical="center"/>
    </xf>
    <xf numFmtId="172" fontId="16" fillId="2" borderId="114" xfId="0" applyNumberFormat="1" applyFont="1" applyFill="1" applyBorder="1" applyAlignment="1">
      <alignment vertical="center"/>
    </xf>
    <xf numFmtId="0" fontId="17" fillId="9" borderId="42" xfId="0" applyFont="1" applyFill="1" applyBorder="1"/>
    <xf numFmtId="0" fontId="16" fillId="10" borderId="116" xfId="0" applyFont="1" applyFill="1" applyBorder="1" applyAlignment="1">
      <alignment horizontal="center" vertical="center"/>
    </xf>
    <xf numFmtId="10" fontId="26" fillId="0" borderId="116" xfId="0" applyNumberFormat="1" applyFont="1" applyBorder="1" applyAlignment="1">
      <alignment vertical="center"/>
    </xf>
    <xf numFmtId="0" fontId="25" fillId="8" borderId="42" xfId="0" applyFont="1" applyFill="1" applyBorder="1" applyAlignment="1">
      <alignment vertical="center"/>
    </xf>
    <xf numFmtId="9" fontId="16" fillId="10" borderId="116" xfId="0" applyNumberFormat="1" applyFont="1" applyFill="1" applyBorder="1" applyAlignment="1">
      <alignment vertical="center"/>
    </xf>
    <xf numFmtId="10" fontId="25" fillId="0" borderId="119" xfId="0" applyNumberFormat="1" applyFont="1" applyBorder="1" applyAlignment="1">
      <alignment horizontal="center" vertical="center"/>
    </xf>
    <xf numFmtId="172" fontId="32" fillId="10" borderId="114" xfId="0" applyNumberFormat="1" applyFont="1" applyFill="1" applyBorder="1" applyAlignment="1">
      <alignment vertical="center"/>
    </xf>
    <xf numFmtId="3" fontId="26" fillId="0" borderId="116" xfId="0" applyNumberFormat="1" applyFont="1" applyBorder="1" applyAlignment="1">
      <alignment vertical="center"/>
    </xf>
    <xf numFmtId="172" fontId="16" fillId="10" borderId="114" xfId="0" applyNumberFormat="1" applyFont="1" applyFill="1" applyBorder="1" applyAlignment="1">
      <alignment horizontal="center" vertical="center"/>
    </xf>
    <xf numFmtId="3" fontId="25" fillId="0" borderId="119" xfId="0" applyNumberFormat="1" applyFont="1" applyBorder="1" applyAlignment="1">
      <alignment horizontal="center" vertical="center"/>
    </xf>
    <xf numFmtId="175" fontId="3" fillId="0" borderId="9" xfId="0" applyNumberFormat="1" applyFont="1" applyBorder="1"/>
    <xf numFmtId="174" fontId="3" fillId="0" borderId="11" xfId="0" applyNumberFormat="1" applyFont="1" applyBorder="1"/>
    <xf numFmtId="10" fontId="3" fillId="0" borderId="16" xfId="0" applyNumberFormat="1" applyFont="1" applyBorder="1"/>
    <xf numFmtId="172" fontId="30" fillId="12" borderId="17" xfId="0" applyNumberFormat="1" applyFont="1" applyFill="1" applyBorder="1" applyAlignment="1">
      <alignment horizontal="right"/>
    </xf>
    <xf numFmtId="177" fontId="16" fillId="12" borderId="116" xfId="0" applyNumberFormat="1" applyFont="1" applyFill="1" applyBorder="1" applyAlignment="1">
      <alignment horizontal="center"/>
    </xf>
    <xf numFmtId="0" fontId="16" fillId="12" borderId="116" xfId="0" applyFont="1" applyFill="1" applyBorder="1" applyAlignment="1">
      <alignment horizontal="center"/>
    </xf>
    <xf numFmtId="3" fontId="26" fillId="0" borderId="116" xfId="0" applyNumberFormat="1" applyFont="1" applyBorder="1" applyAlignment="1">
      <alignment horizontal="right"/>
    </xf>
    <xf numFmtId="172" fontId="16" fillId="12" borderId="114" xfId="0" applyNumberFormat="1" applyFont="1" applyFill="1" applyBorder="1" applyAlignment="1">
      <alignment horizontal="center"/>
    </xf>
    <xf numFmtId="0" fontId="41" fillId="0" borderId="120" xfId="0" applyFont="1" applyBorder="1"/>
    <xf numFmtId="179" fontId="41" fillId="0" borderId="119" xfId="0" applyNumberFormat="1" applyFont="1" applyBorder="1" applyAlignment="1">
      <alignment horizontal="right"/>
    </xf>
    <xf numFmtId="0" fontId="40" fillId="0" borderId="120" xfId="0" applyFont="1" applyBorder="1"/>
    <xf numFmtId="179" fontId="40" fillId="0" borderId="119" xfId="0" applyNumberFormat="1" applyFont="1" applyBorder="1" applyAlignment="1">
      <alignment horizontal="right"/>
    </xf>
    <xf numFmtId="172" fontId="40" fillId="0" borderId="119" xfId="0" applyNumberFormat="1" applyFont="1" applyBorder="1" applyAlignment="1">
      <alignment horizontal="right"/>
    </xf>
    <xf numFmtId="172" fontId="39" fillId="0" borderId="121" xfId="0" applyNumberFormat="1" applyFont="1" applyBorder="1" applyAlignment="1">
      <alignment horizontal="right"/>
    </xf>
    <xf numFmtId="175" fontId="16" fillId="0" borderId="119" xfId="0" applyNumberFormat="1" applyFont="1" applyBorder="1"/>
    <xf numFmtId="175" fontId="16" fillId="0" borderId="121" xfId="0" applyNumberFormat="1" applyFont="1" applyBorder="1"/>
    <xf numFmtId="175" fontId="25" fillId="21" borderId="121" xfId="0" applyNumberFormat="1" applyFont="1" applyFill="1" applyBorder="1" applyAlignment="1">
      <alignment horizontal="center"/>
    </xf>
    <xf numFmtId="0" fontId="55" fillId="12" borderId="79" xfId="0" applyFont="1" applyFill="1" applyBorder="1"/>
    <xf numFmtId="0" fontId="58" fillId="12" borderId="79" xfId="0" applyFont="1" applyFill="1" applyBorder="1"/>
    <xf numFmtId="0" fontId="58" fillId="12" borderId="80" xfId="0" applyFont="1" applyFill="1" applyBorder="1"/>
    <xf numFmtId="0" fontId="58" fillId="12" borderId="0" xfId="0" applyFont="1" applyFill="1"/>
    <xf numFmtId="0" fontId="58" fillId="0" borderId="0" xfId="0" applyFont="1" applyAlignment="1">
      <alignment horizontal="left"/>
    </xf>
    <xf numFmtId="0" fontId="58" fillId="12" borderId="1" xfId="0" applyFont="1" applyFill="1" applyBorder="1" applyAlignment="1">
      <alignment horizontal="center"/>
    </xf>
    <xf numFmtId="0" fontId="58" fillId="12" borderId="2" xfId="0" applyFont="1" applyFill="1" applyBorder="1" applyAlignment="1">
      <alignment horizontal="center"/>
    </xf>
    <xf numFmtId="0" fontId="58" fillId="12" borderId="2" xfId="0" applyFont="1" applyFill="1" applyBorder="1"/>
    <xf numFmtId="165" fontId="58" fillId="12" borderId="2" xfId="0" applyNumberFormat="1" applyFont="1" applyFill="1" applyBorder="1" applyAlignment="1">
      <alignment horizontal="center"/>
    </xf>
    <xf numFmtId="0" fontId="58" fillId="12" borderId="81" xfId="0" applyFont="1" applyFill="1" applyBorder="1"/>
    <xf numFmtId="0" fontId="58" fillId="12" borderId="82" xfId="0" applyFont="1" applyFill="1" applyBorder="1"/>
    <xf numFmtId="0" fontId="58" fillId="34" borderId="4" xfId="0" applyFont="1" applyFill="1" applyBorder="1" applyAlignment="1">
      <alignment horizontal="center"/>
    </xf>
    <xf numFmtId="0" fontId="58" fillId="34" borderId="4" xfId="0" applyFont="1" applyFill="1" applyBorder="1"/>
    <xf numFmtId="49" fontId="55" fillId="0" borderId="3" xfId="0" quotePrefix="1" applyNumberFormat="1" applyFont="1" applyBorder="1" applyAlignment="1">
      <alignment horizontal="center"/>
    </xf>
    <xf numFmtId="0" fontId="58" fillId="0" borderId="4" xfId="0" applyFont="1" applyBorder="1" applyAlignment="1">
      <alignment horizontal="center"/>
    </xf>
    <xf numFmtId="0" fontId="58" fillId="0" borderId="4" xfId="0" applyFont="1" applyBorder="1"/>
    <xf numFmtId="0" fontId="58" fillId="12" borderId="4" xfId="0" applyFont="1" applyFill="1" applyBorder="1" applyAlignment="1">
      <alignment horizontal="center"/>
    </xf>
    <xf numFmtId="167" fontId="28" fillId="12" borderId="4" xfId="0" applyNumberFormat="1" applyFont="1" applyFill="1" applyBorder="1" applyAlignment="1">
      <alignment horizontal="right"/>
    </xf>
    <xf numFmtId="49" fontId="55" fillId="0" borderId="85" xfId="0" quotePrefix="1" applyNumberFormat="1" applyFont="1" applyBorder="1" applyAlignment="1">
      <alignment horizontal="center"/>
    </xf>
    <xf numFmtId="0" fontId="58" fillId="0" borderId="57" xfId="0" applyFont="1" applyBorder="1" applyAlignment="1">
      <alignment horizontal="center"/>
    </xf>
    <xf numFmtId="0" fontId="58" fillId="0" borderId="57" xfId="0" applyFont="1" applyBorder="1"/>
    <xf numFmtId="0" fontId="58" fillId="12" borderId="57" xfId="0" applyFont="1" applyFill="1" applyBorder="1" applyAlignment="1">
      <alignment horizontal="center"/>
    </xf>
    <xf numFmtId="167" fontId="28" fillId="12" borderId="57" xfId="0" applyNumberFormat="1" applyFont="1" applyFill="1" applyBorder="1" applyAlignment="1">
      <alignment horizontal="right"/>
    </xf>
    <xf numFmtId="49" fontId="55" fillId="0" borderId="3" xfId="0" applyNumberFormat="1" applyFont="1" applyBorder="1" applyAlignment="1">
      <alignment horizontal="center"/>
    </xf>
    <xf numFmtId="0" fontId="58" fillId="33" borderId="6" xfId="0" applyFont="1" applyFill="1" applyBorder="1" applyAlignment="1">
      <alignment horizontal="center"/>
    </xf>
    <xf numFmtId="0" fontId="58" fillId="0" borderId="67" xfId="0" applyFont="1" applyBorder="1" applyAlignment="1">
      <alignment horizontal="center"/>
    </xf>
    <xf numFmtId="0" fontId="58" fillId="33" borderId="6" xfId="0" applyFont="1" applyFill="1" applyBorder="1" applyAlignment="1">
      <alignment horizontal="center" vertical="top"/>
    </xf>
    <xf numFmtId="0" fontId="58" fillId="0" borderId="6" xfId="0" applyFont="1" applyBorder="1" applyAlignment="1">
      <alignment horizontal="center"/>
    </xf>
    <xf numFmtId="0" fontId="58" fillId="12" borderId="67" xfId="0" applyFont="1" applyFill="1" applyBorder="1" applyAlignment="1">
      <alignment horizontal="center"/>
    </xf>
    <xf numFmtId="0" fontId="55" fillId="0" borderId="1" xfId="0" applyFont="1" applyBorder="1" applyAlignment="1">
      <alignment horizontal="left"/>
    </xf>
    <xf numFmtId="0" fontId="55" fillId="0" borderId="2" xfId="0" applyFont="1" applyBorder="1" applyAlignment="1">
      <alignment horizontal="center"/>
    </xf>
    <xf numFmtId="4" fontId="55" fillId="33" borderId="2" xfId="0" applyNumberFormat="1" applyFont="1" applyFill="1" applyBorder="1" applyAlignment="1">
      <alignment horizontal="right"/>
    </xf>
    <xf numFmtId="49" fontId="55" fillId="12" borderId="3" xfId="0" applyNumberFormat="1" applyFont="1" applyFill="1" applyBorder="1" applyAlignment="1">
      <alignment horizontal="center"/>
    </xf>
    <xf numFmtId="0" fontId="58" fillId="0" borderId="2" xfId="0" applyFont="1" applyBorder="1"/>
    <xf numFmtId="0" fontId="55" fillId="0" borderId="3" xfId="0" applyFont="1" applyBorder="1" applyAlignment="1">
      <alignment horizontal="left"/>
    </xf>
    <xf numFmtId="0" fontId="55" fillId="0" borderId="4" xfId="0" applyFont="1" applyBorder="1" applyAlignment="1">
      <alignment horizontal="center"/>
    </xf>
    <xf numFmtId="4" fontId="55" fillId="33" borderId="4" xfId="0" applyNumberFormat="1" applyFont="1" applyFill="1" applyBorder="1" applyAlignment="1">
      <alignment horizontal="right"/>
    </xf>
    <xf numFmtId="4" fontId="58" fillId="33" borderId="4" xfId="0" applyNumberFormat="1" applyFont="1" applyFill="1" applyBorder="1" applyAlignment="1">
      <alignment horizontal="right"/>
    </xf>
    <xf numFmtId="0" fontId="55" fillId="0" borderId="3" xfId="0" applyFont="1" applyBorder="1" applyAlignment="1">
      <alignment horizontal="center"/>
    </xf>
    <xf numFmtId="0" fontId="55" fillId="0" borderId="4" xfId="0" applyFont="1" applyBorder="1"/>
    <xf numFmtId="186" fontId="55" fillId="0" borderId="4" xfId="0" applyNumberFormat="1" applyFont="1" applyBorder="1" applyAlignment="1">
      <alignment horizontal="center"/>
    </xf>
    <xf numFmtId="0" fontId="55" fillId="12" borderId="1" xfId="0" applyFont="1" applyFill="1" applyBorder="1" applyAlignment="1">
      <alignment horizontal="center"/>
    </xf>
    <xf numFmtId="0" fontId="55" fillId="12" borderId="2" xfId="0" applyFont="1" applyFill="1" applyBorder="1" applyAlignment="1">
      <alignment horizontal="center"/>
    </xf>
    <xf numFmtId="0" fontId="55" fillId="12" borderId="2" xfId="0" applyFont="1" applyFill="1" applyBorder="1"/>
    <xf numFmtId="165" fontId="55" fillId="12" borderId="2" xfId="0" applyNumberFormat="1" applyFont="1" applyFill="1" applyBorder="1" applyAlignment="1">
      <alignment horizontal="center"/>
    </xf>
    <xf numFmtId="0" fontId="58" fillId="0" borderId="86" xfId="0" applyFont="1" applyBorder="1"/>
    <xf numFmtId="0" fontId="58" fillId="0" borderId="87" xfId="0" applyFont="1" applyBorder="1"/>
    <xf numFmtId="165" fontId="58" fillId="0" borderId="87" xfId="0" applyNumberFormat="1" applyFont="1" applyBorder="1" applyAlignment="1">
      <alignment horizontal="right"/>
    </xf>
    <xf numFmtId="0" fontId="58" fillId="12" borderId="0" xfId="0" applyFont="1" applyFill="1" applyAlignment="1">
      <alignment horizontal="right"/>
    </xf>
    <xf numFmtId="0" fontId="58" fillId="12" borderId="91" xfId="0" applyFont="1" applyFill="1" applyBorder="1"/>
    <xf numFmtId="0" fontId="58" fillId="12" borderId="5" xfId="0" applyFont="1" applyFill="1" applyBorder="1"/>
    <xf numFmtId="0" fontId="58" fillId="12" borderId="5" xfId="0" applyFont="1" applyFill="1" applyBorder="1" applyAlignment="1">
      <alignment horizontal="right"/>
    </xf>
    <xf numFmtId="0" fontId="55" fillId="0" borderId="0" xfId="0" applyFont="1"/>
    <xf numFmtId="0" fontId="58" fillId="0" borderId="3" xfId="0" applyFont="1" applyBorder="1" applyAlignment="1">
      <alignment horizontal="center"/>
    </xf>
    <xf numFmtId="0" fontId="58" fillId="0" borderId="4" xfId="0" applyFont="1" applyBorder="1" applyAlignment="1">
      <alignment horizontal="center" vertical="top"/>
    </xf>
    <xf numFmtId="172" fontId="81" fillId="33" borderId="118" xfId="0" applyNumberFormat="1" applyFont="1" applyFill="1" applyBorder="1" applyAlignment="1">
      <alignment horizontal="left" vertical="center"/>
    </xf>
    <xf numFmtId="176" fontId="84" fillId="0" borderId="121" xfId="0" applyNumberFormat="1" applyFont="1" applyBorder="1" applyAlignment="1">
      <alignment vertical="center"/>
    </xf>
    <xf numFmtId="179" fontId="17" fillId="0" borderId="121" xfId="0" applyNumberFormat="1" applyFont="1" applyBorder="1" applyAlignment="1">
      <alignment vertical="center"/>
    </xf>
    <xf numFmtId="176" fontId="17" fillId="0" borderId="121" xfId="0" applyNumberFormat="1" applyFont="1" applyBorder="1" applyAlignment="1">
      <alignment vertical="center"/>
    </xf>
    <xf numFmtId="175" fontId="3" fillId="17" borderId="97" xfId="0" applyNumberFormat="1" applyFont="1" applyFill="1" applyBorder="1"/>
    <xf numFmtId="10" fontId="3" fillId="17" borderId="100" xfId="0" applyNumberFormat="1" applyFont="1" applyFill="1" applyBorder="1"/>
    <xf numFmtId="4" fontId="3" fillId="17" borderId="100" xfId="0" applyNumberFormat="1" applyFont="1" applyFill="1" applyBorder="1"/>
    <xf numFmtId="175" fontId="3" fillId="17" borderId="110" xfId="0" applyNumberFormat="1" applyFont="1" applyFill="1" applyBorder="1"/>
    <xf numFmtId="175" fontId="3" fillId="17" borderId="102" xfId="0" applyNumberFormat="1" applyFont="1" applyFill="1" applyBorder="1"/>
    <xf numFmtId="10" fontId="3" fillId="17" borderId="62" xfId="0" applyNumberFormat="1" applyFont="1" applyFill="1" applyBorder="1"/>
    <xf numFmtId="175" fontId="3" fillId="17" borderId="62" xfId="0" applyNumberFormat="1" applyFont="1" applyFill="1" applyBorder="1"/>
    <xf numFmtId="175" fontId="3" fillId="17" borderId="59" xfId="0" applyNumberFormat="1" applyFont="1" applyFill="1" applyBorder="1"/>
    <xf numFmtId="10" fontId="3" fillId="17" borderId="94" xfId="0" applyNumberFormat="1" applyFont="1" applyFill="1" applyBorder="1"/>
    <xf numFmtId="175" fontId="3" fillId="17" borderId="108" xfId="0" applyNumberFormat="1" applyFont="1" applyFill="1" applyBorder="1"/>
    <xf numFmtId="175" fontId="3" fillId="17" borderId="62" xfId="0" applyNumberFormat="1" applyFont="1" applyFill="1" applyBorder="1" applyAlignment="1">
      <alignment horizontal="center"/>
    </xf>
    <xf numFmtId="175" fontId="3" fillId="17" borderId="94" xfId="0" applyNumberFormat="1" applyFont="1" applyFill="1" applyBorder="1"/>
    <xf numFmtId="172" fontId="3" fillId="0" borderId="0" xfId="0" applyNumberFormat="1" applyFont="1"/>
    <xf numFmtId="0" fontId="16" fillId="0" borderId="31" xfId="0" applyFont="1" applyBorder="1" applyAlignment="1">
      <alignment vertical="center"/>
    </xf>
    <xf numFmtId="172" fontId="17" fillId="9" borderId="118" xfId="0" applyNumberFormat="1" applyFont="1" applyFill="1" applyBorder="1" applyAlignment="1">
      <alignment horizontal="center" vertical="center"/>
    </xf>
    <xf numFmtId="0" fontId="16" fillId="0" borderId="38" xfId="0" applyFont="1" applyBorder="1" applyAlignment="1">
      <alignment vertical="center" wrapText="1"/>
    </xf>
    <xf numFmtId="189" fontId="0" fillId="0" borderId="0" xfId="0" applyNumberFormat="1"/>
    <xf numFmtId="166" fontId="0" fillId="0" borderId="0" xfId="0" applyNumberFormat="1"/>
    <xf numFmtId="0" fontId="1" fillId="0" borderId="69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3" xfId="0" applyFont="1" applyBorder="1" applyAlignment="1">
      <alignment horizontal="center"/>
    </xf>
    <xf numFmtId="0" fontId="97" fillId="0" borderId="123" xfId="0" applyFont="1" applyBorder="1" applyAlignment="1">
      <alignment wrapText="1"/>
    </xf>
    <xf numFmtId="0" fontId="97" fillId="0" borderId="124" xfId="0" applyFont="1" applyBorder="1" applyAlignment="1">
      <alignment wrapText="1"/>
    </xf>
    <xf numFmtId="0" fontId="98" fillId="0" borderId="3" xfId="0" applyFont="1" applyBorder="1"/>
    <xf numFmtId="0" fontId="99" fillId="36" borderId="4" xfId="0" applyFont="1" applyFill="1" applyBorder="1"/>
    <xf numFmtId="0" fontId="100" fillId="0" borderId="125" xfId="0" applyFont="1" applyBorder="1"/>
    <xf numFmtId="0" fontId="101" fillId="0" borderId="126" xfId="0" quotePrefix="1" applyFont="1" applyBorder="1"/>
    <xf numFmtId="0" fontId="100" fillId="0" borderId="126" xfId="0" applyFont="1" applyBorder="1" applyAlignment="1">
      <alignment wrapText="1"/>
    </xf>
    <xf numFmtId="0" fontId="100" fillId="0" borderId="126" xfId="0" applyFont="1" applyBorder="1"/>
    <xf numFmtId="0" fontId="98" fillId="37" borderId="3" xfId="0" applyFont="1" applyFill="1" applyBorder="1"/>
    <xf numFmtId="0" fontId="100" fillId="0" borderId="125" xfId="0" applyFont="1" applyBorder="1" applyAlignment="1">
      <alignment wrapText="1"/>
    </xf>
    <xf numFmtId="0" fontId="98" fillId="39" borderId="3" xfId="0" applyFont="1" applyFill="1" applyBorder="1"/>
    <xf numFmtId="0" fontId="103" fillId="38" borderId="4" xfId="0" applyFont="1" applyFill="1" applyBorder="1"/>
    <xf numFmtId="0" fontId="100" fillId="0" borderId="127" xfId="0" applyFont="1" applyBorder="1"/>
    <xf numFmtId="0" fontId="102" fillId="0" borderId="125" xfId="0" applyFont="1" applyBorder="1"/>
    <xf numFmtId="0" fontId="98" fillId="36" borderId="3" xfId="0" applyFont="1" applyFill="1" applyBorder="1"/>
    <xf numFmtId="0" fontId="100" fillId="0" borderId="118" xfId="0" applyFont="1" applyBorder="1"/>
    <xf numFmtId="0" fontId="6" fillId="0" borderId="0" xfId="0" applyFont="1"/>
    <xf numFmtId="190" fontId="102" fillId="0" borderId="126" xfId="0" applyNumberFormat="1" applyFont="1" applyBorder="1"/>
    <xf numFmtId="190" fontId="102" fillId="0" borderId="125" xfId="0" applyNumberFormat="1" applyFont="1" applyBorder="1"/>
    <xf numFmtId="191" fontId="102" fillId="0" borderId="125" xfId="0" applyNumberFormat="1" applyFont="1" applyBorder="1"/>
    <xf numFmtId="175" fontId="16" fillId="40" borderId="71" xfId="0" applyNumberFormat="1" applyFont="1" applyFill="1" applyBorder="1" applyAlignment="1">
      <alignment horizontal="center"/>
    </xf>
    <xf numFmtId="175" fontId="16" fillId="41" borderId="71" xfId="0" applyNumberFormat="1" applyFont="1" applyFill="1" applyBorder="1" applyAlignment="1">
      <alignment horizontal="center"/>
    </xf>
    <xf numFmtId="0" fontId="97" fillId="0" borderId="128" xfId="0" applyFont="1" applyBorder="1" applyAlignment="1">
      <alignment wrapText="1"/>
    </xf>
    <xf numFmtId="192" fontId="0" fillId="0" borderId="0" xfId="0" applyNumberFormat="1"/>
    <xf numFmtId="190" fontId="0" fillId="0" borderId="0" xfId="0" applyNumberFormat="1"/>
    <xf numFmtId="193" fontId="16" fillId="0" borderId="0" xfId="1" applyNumberFormat="1" applyFont="1"/>
    <xf numFmtId="175" fontId="16" fillId="15" borderId="6" xfId="0" applyNumberFormat="1" applyFont="1" applyFill="1" applyBorder="1" applyAlignment="1">
      <alignment horizontal="center"/>
    </xf>
    <xf numFmtId="175" fontId="19" fillId="15" borderId="6" xfId="0" applyNumberFormat="1" applyFont="1" applyFill="1" applyBorder="1" applyAlignment="1">
      <alignment horizontal="center"/>
    </xf>
    <xf numFmtId="181" fontId="16" fillId="0" borderId="0" xfId="1" applyNumberFormat="1" applyFont="1"/>
    <xf numFmtId="0" fontId="105" fillId="42" borderId="0" xfId="0" applyFont="1" applyFill="1"/>
    <xf numFmtId="191" fontId="0" fillId="0" borderId="0" xfId="0" applyNumberFormat="1"/>
    <xf numFmtId="9" fontId="16" fillId="0" borderId="0" xfId="0" applyNumberFormat="1" applyFont="1" applyAlignment="1">
      <alignment vertical="center"/>
    </xf>
    <xf numFmtId="0" fontId="55" fillId="36" borderId="4" xfId="0" applyFont="1" applyFill="1" applyBorder="1"/>
    <xf numFmtId="0" fontId="58" fillId="36" borderId="4" xfId="0" applyFont="1" applyFill="1" applyBorder="1"/>
    <xf numFmtId="0" fontId="4" fillId="38" borderId="4" xfId="0" applyFont="1" applyFill="1" applyBorder="1"/>
    <xf numFmtId="0" fontId="71" fillId="36" borderId="4" xfId="0" applyFont="1" applyFill="1" applyBorder="1"/>
    <xf numFmtId="0" fontId="58" fillId="36" borderId="5" xfId="0" applyFont="1" applyFill="1" applyBorder="1"/>
    <xf numFmtId="0" fontId="58" fillId="37" borderId="4" xfId="0" applyFont="1" applyFill="1" applyBorder="1"/>
    <xf numFmtId="9" fontId="0" fillId="0" borderId="0" xfId="0" applyNumberFormat="1"/>
    <xf numFmtId="0" fontId="0" fillId="42" borderId="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43" borderId="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0" fontId="16" fillId="0" borderId="0" xfId="0" applyNumberFormat="1" applyFont="1" applyAlignment="1">
      <alignment horizontal="center" vertical="center"/>
    </xf>
    <xf numFmtId="168" fontId="0" fillId="0" borderId="0" xfId="0" applyNumberFormat="1"/>
    <xf numFmtId="175" fontId="40" fillId="17" borderId="60" xfId="0" applyNumberFormat="1" applyFont="1" applyFill="1" applyBorder="1" applyAlignment="1">
      <alignment horizontal="center"/>
    </xf>
    <xf numFmtId="175" fontId="19" fillId="0" borderId="0" xfId="0" applyNumberFormat="1" applyFont="1"/>
    <xf numFmtId="174" fontId="16" fillId="0" borderId="0" xfId="0" applyNumberFormat="1" applyFont="1" applyAlignment="1">
      <alignment horizontal="center" vertical="center" wrapText="1"/>
    </xf>
    <xf numFmtId="0" fontId="3" fillId="43" borderId="3" xfId="0" applyFont="1" applyFill="1" applyBorder="1"/>
    <xf numFmtId="0" fontId="0" fillId="0" borderId="54" xfId="0" applyBorder="1"/>
    <xf numFmtId="0" fontId="0" fillId="0" borderId="55" xfId="0" applyBorder="1"/>
    <xf numFmtId="0" fontId="3" fillId="0" borderId="55" xfId="0" applyFont="1" applyBorder="1"/>
    <xf numFmtId="0" fontId="0" fillId="0" borderId="55" xfId="0" applyBorder="1" applyAlignment="1">
      <alignment horizontal="center" vertical="center"/>
    </xf>
    <xf numFmtId="4" fontId="5" fillId="0" borderId="55" xfId="0" applyNumberFormat="1" applyFont="1" applyBorder="1" applyAlignment="1">
      <alignment horizontal="center" vertical="center"/>
    </xf>
    <xf numFmtId="0" fontId="0" fillId="0" borderId="56" xfId="0" applyBorder="1"/>
    <xf numFmtId="0" fontId="0" fillId="0" borderId="120" xfId="0" applyBorder="1"/>
    <xf numFmtId="0" fontId="0" fillId="0" borderId="118" xfId="0" applyBorder="1"/>
    <xf numFmtId="0" fontId="3" fillId="0" borderId="118" xfId="0" applyFont="1" applyBorder="1"/>
    <xf numFmtId="166" fontId="0" fillId="42" borderId="118" xfId="0" applyNumberFormat="1" applyFill="1" applyBorder="1"/>
    <xf numFmtId="166" fontId="0" fillId="0" borderId="118" xfId="0" applyNumberFormat="1" applyBorder="1"/>
    <xf numFmtId="166" fontId="0" fillId="0" borderId="119" xfId="0" applyNumberFormat="1" applyBorder="1"/>
    <xf numFmtId="0" fontId="3" fillId="43" borderId="118" xfId="0" applyFont="1" applyFill="1" applyBorder="1"/>
    <xf numFmtId="0" fontId="0" fillId="43" borderId="118" xfId="0" applyFill="1" applyBorder="1"/>
    <xf numFmtId="166" fontId="0" fillId="43" borderId="118" xfId="0" applyNumberFormat="1" applyFill="1" applyBorder="1"/>
    <xf numFmtId="166" fontId="0" fillId="43" borderId="119" xfId="0" applyNumberFormat="1" applyFill="1" applyBorder="1"/>
    <xf numFmtId="168" fontId="3" fillId="43" borderId="120" xfId="0" applyNumberFormat="1" applyFont="1" applyFill="1" applyBorder="1"/>
    <xf numFmtId="168" fontId="0" fillId="43" borderId="118" xfId="0" applyNumberFormat="1" applyFill="1" applyBorder="1"/>
    <xf numFmtId="168" fontId="5" fillId="43" borderId="118" xfId="0" applyNumberFormat="1" applyFont="1" applyFill="1" applyBorder="1"/>
    <xf numFmtId="194" fontId="0" fillId="43" borderId="118" xfId="0" applyNumberFormat="1" applyFill="1" applyBorder="1"/>
    <xf numFmtId="43" fontId="3" fillId="43" borderId="118" xfId="0" applyNumberFormat="1" applyFont="1" applyFill="1" applyBorder="1"/>
    <xf numFmtId="0" fontId="3" fillId="0" borderId="120" xfId="0" applyFont="1" applyBorder="1"/>
    <xf numFmtId="168" fontId="5" fillId="0" borderId="118" xfId="0" applyNumberFormat="1" applyFont="1" applyBorder="1"/>
    <xf numFmtId="166" fontId="106" fillId="0" borderId="118" xfId="0" applyNumberFormat="1" applyFont="1" applyBorder="1"/>
    <xf numFmtId="166" fontId="106" fillId="0" borderId="119" xfId="0" applyNumberFormat="1" applyFont="1" applyBorder="1"/>
    <xf numFmtId="0" fontId="3" fillId="0" borderId="35" xfId="0" applyFont="1" applyBorder="1"/>
    <xf numFmtId="0" fontId="0" fillId="0" borderId="36" xfId="0" applyBorder="1"/>
    <xf numFmtId="0" fontId="3" fillId="0" borderId="36" xfId="0" applyFont="1" applyBorder="1"/>
    <xf numFmtId="0" fontId="0" fillId="0" borderId="121" xfId="0" applyBorder="1"/>
    <xf numFmtId="169" fontId="5" fillId="0" borderId="118" xfId="0" applyNumberFormat="1" applyFont="1" applyBorder="1"/>
    <xf numFmtId="166" fontId="5" fillId="0" borderId="0" xfId="0" applyNumberFormat="1" applyFont="1"/>
    <xf numFmtId="165" fontId="0" fillId="0" borderId="0" xfId="0" applyNumberFormat="1"/>
    <xf numFmtId="192" fontId="3" fillId="0" borderId="0" xfId="0" applyNumberFormat="1" applyFont="1"/>
    <xf numFmtId="0" fontId="19" fillId="0" borderId="5" xfId="0" applyFont="1" applyBorder="1" applyAlignment="1">
      <alignment horizontal="center"/>
    </xf>
    <xf numFmtId="0" fontId="21" fillId="0" borderId="5" xfId="0" applyFont="1" applyBorder="1"/>
    <xf numFmtId="0" fontId="21" fillId="0" borderId="4" xfId="0" applyFont="1" applyBorder="1"/>
    <xf numFmtId="182" fontId="19" fillId="0" borderId="5" xfId="0" applyNumberFormat="1" applyFont="1" applyBorder="1" applyAlignment="1">
      <alignment horizontal="center"/>
    </xf>
    <xf numFmtId="175" fontId="19" fillId="0" borderId="0" xfId="0" applyNumberFormat="1" applyFont="1" applyAlignment="1">
      <alignment horizontal="center" vertical="center"/>
    </xf>
    <xf numFmtId="0" fontId="21" fillId="0" borderId="119" xfId="0" applyFont="1" applyBorder="1"/>
    <xf numFmtId="0" fontId="0" fillId="0" borderId="0" xfId="0"/>
    <xf numFmtId="0" fontId="21" fillId="0" borderId="36" xfId="0" applyFont="1" applyBorder="1"/>
    <xf numFmtId="0" fontId="21" fillId="0" borderId="121" xfId="0" applyFont="1" applyBorder="1"/>
    <xf numFmtId="175" fontId="19" fillId="15" borderId="119" xfId="0" applyNumberFormat="1" applyFont="1" applyFill="1" applyBorder="1" applyAlignment="1">
      <alignment horizontal="center" vertical="center"/>
    </xf>
    <xf numFmtId="0" fontId="21" fillId="0" borderId="32" xfId="0" applyFont="1" applyBorder="1"/>
    <xf numFmtId="175" fontId="29" fillId="20" borderId="119" xfId="0" applyNumberFormat="1" applyFont="1" applyFill="1" applyBorder="1" applyAlignment="1">
      <alignment horizontal="center" vertical="center"/>
    </xf>
    <xf numFmtId="175" fontId="19" fillId="16" borderId="36" xfId="0" applyNumberFormat="1" applyFont="1" applyFill="1" applyBorder="1" applyAlignment="1">
      <alignment horizontal="center"/>
    </xf>
    <xf numFmtId="175" fontId="29" fillId="18" borderId="5" xfId="0" applyNumberFormat="1" applyFont="1" applyFill="1" applyBorder="1" applyAlignment="1">
      <alignment horizontal="center"/>
    </xf>
    <xf numFmtId="175" fontId="29" fillId="18" borderId="36" xfId="0" applyNumberFormat="1" applyFont="1" applyFill="1" applyBorder="1" applyAlignment="1">
      <alignment horizontal="center"/>
    </xf>
    <xf numFmtId="0" fontId="21" fillId="0" borderId="57" xfId="0" applyFont="1" applyBorder="1"/>
    <xf numFmtId="175" fontId="19" fillId="21" borderId="36" xfId="0" applyNumberFormat="1" applyFont="1" applyFill="1" applyBorder="1" applyAlignment="1">
      <alignment horizontal="center"/>
    </xf>
    <xf numFmtId="0" fontId="21" fillId="0" borderId="72" xfId="0" applyFont="1" applyBorder="1"/>
    <xf numFmtId="175" fontId="16" fillId="0" borderId="0" xfId="0" applyNumberFormat="1" applyFont="1"/>
    <xf numFmtId="175" fontId="45" fillId="0" borderId="0" xfId="0" applyNumberFormat="1" applyFont="1" applyAlignment="1">
      <alignment horizontal="center"/>
    </xf>
    <xf numFmtId="175" fontId="25" fillId="15" borderId="6" xfId="0" applyNumberFormat="1" applyFont="1" applyFill="1" applyBorder="1" applyAlignment="1">
      <alignment horizontal="center" vertical="center" wrapText="1"/>
    </xf>
    <xf numFmtId="0" fontId="21" fillId="0" borderId="6" xfId="0" applyFont="1" applyBorder="1"/>
    <xf numFmtId="175" fontId="25" fillId="16" borderId="36" xfId="0" applyNumberFormat="1" applyFont="1" applyFill="1" applyBorder="1" applyAlignment="1">
      <alignment horizontal="center"/>
    </xf>
    <xf numFmtId="175" fontId="46" fillId="17" borderId="6" xfId="0" applyNumberFormat="1" applyFont="1" applyFill="1" applyBorder="1" applyAlignment="1">
      <alignment horizontal="center" vertical="center" textRotation="90"/>
    </xf>
    <xf numFmtId="175" fontId="25" fillId="18" borderId="36" xfId="0" applyNumberFormat="1" applyFont="1" applyFill="1" applyBorder="1" applyAlignment="1">
      <alignment horizontal="center"/>
    </xf>
    <xf numFmtId="175" fontId="25" fillId="21" borderId="36" xfId="0" applyNumberFormat="1" applyFont="1" applyFill="1" applyBorder="1" applyAlignment="1">
      <alignment horizontal="center"/>
    </xf>
    <xf numFmtId="175" fontId="19" fillId="22" borderId="36" xfId="0" applyNumberFormat="1" applyFont="1" applyFill="1" applyBorder="1" applyAlignment="1">
      <alignment horizontal="center"/>
    </xf>
    <xf numFmtId="10" fontId="16" fillId="16" borderId="5" xfId="0" applyNumberFormat="1" applyFont="1" applyFill="1" applyBorder="1" applyAlignment="1">
      <alignment horizontal="center"/>
    </xf>
    <xf numFmtId="175" fontId="16" fillId="16" borderId="5" xfId="0" applyNumberFormat="1" applyFont="1" applyFill="1" applyBorder="1"/>
    <xf numFmtId="0" fontId="0" fillId="43" borderId="36" xfId="0" applyFill="1" applyBorder="1" applyAlignment="1">
      <alignment horizontal="center"/>
    </xf>
    <xf numFmtId="0" fontId="15" fillId="0" borderId="0" xfId="0" applyFont="1" applyAlignment="1">
      <alignment horizontal="left" vertical="center"/>
    </xf>
    <xf numFmtId="0" fontId="20" fillId="8" borderId="27" xfId="0" applyFont="1" applyFill="1" applyBorder="1" applyAlignment="1">
      <alignment horizontal="center" vertical="center"/>
    </xf>
    <xf numFmtId="0" fontId="21" fillId="0" borderId="7" xfId="0" applyFont="1" applyBorder="1"/>
    <xf numFmtId="0" fontId="21" fillId="0" borderId="28" xfId="0" applyFont="1" applyBorder="1"/>
    <xf numFmtId="0" fontId="20" fillId="9" borderId="27" xfId="0" applyFont="1" applyFill="1" applyBorder="1" applyAlignment="1">
      <alignment horizontal="center" vertical="center"/>
    </xf>
    <xf numFmtId="0" fontId="19" fillId="8" borderId="27" xfId="0" applyFont="1" applyFill="1" applyBorder="1" applyAlignment="1">
      <alignment horizontal="center" vertical="center"/>
    </xf>
    <xf numFmtId="0" fontId="19" fillId="9" borderId="27" xfId="0" applyFont="1" applyFill="1" applyBorder="1" applyAlignment="1">
      <alignment horizontal="center" vertical="center"/>
    </xf>
    <xf numFmtId="172" fontId="25" fillId="8" borderId="26" xfId="0" applyNumberFormat="1" applyFont="1" applyFill="1" applyBorder="1" applyAlignment="1">
      <alignment horizontal="center" vertical="center"/>
    </xf>
    <xf numFmtId="175" fontId="19" fillId="8" borderId="27" xfId="0" applyNumberFormat="1" applyFont="1" applyFill="1" applyBorder="1" applyAlignment="1">
      <alignment horizontal="center" vertical="center"/>
    </xf>
    <xf numFmtId="0" fontId="19" fillId="9" borderId="27" xfId="0" applyFont="1" applyFill="1" applyBorder="1" applyAlignment="1">
      <alignment horizontal="center"/>
    </xf>
    <xf numFmtId="172" fontId="17" fillId="9" borderId="26" xfId="0" applyNumberFormat="1" applyFont="1" applyFill="1" applyBorder="1" applyAlignment="1">
      <alignment horizontal="center" vertical="center"/>
    </xf>
    <xf numFmtId="10" fontId="17" fillId="11" borderId="26" xfId="0" applyNumberFormat="1" applyFont="1" applyFill="1" applyBorder="1" applyAlignment="1">
      <alignment horizontal="center" vertical="center"/>
    </xf>
    <xf numFmtId="172" fontId="17" fillId="9" borderId="40" xfId="0" applyNumberFormat="1" applyFont="1" applyFill="1" applyBorder="1" applyAlignment="1">
      <alignment horizontal="center" vertical="center"/>
    </xf>
    <xf numFmtId="172" fontId="25" fillId="8" borderId="40" xfId="0" applyNumberFormat="1" applyFont="1" applyFill="1" applyBorder="1" applyAlignment="1">
      <alignment horizontal="center" vertical="center"/>
    </xf>
    <xf numFmtId="172" fontId="25" fillId="8" borderId="26" xfId="0" applyNumberFormat="1" applyFont="1" applyFill="1" applyBorder="1" applyAlignment="1">
      <alignment horizontal="center"/>
    </xf>
    <xf numFmtId="172" fontId="32" fillId="10" borderId="114" xfId="0" applyNumberFormat="1" applyFont="1" applyFill="1" applyBorder="1" applyAlignment="1">
      <alignment vertical="center"/>
    </xf>
    <xf numFmtId="0" fontId="21" fillId="0" borderId="22" xfId="0" applyFont="1" applyBorder="1"/>
    <xf numFmtId="0" fontId="21" fillId="0" borderId="53" xfId="0" applyFont="1" applyBorder="1"/>
    <xf numFmtId="172" fontId="17" fillId="13" borderId="26" xfId="0" applyNumberFormat="1" applyFont="1" applyFill="1" applyBorder="1" applyAlignment="1">
      <alignment horizontal="center" vertical="center"/>
    </xf>
    <xf numFmtId="172" fontId="42" fillId="13" borderId="26" xfId="0" applyNumberFormat="1" applyFont="1" applyFill="1" applyBorder="1" applyAlignment="1">
      <alignment horizontal="center" vertical="center"/>
    </xf>
    <xf numFmtId="0" fontId="48" fillId="25" borderId="0" xfId="0" applyFont="1" applyFill="1" applyAlignment="1">
      <alignment horizontal="center" vertical="center"/>
    </xf>
    <xf numFmtId="170" fontId="27" fillId="30" borderId="44" xfId="0" applyNumberFormat="1" applyFont="1" applyFill="1" applyBorder="1" applyAlignment="1">
      <alignment horizontal="center"/>
    </xf>
    <xf numFmtId="0" fontId="21" fillId="0" borderId="44" xfId="0" applyFont="1" applyBorder="1"/>
    <xf numFmtId="0" fontId="21" fillId="0" borderId="2" xfId="0" applyFont="1" applyBorder="1"/>
    <xf numFmtId="166" fontId="52" fillId="0" borderId="44" xfId="0" applyNumberFormat="1" applyFont="1" applyBorder="1" applyAlignment="1">
      <alignment horizontal="center"/>
    </xf>
    <xf numFmtId="179" fontId="57" fillId="31" borderId="43" xfId="0" applyNumberFormat="1" applyFont="1" applyFill="1" applyBorder="1" applyAlignment="1">
      <alignment horizontal="center" vertical="center"/>
    </xf>
    <xf numFmtId="166" fontId="52" fillId="0" borderId="43" xfId="0" applyNumberFormat="1" applyFont="1" applyBorder="1" applyAlignment="1">
      <alignment horizontal="center"/>
    </xf>
    <xf numFmtId="168" fontId="63" fillId="0" borderId="5" xfId="0" applyNumberFormat="1" applyFont="1" applyBorder="1" applyAlignment="1">
      <alignment horizontal="center" vertical="center"/>
    </xf>
    <xf numFmtId="166" fontId="54" fillId="6" borderId="43" xfId="0" applyNumberFormat="1" applyFont="1" applyFill="1" applyBorder="1" applyAlignment="1">
      <alignment horizontal="center"/>
    </xf>
    <xf numFmtId="168" fontId="54" fillId="0" borderId="5" xfId="0" applyNumberFormat="1" applyFont="1" applyBorder="1" applyAlignment="1">
      <alignment horizontal="center" vertical="center"/>
    </xf>
    <xf numFmtId="185" fontId="55" fillId="0" borderId="74" xfId="0" applyNumberFormat="1" applyFont="1" applyBorder="1" applyAlignment="1">
      <alignment horizontal="center" vertical="center"/>
    </xf>
    <xf numFmtId="0" fontId="21" fillId="0" borderId="75" xfId="0" applyFont="1" applyBorder="1"/>
    <xf numFmtId="0" fontId="21" fillId="0" borderId="76" xfId="0" applyFont="1" applyBorder="1"/>
    <xf numFmtId="0" fontId="21" fillId="0" borderId="77" xfId="0" applyFont="1" applyBorder="1"/>
    <xf numFmtId="168" fontId="62" fillId="0" borderId="78" xfId="0" applyNumberFormat="1" applyFont="1" applyBorder="1" applyAlignment="1">
      <alignment horizontal="center" vertical="center"/>
    </xf>
    <xf numFmtId="0" fontId="21" fillId="0" borderId="78" xfId="0" applyFont="1" applyBorder="1"/>
    <xf numFmtId="0" fontId="68" fillId="0" borderId="0" xfId="0" applyFont="1" applyAlignment="1">
      <alignment horizontal="left"/>
    </xf>
    <xf numFmtId="0" fontId="69" fillId="0" borderId="0" xfId="0" applyFont="1" applyAlignment="1">
      <alignment horizontal="center"/>
    </xf>
    <xf numFmtId="0" fontId="58" fillId="0" borderId="0" xfId="0" applyFont="1" applyAlignment="1">
      <alignment horizontal="left"/>
    </xf>
    <xf numFmtId="170" fontId="58" fillId="0" borderId="0" xfId="0" applyNumberFormat="1" applyFont="1" applyAlignment="1">
      <alignment horizontal="center"/>
    </xf>
    <xf numFmtId="0" fontId="55" fillId="12" borderId="84" xfId="0" applyFont="1" applyFill="1" applyBorder="1"/>
    <xf numFmtId="0" fontId="58" fillId="0" borderId="0" xfId="0" applyFont="1" applyAlignment="1">
      <alignment horizontal="center"/>
    </xf>
    <xf numFmtId="0" fontId="58" fillId="0" borderId="74" xfId="0" applyFont="1" applyBorder="1" applyAlignment="1">
      <alignment horizontal="center"/>
    </xf>
    <xf numFmtId="0" fontId="58" fillId="0" borderId="83" xfId="0" applyFont="1" applyBorder="1" applyAlignment="1">
      <alignment horizontal="left"/>
    </xf>
    <xf numFmtId="0" fontId="21" fillId="0" borderId="83" xfId="0" applyFont="1" applyBorder="1"/>
    <xf numFmtId="0" fontId="58" fillId="0" borderId="69" xfId="0" applyFont="1" applyBorder="1" applyAlignment="1">
      <alignment horizontal="center"/>
    </xf>
    <xf numFmtId="0" fontId="21" fillId="0" borderId="67" xfId="0" applyFont="1" applyBorder="1"/>
    <xf numFmtId="0" fontId="58" fillId="0" borderId="44" xfId="0" applyFont="1" applyBorder="1" applyAlignment="1">
      <alignment horizontal="center"/>
    </xf>
    <xf numFmtId="0" fontId="58" fillId="0" borderId="76" xfId="0" applyFont="1" applyBorder="1" applyAlignment="1">
      <alignment horizontal="center"/>
    </xf>
    <xf numFmtId="0" fontId="58" fillId="0" borderId="0" xfId="0" applyFont="1" applyAlignment="1">
      <alignment horizontal="center" vertical="top"/>
    </xf>
    <xf numFmtId="4" fontId="55" fillId="0" borderId="44" xfId="0" applyNumberFormat="1" applyFont="1" applyBorder="1" applyAlignment="1">
      <alignment horizontal="right"/>
    </xf>
    <xf numFmtId="4" fontId="58" fillId="0" borderId="44" xfId="0" applyNumberFormat="1" applyFont="1" applyBorder="1" applyAlignment="1">
      <alignment horizontal="right"/>
    </xf>
    <xf numFmtId="0" fontId="58" fillId="0" borderId="78" xfId="0" applyFont="1" applyBorder="1" applyAlignment="1">
      <alignment horizontal="center"/>
    </xf>
    <xf numFmtId="0" fontId="58" fillId="0" borderId="76" xfId="0" applyFont="1" applyBorder="1" applyAlignment="1">
      <alignment horizontal="center" vertical="top"/>
    </xf>
    <xf numFmtId="0" fontId="58" fillId="0" borderId="44" xfId="0" applyFont="1" applyBorder="1" applyAlignment="1">
      <alignment horizontal="left"/>
    </xf>
    <xf numFmtId="0" fontId="58" fillId="12" borderId="89" xfId="0" applyFont="1" applyFill="1" applyBorder="1"/>
    <xf numFmtId="0" fontId="55" fillId="12" borderId="0" xfId="0" applyFont="1" applyFill="1" applyAlignment="1">
      <alignment horizontal="left"/>
    </xf>
    <xf numFmtId="0" fontId="58" fillId="0" borderId="44" xfId="0" applyFont="1" applyBorder="1" applyAlignment="1">
      <alignment horizontal="center" vertical="top"/>
    </xf>
    <xf numFmtId="172" fontId="81" fillId="33" borderId="120" xfId="0" applyNumberFormat="1" applyFont="1" applyFill="1" applyBorder="1" applyAlignment="1">
      <alignment horizontal="left" vertical="center"/>
    </xf>
    <xf numFmtId="0" fontId="21" fillId="0" borderId="120" xfId="0" applyFont="1" applyBorder="1"/>
    <xf numFmtId="172" fontId="81" fillId="33" borderId="118" xfId="0" applyNumberFormat="1" applyFont="1" applyFill="1" applyBorder="1" applyAlignment="1">
      <alignment horizontal="right" vertical="center"/>
    </xf>
    <xf numFmtId="0" fontId="21" fillId="0" borderId="118" xfId="0" applyFont="1" applyBorder="1"/>
    <xf numFmtId="175" fontId="88" fillId="0" borderId="0" xfId="0" applyNumberFormat="1" applyFont="1"/>
    <xf numFmtId="175" fontId="19" fillId="0" borderId="5" xfId="0" applyNumberFormat="1" applyFont="1" applyBorder="1" applyAlignment="1">
      <alignment horizontal="center"/>
    </xf>
    <xf numFmtId="175" fontId="19" fillId="15" borderId="101" xfId="0" applyNumberFormat="1" applyFont="1" applyFill="1" applyBorder="1" applyAlignment="1">
      <alignment horizontal="center"/>
    </xf>
    <xf numFmtId="0" fontId="21" fillId="0" borderId="103" xfId="0" applyFont="1" applyBorder="1"/>
    <xf numFmtId="0" fontId="21" fillId="0" borderId="105" xfId="0" applyFont="1" applyBorder="1"/>
    <xf numFmtId="175" fontId="89" fillId="17" borderId="101" xfId="0" applyNumberFormat="1" applyFont="1" applyFill="1" applyBorder="1" applyAlignment="1">
      <alignment horizontal="center" vertical="center"/>
    </xf>
    <xf numFmtId="0" fontId="21" fillId="0" borderId="109" xfId="0" applyFont="1" applyBorder="1"/>
    <xf numFmtId="175" fontId="25" fillId="15" borderId="102" xfId="0" applyNumberFormat="1" applyFont="1" applyFill="1" applyBorder="1" applyAlignment="1">
      <alignment horizontal="center" vertical="center" wrapText="1"/>
    </xf>
    <xf numFmtId="0" fontId="21" fillId="0" borderId="102" xfId="0" applyFont="1" applyBorder="1"/>
    <xf numFmtId="0" fontId="21" fillId="0" borderId="107" xfId="0" applyFont="1" applyBorder="1"/>
    <xf numFmtId="175" fontId="25" fillId="9" borderId="36" xfId="0" applyNumberFormat="1" applyFont="1" applyFill="1" applyBorder="1" applyAlignment="1">
      <alignment horizontal="center"/>
    </xf>
    <xf numFmtId="175" fontId="25" fillId="35" borderId="36" xfId="0" applyNumberFormat="1" applyFont="1" applyFill="1" applyBorder="1" applyAlignment="1">
      <alignment horizontal="center"/>
    </xf>
    <xf numFmtId="175" fontId="25" fillId="15" borderId="97" xfId="0" applyNumberFormat="1" applyFont="1" applyFill="1" applyBorder="1" applyAlignment="1">
      <alignment horizontal="center" wrapText="1"/>
    </xf>
    <xf numFmtId="0" fontId="21" fillId="0" borderId="104" xfId="0" applyFont="1" applyBorder="1"/>
    <xf numFmtId="0" fontId="91" fillId="5" borderId="0" xfId="0" applyFont="1" applyFill="1"/>
    <xf numFmtId="0" fontId="15" fillId="0" borderId="0" xfId="0" applyFont="1" applyAlignment="1">
      <alignment horizontal="right" vertical="center"/>
    </xf>
    <xf numFmtId="172" fontId="17" fillId="9" borderId="117" xfId="0" applyNumberFormat="1" applyFont="1" applyFill="1" applyBorder="1" applyAlignment="1">
      <alignment horizontal="center" vertical="center"/>
    </xf>
    <xf numFmtId="0" fontId="94" fillId="0" borderId="0" xfId="0" applyFont="1" applyAlignment="1">
      <alignment horizontal="right" vertical="center"/>
    </xf>
    <xf numFmtId="171" fontId="107" fillId="0" borderId="0" xfId="0" applyNumberFormat="1" applyFont="1"/>
  </cellXfs>
  <cellStyles count="2">
    <cellStyle name="Normal" xfId="0" builtinId="0"/>
    <cellStyle name="Per cent" xfId="1" builtinId="5"/>
  </cellStyles>
  <dxfs count="47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FF0000"/>
      </font>
      <fill>
        <patternFill patternType="solid">
          <fgColor rgb="FFB7E1CD"/>
          <bgColor rgb="FFB7E1CD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B7E1CD"/>
          <bgColor rgb="FFB7E1CD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B7E1CD"/>
          <bgColor rgb="FFB7E1CD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microsoft.com/office/2017/06/relationships/rdRichValueStructure" Target="richData/rdrichvaluestructur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17/06/relationships/rdRichValue" Target="richData/rdrichvalue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microsoft.com/office/2022/11/relationships/FeaturePropertyBag" Target="featurePropertyBag/featurePropertyBag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microsoft.com/office/2017/06/relationships/rdRichValueTypes" Target="richData/rdRichValueTyp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10600" cy="6276975"/>
    <xdr:pic>
      <xdr:nvPicPr>
        <xdr:cNvPr id="1991038548" name="Visualization1" title="Vizualizace">
          <a:extLst>
            <a:ext uri="{FF2B5EF4-FFF2-40B4-BE49-F238E27FC236}">
              <a16:creationId xmlns:a16="http://schemas.microsoft.com/office/drawing/2014/main" id="{00000000-0008-0000-0300-000054D6AC76}"/>
            </a:ext>
            <a:ext uri="GoogleSheetsCustomDataVersion1">
              <go:sheetsCustomData xmlns:go="http://customooxmlschemas.google.com/" xmlns:sle15="http://schemas.microsoft.com/office/drawing/2012/slicer" xmlns:x3Unk="http://schemas.microsoft.com/office/drawing/2010/slicer" xmlns:dgm="http://schemas.openxmlformats.org/drawingml/2006/diagram" xmlns:mc="http://schemas.openxmlformats.org/markup-compatibility/2006" xmlns:cx1="http://schemas.microsoft.com/office/drawing/2015/9/8/chartex" xmlns:cx="http://schemas.microsoft.com/office/drawing/2014/chartex" xmlns:c="http://schemas.openxmlformats.org/drawingml/2006/chart" xmlns:r="http://schemas.openxmlformats.org/officeDocument/2006/relationships" xmlns="" pictureOfVisualization="1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absolute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9</v>
    <v>9</v>
  </rv>
  <rv s="1">
    <v>9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"/>
  <sheetViews>
    <sheetView workbookViewId="0">
      <selection activeCell="E20" sqref="E20"/>
    </sheetView>
  </sheetViews>
  <sheetFormatPr baseColWidth="10" defaultColWidth="12.6640625" defaultRowHeight="15" customHeight="1"/>
  <cols>
    <col min="1" max="3" width="7.6640625" customWidth="1"/>
    <col min="4" max="4" width="20.6640625" customWidth="1"/>
    <col min="5" max="5" width="19.33203125" bestFit="1" customWidth="1"/>
    <col min="6" max="6" width="10.6640625" customWidth="1"/>
    <col min="7" max="7" width="9.1640625" customWidth="1"/>
    <col min="8" max="8" width="22.1640625" customWidth="1"/>
    <col min="9" max="9" width="25.1640625" customWidth="1"/>
    <col min="10" max="10" width="14" customWidth="1"/>
    <col min="11" max="11" width="23.6640625" customWidth="1"/>
    <col min="12" max="12" width="19.6640625" customWidth="1"/>
    <col min="13" max="13" width="14.33203125" customWidth="1"/>
    <col min="14" max="14" width="12.6640625" customWidth="1"/>
    <col min="15" max="15" width="18.1640625" customWidth="1"/>
    <col min="16" max="16" width="13.83203125" customWidth="1"/>
    <col min="17" max="17" width="21.1640625" customWidth="1"/>
    <col min="18" max="18" width="10.6640625" customWidth="1"/>
    <col min="19" max="19" width="13.1640625" customWidth="1"/>
    <col min="20" max="20" width="12.83203125" customWidth="1"/>
    <col min="21" max="21" width="22.6640625" customWidth="1"/>
    <col min="22" max="22" width="17.6640625" customWidth="1"/>
    <col min="23" max="25" width="10.6640625" customWidth="1"/>
    <col min="26" max="26" width="12" customWidth="1"/>
    <col min="27" max="29" width="10.6640625" customWidth="1"/>
  </cols>
  <sheetData>
    <row r="1" spans="1:26" ht="20.25" customHeight="1">
      <c r="A1" s="683" t="s">
        <v>0</v>
      </c>
      <c r="B1" s="683" t="s">
        <v>1</v>
      </c>
      <c r="C1" s="683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Z1" s="3" t="s">
        <v>22</v>
      </c>
    </row>
    <row r="2" spans="1:26" ht="13.5" customHeight="1">
      <c r="A2" s="684" t="b">
        <v>0</v>
      </c>
      <c r="B2" s="684" t="b">
        <v>0</v>
      </c>
      <c r="C2" s="684" t="b">
        <v>0</v>
      </c>
      <c r="D2" s="4" t="s">
        <v>23</v>
      </c>
      <c r="E2" s="5" t="s">
        <v>24</v>
      </c>
      <c r="F2" s="6">
        <v>1168.5999999999999</v>
      </c>
      <c r="G2" s="7" t="s">
        <v>25</v>
      </c>
      <c r="H2" s="8">
        <f>17896/F2</f>
        <v>15.314051001198015</v>
      </c>
      <c r="I2" s="9">
        <f>H2*$E$19</f>
        <v>372.59086085914765</v>
      </c>
      <c r="J2" s="9">
        <f>F2*I2</f>
        <v>435409.67999999993</v>
      </c>
      <c r="K2" s="9">
        <f t="shared" ref="K2:K11" si="0">J2*0.21</f>
        <v>91436.032799999986</v>
      </c>
      <c r="L2" s="9">
        <v>39</v>
      </c>
      <c r="M2" s="9">
        <f t="shared" ref="M2:M3" si="1">L2*F2</f>
        <v>45575.399999999994</v>
      </c>
      <c r="N2" s="9">
        <f t="shared" ref="N2:N11" si="2">M2*0.21</f>
        <v>9570.8339999999989</v>
      </c>
      <c r="O2" s="9">
        <f t="shared" ref="O2:O12" si="3">J2+M2</f>
        <v>480985.07999999996</v>
      </c>
      <c r="P2" s="9">
        <f>SUM(J2:K2)+SUM(M2:N2)</f>
        <v>581991.9467999998</v>
      </c>
      <c r="Q2" s="3" t="s">
        <v>26</v>
      </c>
      <c r="R2" s="3" t="s">
        <v>27</v>
      </c>
      <c r="S2" s="3"/>
      <c r="T2" s="3"/>
      <c r="U2" s="3"/>
      <c r="Z2" s="3" t="s">
        <v>24</v>
      </c>
    </row>
    <row r="3" spans="1:26" ht="13.5" customHeight="1">
      <c r="A3" s="684" t="b">
        <v>0</v>
      </c>
      <c r="B3" s="684" t="b">
        <v>0</v>
      </c>
      <c r="C3" s="684" t="b">
        <v>0</v>
      </c>
      <c r="D3" s="10" t="s">
        <v>28</v>
      </c>
      <c r="E3" s="11" t="s">
        <v>29</v>
      </c>
      <c r="F3" s="12">
        <v>1</v>
      </c>
      <c r="G3" s="13" t="s">
        <v>25</v>
      </c>
      <c r="H3" s="8">
        <v>0</v>
      </c>
      <c r="I3" s="9">
        <v>3500</v>
      </c>
      <c r="J3" s="9">
        <f>I3</f>
        <v>3500</v>
      </c>
      <c r="K3" s="14">
        <f t="shared" si="0"/>
        <v>735</v>
      </c>
      <c r="L3" s="9">
        <v>500</v>
      </c>
      <c r="M3" s="9">
        <f t="shared" si="1"/>
        <v>500</v>
      </c>
      <c r="N3" s="9">
        <f t="shared" si="2"/>
        <v>105</v>
      </c>
      <c r="O3" s="14">
        <f t="shared" si="3"/>
        <v>4000</v>
      </c>
      <c r="P3" s="14">
        <f t="shared" ref="P3:P11" si="4">SUM(J3:N3)</f>
        <v>5340</v>
      </c>
      <c r="Q3" s="3"/>
      <c r="R3" s="3"/>
      <c r="S3" s="3"/>
      <c r="T3" s="3"/>
      <c r="U3" s="3" t="s">
        <v>30</v>
      </c>
      <c r="V3" s="3" t="s">
        <v>30</v>
      </c>
      <c r="Z3" s="3" t="s">
        <v>29</v>
      </c>
    </row>
    <row r="4" spans="1:26" ht="13.5" customHeight="1">
      <c r="A4" s="684" t="b">
        <v>0</v>
      </c>
      <c r="B4" s="684" t="b">
        <v>0</v>
      </c>
      <c r="C4" s="684" t="b">
        <v>0</v>
      </c>
      <c r="D4" s="15" t="s">
        <v>31</v>
      </c>
      <c r="E4" s="11" t="s">
        <v>29</v>
      </c>
      <c r="F4" s="12">
        <v>1</v>
      </c>
      <c r="G4" s="13" t="s">
        <v>25</v>
      </c>
      <c r="H4" s="8">
        <v>822</v>
      </c>
      <c r="I4" s="9">
        <f t="shared" ref="I4:I11" si="5">H4*$E$19</f>
        <v>19999.259999999998</v>
      </c>
      <c r="J4" s="9">
        <f>I4*F4</f>
        <v>19999.259999999998</v>
      </c>
      <c r="K4" s="14">
        <f t="shared" si="0"/>
        <v>4199.8445999999994</v>
      </c>
      <c r="L4" s="9">
        <v>0</v>
      </c>
      <c r="M4" s="9">
        <v>1500</v>
      </c>
      <c r="N4" s="9">
        <f t="shared" si="2"/>
        <v>315</v>
      </c>
      <c r="O4" s="14">
        <f t="shared" si="3"/>
        <v>21499.26</v>
      </c>
      <c r="P4" s="14">
        <f t="shared" si="4"/>
        <v>26014.104599999999</v>
      </c>
      <c r="Q4" s="3"/>
      <c r="R4" s="3"/>
      <c r="S4" s="3"/>
      <c r="T4" s="3"/>
      <c r="U4" s="3"/>
    </row>
    <row r="5" spans="1:26" ht="13.5" customHeight="1">
      <c r="A5" s="684" t="b">
        <v>0</v>
      </c>
      <c r="B5" s="684" t="b">
        <v>0</v>
      </c>
      <c r="C5" s="684" t="b">
        <v>0</v>
      </c>
      <c r="D5" s="16" t="s">
        <v>32</v>
      </c>
      <c r="E5" s="11" t="s">
        <v>24</v>
      </c>
      <c r="F5" s="12">
        <v>484.96</v>
      </c>
      <c r="G5" s="13" t="s">
        <v>25</v>
      </c>
      <c r="H5" s="8">
        <v>12.35</v>
      </c>
      <c r="I5" s="9">
        <f t="shared" si="5"/>
        <v>300.47549999999995</v>
      </c>
      <c r="J5" s="9">
        <f t="shared" ref="J5:J8" si="6">F5*I5</f>
        <v>145718.59847999999</v>
      </c>
      <c r="K5" s="17">
        <f t="shared" si="0"/>
        <v>30600.905680799995</v>
      </c>
      <c r="L5" s="9">
        <f>1.8*E19</f>
        <v>43.793999999999997</v>
      </c>
      <c r="M5" s="9">
        <f>L5*F5</f>
        <v>21238.338239999997</v>
      </c>
      <c r="N5" s="9">
        <f t="shared" si="2"/>
        <v>4460.051030399999</v>
      </c>
      <c r="O5" s="17">
        <f t="shared" si="3"/>
        <v>166956.93672</v>
      </c>
      <c r="P5" s="17">
        <f t="shared" si="4"/>
        <v>202061.68743119997</v>
      </c>
      <c r="Q5" s="3" t="s">
        <v>33</v>
      </c>
      <c r="R5" s="3"/>
      <c r="S5" s="3"/>
      <c r="T5" s="3" t="s">
        <v>34</v>
      </c>
      <c r="U5" s="3"/>
    </row>
    <row r="6" spans="1:26" ht="13.5" customHeight="1">
      <c r="A6" s="684" t="b">
        <v>0</v>
      </c>
      <c r="B6" s="684" t="b">
        <v>0</v>
      </c>
      <c r="C6" s="684" t="b">
        <v>0</v>
      </c>
      <c r="D6" s="16" t="s">
        <v>35</v>
      </c>
      <c r="E6" s="11" t="s">
        <v>24</v>
      </c>
      <c r="F6" s="12">
        <v>224.22</v>
      </c>
      <c r="G6" s="13" t="s">
        <v>25</v>
      </c>
      <c r="H6" s="8">
        <v>13.3</v>
      </c>
      <c r="I6" s="9">
        <f t="shared" si="5"/>
        <v>323.589</v>
      </c>
      <c r="J6" s="9">
        <f t="shared" si="6"/>
        <v>72555.125579999993</v>
      </c>
      <c r="K6" s="14">
        <f t="shared" si="0"/>
        <v>15236.576371799998</v>
      </c>
      <c r="L6" s="9">
        <f t="shared" ref="L6:L8" si="7">1.5*$E$19</f>
        <v>36.494999999999997</v>
      </c>
      <c r="M6" s="9">
        <f t="shared" ref="M6:M11" si="8">L6*F6</f>
        <v>8182.9088999999994</v>
      </c>
      <c r="N6" s="9">
        <f t="shared" si="2"/>
        <v>1718.4108689999998</v>
      </c>
      <c r="O6" s="14">
        <f t="shared" si="3"/>
        <v>80738.034479999988</v>
      </c>
      <c r="P6" s="14">
        <f t="shared" si="4"/>
        <v>97729.516720799977</v>
      </c>
      <c r="Q6" s="3" t="s">
        <v>36</v>
      </c>
      <c r="R6" s="3"/>
      <c r="S6" s="3"/>
      <c r="T6" s="3" t="s">
        <v>34</v>
      </c>
      <c r="U6" s="3"/>
    </row>
    <row r="7" spans="1:26" ht="13.5" customHeight="1">
      <c r="A7" s="684" t="b">
        <v>0</v>
      </c>
      <c r="B7" s="684" t="b">
        <v>0</v>
      </c>
      <c r="C7" s="684" t="b">
        <v>0</v>
      </c>
      <c r="D7" s="16" t="s">
        <v>37</v>
      </c>
      <c r="E7" s="11" t="s">
        <v>24</v>
      </c>
      <c r="F7" s="12">
        <v>49.31</v>
      </c>
      <c r="G7" s="13" t="s">
        <v>25</v>
      </c>
      <c r="H7" s="8">
        <v>45</v>
      </c>
      <c r="I7" s="9">
        <f t="shared" si="5"/>
        <v>1094.8499999999999</v>
      </c>
      <c r="J7" s="9">
        <f t="shared" si="6"/>
        <v>53987.053499999995</v>
      </c>
      <c r="K7" s="14">
        <f t="shared" si="0"/>
        <v>11337.281234999999</v>
      </c>
      <c r="L7" s="9">
        <f t="shared" si="7"/>
        <v>36.494999999999997</v>
      </c>
      <c r="M7" s="9">
        <f t="shared" si="8"/>
        <v>1799.56845</v>
      </c>
      <c r="N7" s="9">
        <f t="shared" si="2"/>
        <v>377.90937449999996</v>
      </c>
      <c r="O7" s="14">
        <f t="shared" si="3"/>
        <v>55786.621949999993</v>
      </c>
      <c r="P7" s="14">
        <f t="shared" si="4"/>
        <v>67538.307559499997</v>
      </c>
      <c r="Q7" s="3" t="s">
        <v>33</v>
      </c>
      <c r="R7" s="3"/>
      <c r="S7" s="3"/>
      <c r="T7" s="3" t="s">
        <v>34</v>
      </c>
      <c r="U7" s="3"/>
    </row>
    <row r="8" spans="1:26" ht="13.5" customHeight="1">
      <c r="A8" s="684" t="b">
        <v>0</v>
      </c>
      <c r="B8" s="684" t="b">
        <v>0</v>
      </c>
      <c r="C8" s="684" t="b">
        <v>0</v>
      </c>
      <c r="D8" s="10" t="s">
        <v>38</v>
      </c>
      <c r="E8" s="18" t="s">
        <v>24</v>
      </c>
      <c r="F8" s="12">
        <v>140.66</v>
      </c>
      <c r="G8" s="19" t="s">
        <v>25</v>
      </c>
      <c r="H8" s="20">
        <v>13</v>
      </c>
      <c r="I8" s="9">
        <f t="shared" si="5"/>
        <v>316.28999999999996</v>
      </c>
      <c r="J8" s="9">
        <f t="shared" si="6"/>
        <v>44489.351399999992</v>
      </c>
      <c r="K8" s="14">
        <f t="shared" si="0"/>
        <v>9342.7637939999986</v>
      </c>
      <c r="L8" s="9">
        <f t="shared" si="7"/>
        <v>36.494999999999997</v>
      </c>
      <c r="M8" s="9">
        <f t="shared" si="8"/>
        <v>5133.3866999999991</v>
      </c>
      <c r="N8" s="17">
        <f t="shared" si="2"/>
        <v>1078.0112069999998</v>
      </c>
      <c r="O8" s="14">
        <f t="shared" si="3"/>
        <v>49622.738099999988</v>
      </c>
      <c r="P8" s="14">
        <f t="shared" si="4"/>
        <v>60080.008100999999</v>
      </c>
      <c r="Q8" s="3" t="s">
        <v>33</v>
      </c>
      <c r="R8" s="3"/>
      <c r="S8" s="3"/>
      <c r="T8" s="3" t="s">
        <v>34</v>
      </c>
      <c r="U8" s="3"/>
    </row>
    <row r="9" spans="1:26" ht="13.5" customHeight="1">
      <c r="A9" s="684" t="b">
        <v>0</v>
      </c>
      <c r="B9" s="684" t="b">
        <v>0</v>
      </c>
      <c r="C9" s="684" t="b">
        <v>0</v>
      </c>
      <c r="D9" s="16" t="s">
        <v>39</v>
      </c>
      <c r="E9" s="11" t="s">
        <v>29</v>
      </c>
      <c r="F9" s="11">
        <v>1</v>
      </c>
      <c r="G9" s="19" t="s">
        <v>25</v>
      </c>
      <c r="H9" s="21"/>
      <c r="I9" s="9">
        <f t="shared" si="5"/>
        <v>0</v>
      </c>
      <c r="J9" s="9">
        <f>50000/12</f>
        <v>4166.666666666667</v>
      </c>
      <c r="K9" s="17">
        <f t="shared" si="0"/>
        <v>875</v>
      </c>
      <c r="L9" s="9">
        <v>0</v>
      </c>
      <c r="M9" s="9">
        <f t="shared" si="8"/>
        <v>0</v>
      </c>
      <c r="N9" s="17">
        <f t="shared" si="2"/>
        <v>0</v>
      </c>
      <c r="O9" s="17">
        <f t="shared" si="3"/>
        <v>4166.666666666667</v>
      </c>
      <c r="P9" s="17">
        <f t="shared" si="4"/>
        <v>5041.666666666667</v>
      </c>
      <c r="Q9" s="3"/>
      <c r="R9" s="3"/>
      <c r="S9" s="3"/>
      <c r="T9" s="3"/>
      <c r="U9" s="3"/>
    </row>
    <row r="10" spans="1:26" ht="13.5" customHeight="1">
      <c r="A10" s="684" t="b">
        <v>0</v>
      </c>
      <c r="B10" s="684" t="b">
        <v>0</v>
      </c>
      <c r="C10" s="684" t="b">
        <v>0</v>
      </c>
      <c r="D10" s="16"/>
      <c r="E10" s="11"/>
      <c r="F10" s="11"/>
      <c r="G10" s="19" t="s">
        <v>25</v>
      </c>
      <c r="H10" s="21"/>
      <c r="I10" s="9">
        <f t="shared" si="5"/>
        <v>0</v>
      </c>
      <c r="J10" s="9">
        <f t="shared" ref="J10:J11" si="9">F10*I10</f>
        <v>0</v>
      </c>
      <c r="K10" s="17">
        <f t="shared" si="0"/>
        <v>0</v>
      </c>
      <c r="L10" s="9">
        <v>0</v>
      </c>
      <c r="M10" s="9">
        <f t="shared" si="8"/>
        <v>0</v>
      </c>
      <c r="N10" s="17">
        <f t="shared" si="2"/>
        <v>0</v>
      </c>
      <c r="O10" s="17">
        <f t="shared" si="3"/>
        <v>0</v>
      </c>
      <c r="P10" s="17">
        <f t="shared" si="4"/>
        <v>0</v>
      </c>
      <c r="Q10" s="3"/>
      <c r="R10" s="3"/>
      <c r="S10" s="3"/>
      <c r="T10" s="3"/>
      <c r="U10" s="3"/>
    </row>
    <row r="11" spans="1:26" ht="13.5" customHeight="1">
      <c r="A11" s="685"/>
      <c r="B11" s="685"/>
      <c r="C11" s="685"/>
      <c r="D11" s="16"/>
      <c r="E11" s="11"/>
      <c r="F11" s="11"/>
      <c r="G11" s="11" t="s">
        <v>25</v>
      </c>
      <c r="H11" s="21"/>
      <c r="I11" s="9">
        <f t="shared" si="5"/>
        <v>0</v>
      </c>
      <c r="J11" s="9">
        <f t="shared" si="9"/>
        <v>0</v>
      </c>
      <c r="K11" s="17">
        <f t="shared" si="0"/>
        <v>0</v>
      </c>
      <c r="L11" s="9">
        <v>0</v>
      </c>
      <c r="M11" s="9">
        <f t="shared" si="8"/>
        <v>0</v>
      </c>
      <c r="N11" s="17">
        <f t="shared" si="2"/>
        <v>0</v>
      </c>
      <c r="O11" s="17">
        <f t="shared" si="3"/>
        <v>0</v>
      </c>
      <c r="P11" s="17">
        <f t="shared" si="4"/>
        <v>0</v>
      </c>
      <c r="Q11" s="22" t="s">
        <v>40</v>
      </c>
      <c r="R11" s="3"/>
      <c r="S11" s="3"/>
      <c r="T11" s="3"/>
      <c r="U11" s="3"/>
    </row>
    <row r="12" spans="1:26" ht="13.5" customHeight="1">
      <c r="A12" s="3"/>
      <c r="B12" s="3"/>
      <c r="C12" s="3"/>
      <c r="D12" s="23" t="s">
        <v>41</v>
      </c>
      <c r="E12" s="3"/>
      <c r="F12" s="3"/>
      <c r="G12" s="3"/>
      <c r="H12" s="3"/>
      <c r="I12" s="3"/>
      <c r="J12" s="24">
        <f>(SUM(J2:J11)*12)-J9</f>
        <v>9353742.1608533319</v>
      </c>
      <c r="K12" s="23"/>
      <c r="L12" s="23"/>
      <c r="M12" s="24">
        <f>SUM(M2:M11)*12</f>
        <v>1007155.2274799999</v>
      </c>
      <c r="N12" s="23"/>
      <c r="O12" s="24">
        <f t="shared" si="3"/>
        <v>10360897.388333332</v>
      </c>
      <c r="P12" s="3"/>
      <c r="Q12" s="3"/>
      <c r="R12" s="3"/>
      <c r="S12" s="3"/>
      <c r="T12" s="3"/>
      <c r="U12" s="3"/>
    </row>
    <row r="13" spans="1:26" ht="13.5" customHeight="1">
      <c r="J13" s="682"/>
      <c r="K13" s="763">
        <f>J12/E19</f>
        <v>384453.0275730922</v>
      </c>
      <c r="L13" s="26"/>
    </row>
    <row r="14" spans="1:26" ht="13.5" customHeight="1">
      <c r="D14" s="26" t="s">
        <v>42</v>
      </c>
      <c r="H14" s="795" t="s">
        <v>43</v>
      </c>
      <c r="I14" s="795"/>
      <c r="J14" s="795"/>
      <c r="K14" s="795"/>
      <c r="L14" s="795"/>
      <c r="M14" s="795"/>
      <c r="N14" s="795"/>
      <c r="O14" s="795"/>
      <c r="P14" s="795"/>
      <c r="Q14" s="795"/>
    </row>
    <row r="15" spans="1:26" ht="13.5" customHeight="1">
      <c r="D15" s="26" t="s">
        <v>44</v>
      </c>
      <c r="E15" s="26" t="str">
        <f>IF(F11=Businessplan_pravo_stavby!J17,"OK","ERROR")</f>
        <v>ERROR</v>
      </c>
      <c r="G15" s="740"/>
      <c r="H15" s="733"/>
      <c r="I15" s="734"/>
      <c r="J15" s="734"/>
      <c r="K15" s="734"/>
      <c r="L15" s="735"/>
      <c r="M15" s="734"/>
      <c r="N15" s="736" t="s">
        <v>45</v>
      </c>
      <c r="O15" s="737">
        <v>1668875</v>
      </c>
      <c r="P15" s="734"/>
      <c r="Q15" s="738"/>
      <c r="R15" s="740"/>
    </row>
    <row r="16" spans="1:26" ht="13.5" customHeight="1">
      <c r="D16" s="26" t="s">
        <v>46</v>
      </c>
      <c r="E16" s="26" t="str">
        <f>IF(O12=Businessplan_pravo_stavby!N17,"OK","ERROR")</f>
        <v>ERROR</v>
      </c>
      <c r="G16" s="740"/>
      <c r="H16" s="739"/>
      <c r="I16" s="740"/>
      <c r="J16" s="740"/>
      <c r="K16" s="740"/>
      <c r="L16" s="741"/>
      <c r="M16" s="740" t="s">
        <v>47</v>
      </c>
      <c r="N16" s="10" t="s">
        <v>28</v>
      </c>
      <c r="O16" s="742">
        <f t="shared" ref="O16:O21" si="10">O3*2</f>
        <v>8000</v>
      </c>
      <c r="P16" s="743">
        <f t="shared" ref="P16:P18" si="11">O16*0.75</f>
        <v>6000</v>
      </c>
      <c r="Q16" s="744">
        <f>O16*0.25</f>
        <v>2000</v>
      </c>
      <c r="R16" s="743"/>
      <c r="S16" s="682"/>
      <c r="T16" s="682"/>
      <c r="U16" s="682"/>
    </row>
    <row r="17" spans="4:23" ht="13.5" customHeight="1">
      <c r="D17" s="26" t="s">
        <v>48</v>
      </c>
      <c r="E17" s="569" t="e">
        <f>(F11)/Businessplan_prodej!D8</f>
        <v>#DIV/0!</v>
      </c>
      <c r="G17" s="740"/>
      <c r="H17" s="739"/>
      <c r="I17" s="740"/>
      <c r="J17" s="740"/>
      <c r="K17" s="740"/>
      <c r="L17" s="745" t="s">
        <v>49</v>
      </c>
      <c r="M17" s="746"/>
      <c r="N17" s="732" t="s">
        <v>31</v>
      </c>
      <c r="O17" s="747">
        <f t="shared" si="10"/>
        <v>42998.52</v>
      </c>
      <c r="P17" s="747">
        <f t="shared" si="11"/>
        <v>32248.89</v>
      </c>
      <c r="Q17" s="748">
        <f t="shared" ref="Q17:Q21" si="12">O17*0.25</f>
        <v>10749.63</v>
      </c>
      <c r="R17" s="740"/>
    </row>
    <row r="18" spans="4:23" ht="13.5" customHeight="1">
      <c r="D18" s="26" t="s">
        <v>50</v>
      </c>
      <c r="E18" s="569">
        <v>0.35</v>
      </c>
      <c r="G18" s="740"/>
      <c r="H18" s="739"/>
      <c r="I18" s="740"/>
      <c r="J18" s="740"/>
      <c r="K18" s="740"/>
      <c r="L18" s="741"/>
      <c r="M18" s="740"/>
      <c r="N18" s="16" t="s">
        <v>32</v>
      </c>
      <c r="O18" s="742">
        <f t="shared" si="10"/>
        <v>333913.87344</v>
      </c>
      <c r="P18" s="743">
        <f t="shared" si="11"/>
        <v>250435.40508</v>
      </c>
      <c r="Q18" s="744">
        <f t="shared" si="12"/>
        <v>83478.468359999999</v>
      </c>
      <c r="R18" s="740"/>
    </row>
    <row r="19" spans="4:23" ht="13.5" customHeight="1">
      <c r="D19" s="26" t="s">
        <v>51</v>
      </c>
      <c r="E19" s="26">
        <v>24.33</v>
      </c>
      <c r="G19" s="740"/>
      <c r="H19" s="739"/>
      <c r="I19" s="740"/>
      <c r="J19" s="740"/>
      <c r="K19" s="740"/>
      <c r="L19" s="741"/>
      <c r="M19" s="740"/>
      <c r="N19" s="16" t="s">
        <v>35</v>
      </c>
      <c r="O19" s="743">
        <f t="shared" si="10"/>
        <v>161476.06895999998</v>
      </c>
      <c r="P19" s="742">
        <f>O19*0.75</f>
        <v>121107.05171999999</v>
      </c>
      <c r="Q19" s="744">
        <f t="shared" si="12"/>
        <v>40369.017239999994</v>
      </c>
      <c r="R19" s="740"/>
    </row>
    <row r="20" spans="4:23" ht="13.5" customHeight="1">
      <c r="G20" s="740"/>
      <c r="H20" s="739"/>
      <c r="I20" s="740"/>
      <c r="J20" s="740"/>
      <c r="K20" s="740"/>
      <c r="L20" s="741"/>
      <c r="M20" s="740"/>
      <c r="N20" s="16" t="s">
        <v>37</v>
      </c>
      <c r="O20" s="742">
        <f t="shared" si="10"/>
        <v>111573.24389999999</v>
      </c>
      <c r="P20" s="743">
        <f t="shared" ref="P20:P21" si="13">O20*0.75</f>
        <v>83679.932924999986</v>
      </c>
      <c r="Q20" s="744">
        <f t="shared" si="12"/>
        <v>27893.310974999997</v>
      </c>
      <c r="R20" s="740"/>
    </row>
    <row r="21" spans="4:23" ht="13.5" customHeight="1">
      <c r="G21" s="740"/>
      <c r="H21" s="749">
        <f>I21*0.75</f>
        <v>86207.4</v>
      </c>
      <c r="I21" s="750">
        <f>SUM(J21:K21)*2</f>
        <v>114943.2</v>
      </c>
      <c r="J21" s="751">
        <f>SUM(K21:L21)</f>
        <v>51831.6</v>
      </c>
      <c r="K21" s="752">
        <f>141*40</f>
        <v>5640</v>
      </c>
      <c r="L21" s="753">
        <f>141*25.2*13</f>
        <v>46191.6</v>
      </c>
      <c r="M21" s="746" t="s">
        <v>52</v>
      </c>
      <c r="N21" s="732" t="s">
        <v>53</v>
      </c>
      <c r="O21" s="747">
        <f t="shared" si="10"/>
        <v>99245.476199999976</v>
      </c>
      <c r="P21" s="747">
        <f t="shared" si="13"/>
        <v>74434.107149999982</v>
      </c>
      <c r="Q21" s="748">
        <f t="shared" si="12"/>
        <v>24811.369049999994</v>
      </c>
      <c r="R21" s="740"/>
    </row>
    <row r="22" spans="4:23" ht="13.5" customHeight="1">
      <c r="G22" s="740"/>
      <c r="H22" s="754"/>
      <c r="I22" s="740"/>
      <c r="J22" s="755"/>
      <c r="K22" s="740"/>
      <c r="L22" s="741"/>
      <c r="M22" s="740"/>
      <c r="N22" s="740"/>
      <c r="O22" s="756">
        <f>SUM(O16:O21)</f>
        <v>757207.18249999988</v>
      </c>
      <c r="P22" s="756">
        <f>SUM(P16:P21)</f>
        <v>567905.38687499997</v>
      </c>
      <c r="Q22" s="757">
        <f>SUM(Q16:Q21)</f>
        <v>189301.79562499997</v>
      </c>
      <c r="R22" s="740"/>
    </row>
    <row r="23" spans="4:23" ht="13.5" customHeight="1">
      <c r="G23" s="740"/>
      <c r="H23" s="758"/>
      <c r="I23" s="759"/>
      <c r="J23" s="759"/>
      <c r="K23" s="760"/>
      <c r="L23" s="759"/>
      <c r="M23" s="759"/>
      <c r="N23" s="759"/>
      <c r="O23" s="759"/>
      <c r="P23" s="759"/>
      <c r="Q23" s="761"/>
      <c r="R23" s="740"/>
    </row>
    <row r="24" spans="4:23" ht="13.5" customHeight="1">
      <c r="H24" s="741"/>
      <c r="I24" s="740"/>
      <c r="J24" s="740"/>
      <c r="K24" s="740"/>
      <c r="L24" s="740"/>
      <c r="M24" s="740"/>
      <c r="N24" s="740"/>
      <c r="O24" s="740"/>
      <c r="P24" s="762">
        <v>45901</v>
      </c>
      <c r="Q24" s="762">
        <v>45931</v>
      </c>
      <c r="R24" s="28"/>
    </row>
    <row r="25" spans="4:23" ht="13.5" customHeight="1">
      <c r="H25" s="26"/>
      <c r="L25" s="28">
        <v>45778</v>
      </c>
      <c r="M25" s="28">
        <v>45809</v>
      </c>
      <c r="N25" s="28">
        <v>45839</v>
      </c>
      <c r="O25" s="28">
        <v>45870</v>
      </c>
      <c r="P25" s="28"/>
      <c r="Q25" s="28"/>
      <c r="R25" s="28"/>
    </row>
    <row r="26" spans="4:23" ht="13.5" customHeight="1">
      <c r="D26" s="1" t="s">
        <v>3</v>
      </c>
      <c r="E26" s="1" t="s">
        <v>4</v>
      </c>
      <c r="F26" s="1" t="s">
        <v>5</v>
      </c>
      <c r="G26" s="1" t="s">
        <v>6</v>
      </c>
      <c r="H26" s="1" t="s">
        <v>7</v>
      </c>
      <c r="I26" s="1" t="s">
        <v>9</v>
      </c>
      <c r="K26" s="25" t="s">
        <v>54</v>
      </c>
      <c r="L26" s="25">
        <f>45000+157000</f>
        <v>202000</v>
      </c>
      <c r="M26" s="25">
        <v>157000</v>
      </c>
      <c r="N26" s="25">
        <v>157000</v>
      </c>
      <c r="O26" s="25">
        <v>157000</v>
      </c>
      <c r="P26" s="25">
        <v>157000</v>
      </c>
      <c r="Q26" s="25">
        <v>89800</v>
      </c>
    </row>
    <row r="27" spans="4:23" ht="13.5" customHeight="1">
      <c r="D27" s="4" t="s">
        <v>23</v>
      </c>
      <c r="E27" s="5" t="s">
        <v>24</v>
      </c>
      <c r="F27" s="6">
        <v>1168.5999999999999</v>
      </c>
      <c r="G27" s="7" t="s">
        <v>25</v>
      </c>
      <c r="H27" s="8">
        <v>15</v>
      </c>
      <c r="I27" s="8">
        <f>H27*F27</f>
        <v>17529</v>
      </c>
      <c r="L27" s="25">
        <v>920000</v>
      </c>
      <c r="M27" s="25">
        <f t="shared" ref="M27:Q27" si="14">L27</f>
        <v>920000</v>
      </c>
      <c r="N27" s="25">
        <f t="shared" si="14"/>
        <v>920000</v>
      </c>
      <c r="O27" s="25">
        <f t="shared" si="14"/>
        <v>920000</v>
      </c>
      <c r="P27" s="25">
        <f t="shared" si="14"/>
        <v>920000</v>
      </c>
      <c r="Q27" s="25">
        <f t="shared" si="14"/>
        <v>920000</v>
      </c>
    </row>
    <row r="28" spans="4:23" ht="13.5" customHeight="1">
      <c r="D28" s="10" t="s">
        <v>28</v>
      </c>
      <c r="E28" s="11" t="s">
        <v>29</v>
      </c>
      <c r="F28" s="12">
        <v>1</v>
      </c>
      <c r="G28" s="13" t="s">
        <v>25</v>
      </c>
      <c r="H28" s="8">
        <v>0</v>
      </c>
      <c r="I28" s="8">
        <v>140</v>
      </c>
      <c r="L28" s="29">
        <f t="shared" ref="L28:Q28" si="15">L26/L27</f>
        <v>0.21956521739130436</v>
      </c>
      <c r="M28" s="29">
        <f t="shared" si="15"/>
        <v>0.17065217391304346</v>
      </c>
      <c r="N28" s="29">
        <f t="shared" si="15"/>
        <v>0.17065217391304346</v>
      </c>
      <c r="O28" s="29">
        <f t="shared" si="15"/>
        <v>0.17065217391304346</v>
      </c>
      <c r="P28" s="29">
        <f t="shared" si="15"/>
        <v>0.17065217391304346</v>
      </c>
      <c r="Q28" s="29">
        <f t="shared" si="15"/>
        <v>9.7608695652173907E-2</v>
      </c>
      <c r="R28" s="29"/>
    </row>
    <row r="29" spans="4:23" ht="13.5" customHeight="1">
      <c r="D29" s="15" t="s">
        <v>31</v>
      </c>
      <c r="E29" s="11" t="s">
        <v>29</v>
      </c>
      <c r="F29" s="12">
        <v>0</v>
      </c>
      <c r="G29" s="13" t="s">
        <v>25</v>
      </c>
      <c r="H29" s="8">
        <v>0</v>
      </c>
      <c r="I29" s="8">
        <v>600</v>
      </c>
    </row>
    <row r="30" spans="4:23" ht="13.5" customHeight="1">
      <c r="D30" s="16" t="s">
        <v>32</v>
      </c>
      <c r="E30" s="11" t="s">
        <v>24</v>
      </c>
      <c r="F30" s="12">
        <v>500</v>
      </c>
      <c r="G30" s="13" t="s">
        <v>25</v>
      </c>
      <c r="H30" s="8">
        <v>12.35</v>
      </c>
      <c r="I30" s="8">
        <f t="shared" ref="I30:I36" si="16">H30*F30</f>
        <v>6175</v>
      </c>
      <c r="L30" s="30">
        <f t="shared" ref="L30:O30" si="17">L28*1700000</f>
        <v>373260.86956521741</v>
      </c>
      <c r="M30" s="30">
        <f t="shared" si="17"/>
        <v>290108.69565217389</v>
      </c>
      <c r="N30" s="30">
        <f t="shared" si="17"/>
        <v>290108.69565217389</v>
      </c>
      <c r="O30" s="30">
        <f t="shared" si="17"/>
        <v>290108.69565217389</v>
      </c>
      <c r="P30" s="30">
        <f>P28*1700000</f>
        <v>290108.69565217389</v>
      </c>
      <c r="Q30" s="30">
        <f>Q28*1700000</f>
        <v>165934.78260869565</v>
      </c>
      <c r="U30">
        <v>40</v>
      </c>
      <c r="V30" s="25" t="s">
        <v>55</v>
      </c>
      <c r="W30" s="25" t="s">
        <v>56</v>
      </c>
    </row>
    <row r="31" spans="4:23" ht="13.5" customHeight="1">
      <c r="D31" s="16" t="s">
        <v>35</v>
      </c>
      <c r="E31" s="11" t="s">
        <v>24</v>
      </c>
      <c r="F31" s="12">
        <v>220.5</v>
      </c>
      <c r="G31" s="13" t="s">
        <v>25</v>
      </c>
      <c r="H31" s="8">
        <v>13.3</v>
      </c>
      <c r="I31" s="8">
        <f t="shared" si="16"/>
        <v>2932.65</v>
      </c>
      <c r="L31" s="31">
        <v>30000</v>
      </c>
      <c r="M31" s="31">
        <v>30000</v>
      </c>
      <c r="N31" s="31">
        <v>30000</v>
      </c>
      <c r="O31" s="31">
        <v>30000</v>
      </c>
      <c r="P31" s="31">
        <v>30000</v>
      </c>
      <c r="Q31" s="31">
        <v>30000</v>
      </c>
      <c r="U31">
        <v>50</v>
      </c>
      <c r="V31" s="25" t="s">
        <v>57</v>
      </c>
      <c r="W31" s="25" t="s">
        <v>58</v>
      </c>
    </row>
    <row r="32" spans="4:23" ht="13.5" customHeight="1">
      <c r="D32" s="16" t="s">
        <v>37</v>
      </c>
      <c r="E32" s="11" t="s">
        <v>24</v>
      </c>
      <c r="F32" s="12">
        <v>49</v>
      </c>
      <c r="G32" s="13" t="s">
        <v>25</v>
      </c>
      <c r="H32" s="8">
        <v>45</v>
      </c>
      <c r="I32" s="8">
        <f t="shared" si="16"/>
        <v>2205</v>
      </c>
      <c r="L32" s="32">
        <f t="shared" ref="L32:O32" si="18">L31+L30</f>
        <v>403260.86956521741</v>
      </c>
      <c r="M32" s="32">
        <f t="shared" si="18"/>
        <v>320108.69565217389</v>
      </c>
      <c r="N32" s="32">
        <f t="shared" si="18"/>
        <v>320108.69565217389</v>
      </c>
      <c r="O32" s="32">
        <f t="shared" si="18"/>
        <v>320108.69565217389</v>
      </c>
      <c r="P32" s="32">
        <f>P31+P30</f>
        <v>320108.69565217389</v>
      </c>
      <c r="Q32" s="32">
        <f>Q31+Q30</f>
        <v>195934.78260869565</v>
      </c>
    </row>
    <row r="33" spans="4:19" ht="13.5" customHeight="1">
      <c r="D33" s="10" t="s">
        <v>38</v>
      </c>
      <c r="E33" s="18" t="s">
        <v>24</v>
      </c>
      <c r="F33" s="12">
        <v>141.5</v>
      </c>
      <c r="G33" s="19" t="s">
        <v>25</v>
      </c>
      <c r="H33" s="20">
        <v>13</v>
      </c>
      <c r="I33" s="8">
        <f t="shared" si="16"/>
        <v>1839.5</v>
      </c>
      <c r="L33" s="715"/>
      <c r="M33" s="715"/>
      <c r="N33" s="715"/>
      <c r="O33" s="715"/>
      <c r="P33" s="715"/>
    </row>
    <row r="34" spans="4:19" ht="13.5" customHeight="1">
      <c r="D34" s="16" t="s">
        <v>39</v>
      </c>
      <c r="E34" s="11" t="s">
        <v>29</v>
      </c>
      <c r="F34" s="11">
        <v>1</v>
      </c>
      <c r="G34" s="19" t="s">
        <v>25</v>
      </c>
      <c r="H34" s="21"/>
      <c r="I34" s="8">
        <f t="shared" si="16"/>
        <v>0</v>
      </c>
      <c r="L34" s="27">
        <f t="shared" ref="L34:O34" si="19">L30-L26</f>
        <v>171260.86956521741</v>
      </c>
      <c r="M34" s="27">
        <f t="shared" si="19"/>
        <v>133108.69565217389</v>
      </c>
      <c r="N34" s="27">
        <f t="shared" si="19"/>
        <v>133108.69565217389</v>
      </c>
      <c r="O34" s="27">
        <f t="shared" si="19"/>
        <v>133108.69565217389</v>
      </c>
      <c r="P34" s="27">
        <f>P30-P26</f>
        <v>133108.69565217389</v>
      </c>
      <c r="Q34" s="27">
        <f>Q30-Q26</f>
        <v>76134.782608695648</v>
      </c>
    </row>
    <row r="35" spans="4:19" ht="13.5" customHeight="1">
      <c r="D35" s="16"/>
      <c r="E35" s="11"/>
      <c r="F35" s="11"/>
      <c r="G35" s="19" t="s">
        <v>25</v>
      </c>
      <c r="H35" s="21"/>
      <c r="I35" s="8">
        <f t="shared" si="16"/>
        <v>0</v>
      </c>
      <c r="L35" s="27">
        <f t="shared" ref="L35:Q35" si="20">L31+L34</f>
        <v>201260.86956521741</v>
      </c>
      <c r="M35" s="27">
        <f t="shared" si="20"/>
        <v>163108.69565217389</v>
      </c>
      <c r="N35" s="27">
        <f t="shared" si="20"/>
        <v>163108.69565217389</v>
      </c>
      <c r="O35" s="27">
        <f t="shared" si="20"/>
        <v>163108.69565217389</v>
      </c>
      <c r="P35" s="27">
        <f t="shared" si="20"/>
        <v>163108.69565217389</v>
      </c>
      <c r="Q35" s="27">
        <f t="shared" si="20"/>
        <v>106134.78260869565</v>
      </c>
    </row>
    <row r="36" spans="4:19" ht="13.5" customHeight="1">
      <c r="D36" s="16"/>
      <c r="E36" s="11"/>
      <c r="F36" s="11"/>
      <c r="G36" s="11" t="s">
        <v>25</v>
      </c>
      <c r="H36" s="21"/>
      <c r="I36" s="8">
        <f t="shared" si="16"/>
        <v>0</v>
      </c>
      <c r="L36" s="27">
        <f>L32*1.21</f>
        <v>487945.65217391303</v>
      </c>
    </row>
    <row r="37" spans="4:19" ht="13.5" customHeight="1">
      <c r="D37" s="23" t="s">
        <v>41</v>
      </c>
      <c r="E37" s="3"/>
      <c r="F37" s="3"/>
      <c r="G37" s="3"/>
      <c r="H37" s="3"/>
      <c r="I37" s="8">
        <f>(SUM(I27:I36)*12)</f>
        <v>377053.80000000005</v>
      </c>
    </row>
    <row r="38" spans="4:19" ht="13.5" customHeight="1">
      <c r="L38" s="27">
        <f t="shared" ref="L38:Q38" si="21">L32-L26</f>
        <v>201260.86956521741</v>
      </c>
      <c r="M38" s="27">
        <f t="shared" si="21"/>
        <v>163108.69565217389</v>
      </c>
      <c r="N38" s="27">
        <f t="shared" si="21"/>
        <v>163108.69565217389</v>
      </c>
      <c r="O38" s="27">
        <f t="shared" si="21"/>
        <v>163108.69565217389</v>
      </c>
      <c r="P38" s="27">
        <f t="shared" si="21"/>
        <v>163108.69565217389</v>
      </c>
      <c r="Q38" s="27">
        <f t="shared" si="21"/>
        <v>106134.78260869565</v>
      </c>
    </row>
    <row r="39" spans="4:19" ht="13.5" customHeight="1">
      <c r="I39" s="681"/>
      <c r="K39" s="26"/>
      <c r="S39" s="728">
        <f>Q32+P32</f>
        <v>516043.47826086951</v>
      </c>
    </row>
    <row r="40" spans="4:19" ht="13.5" customHeight="1">
      <c r="H40" s="681">
        <f>I27/1260</f>
        <v>13.911904761904761</v>
      </c>
      <c r="L40" s="26">
        <f t="shared" ref="L40:Q40" si="22">L26*1.54</f>
        <v>311080</v>
      </c>
      <c r="M40" s="26">
        <f t="shared" si="22"/>
        <v>241780</v>
      </c>
      <c r="N40" s="26">
        <f t="shared" si="22"/>
        <v>241780</v>
      </c>
      <c r="O40" s="26">
        <f t="shared" si="22"/>
        <v>241780</v>
      </c>
      <c r="P40" s="26">
        <f t="shared" si="22"/>
        <v>241780</v>
      </c>
      <c r="Q40" s="26">
        <f t="shared" si="22"/>
        <v>138292</v>
      </c>
      <c r="S40" s="728">
        <f>S39-P26-Q26</f>
        <v>269243.47826086951</v>
      </c>
    </row>
    <row r="41" spans="4:19" ht="13.5" customHeight="1">
      <c r="L41" s="26">
        <v>30000</v>
      </c>
      <c r="M41" s="26">
        <v>30000</v>
      </c>
      <c r="N41" s="26">
        <v>30000</v>
      </c>
      <c r="O41" s="26">
        <v>30000</v>
      </c>
      <c r="P41" s="26">
        <v>30000</v>
      </c>
      <c r="Q41" s="26">
        <v>30000</v>
      </c>
      <c r="R41" s="26"/>
    </row>
    <row r="42" spans="4:19" ht="13.5" customHeight="1">
      <c r="L42" s="26"/>
    </row>
    <row r="43" spans="4:19" ht="13.5" customHeight="1">
      <c r="L43" s="26">
        <f t="shared" ref="L43:Q43" si="23">L40+L41</f>
        <v>341080</v>
      </c>
      <c r="M43" s="26">
        <f t="shared" si="23"/>
        <v>271780</v>
      </c>
      <c r="N43" s="26">
        <f t="shared" si="23"/>
        <v>271780</v>
      </c>
      <c r="O43" s="26">
        <f t="shared" si="23"/>
        <v>271780</v>
      </c>
      <c r="P43" s="26">
        <f t="shared" si="23"/>
        <v>271780</v>
      </c>
      <c r="Q43" s="26">
        <f t="shared" si="23"/>
        <v>168292</v>
      </c>
    </row>
    <row r="52" spans="1:22" ht="13.5" customHeight="1">
      <c r="D52" s="1" t="s">
        <v>3</v>
      </c>
      <c r="E52" s="1" t="s">
        <v>4</v>
      </c>
      <c r="F52" s="1" t="s">
        <v>5</v>
      </c>
      <c r="G52" s="1" t="s">
        <v>6</v>
      </c>
      <c r="H52" s="1" t="s">
        <v>7</v>
      </c>
      <c r="I52" s="1" t="s">
        <v>8</v>
      </c>
      <c r="J52" s="1" t="s">
        <v>9</v>
      </c>
      <c r="K52" s="33" t="s">
        <v>10</v>
      </c>
      <c r="L52" s="1" t="s">
        <v>11</v>
      </c>
      <c r="M52" s="1" t="s">
        <v>12</v>
      </c>
      <c r="N52" s="1" t="s">
        <v>13</v>
      </c>
      <c r="O52" s="33" t="s">
        <v>14</v>
      </c>
      <c r="P52" s="33" t="s">
        <v>15</v>
      </c>
      <c r="Q52" s="2" t="s">
        <v>16</v>
      </c>
      <c r="R52" s="2" t="s">
        <v>17</v>
      </c>
      <c r="S52" s="2" t="s">
        <v>18</v>
      </c>
      <c r="T52" s="2" t="s">
        <v>19</v>
      </c>
      <c r="U52" s="2" t="s">
        <v>20</v>
      </c>
      <c r="V52" s="2" t="s">
        <v>21</v>
      </c>
    </row>
    <row r="53" spans="1:22" ht="13.5" customHeight="1">
      <c r="D53" s="16" t="s">
        <v>32</v>
      </c>
      <c r="E53" s="11" t="s">
        <v>24</v>
      </c>
      <c r="F53" s="12">
        <v>500</v>
      </c>
      <c r="G53" s="13" t="s">
        <v>25</v>
      </c>
      <c r="H53" s="8">
        <v>12.35</v>
      </c>
      <c r="I53" s="9">
        <f t="shared" ref="I53:I55" si="24">H53*$E$19</f>
        <v>300.47549999999995</v>
      </c>
      <c r="J53" s="9">
        <f t="shared" ref="J53:J56" si="25">F53*I53</f>
        <v>150237.74999999997</v>
      </c>
      <c r="K53" s="14">
        <f t="shared" ref="K53:K56" si="26">J53*0.21</f>
        <v>31549.927499999994</v>
      </c>
      <c r="L53" s="9">
        <v>47</v>
      </c>
      <c r="M53" s="9">
        <f t="shared" ref="M53:M56" si="27">L53*F53</f>
        <v>23500</v>
      </c>
      <c r="N53" s="9">
        <f t="shared" ref="N53:N56" si="28">M53*0.21</f>
        <v>4935</v>
      </c>
      <c r="O53" s="14">
        <f t="shared" ref="O53:O56" si="29">J53+M53</f>
        <v>173737.74999999997</v>
      </c>
      <c r="P53" s="14">
        <f t="shared" ref="P53:P56" si="30">SUM(J53:N53)</f>
        <v>210269.67749999996</v>
      </c>
      <c r="Q53" s="3" t="s">
        <v>33</v>
      </c>
      <c r="R53" s="3"/>
      <c r="S53" s="3"/>
      <c r="T53" s="3" t="s">
        <v>34</v>
      </c>
      <c r="U53" s="3"/>
    </row>
    <row r="54" spans="1:22" ht="13.5" customHeight="1">
      <c r="D54" s="16" t="s">
        <v>35</v>
      </c>
      <c r="E54" s="11" t="s">
        <v>24</v>
      </c>
      <c r="F54" s="12">
        <v>225</v>
      </c>
      <c r="G54" s="13" t="s">
        <v>25</v>
      </c>
      <c r="H54" s="8">
        <v>13.3</v>
      </c>
      <c r="I54" s="9">
        <f t="shared" si="24"/>
        <v>323.589</v>
      </c>
      <c r="J54" s="9">
        <f t="shared" si="25"/>
        <v>72807.524999999994</v>
      </c>
      <c r="K54" s="14">
        <f t="shared" si="26"/>
        <v>15289.580249999999</v>
      </c>
      <c r="L54" s="9">
        <f t="shared" ref="L54:L55" si="31">1.5*$E$19</f>
        <v>36.494999999999997</v>
      </c>
      <c r="M54" s="9">
        <f t="shared" si="27"/>
        <v>8211.375</v>
      </c>
      <c r="N54" s="9">
        <f t="shared" si="28"/>
        <v>1724.3887499999998</v>
      </c>
      <c r="O54" s="14">
        <f t="shared" si="29"/>
        <v>81018.899999999994</v>
      </c>
      <c r="P54" s="14">
        <f t="shared" si="30"/>
        <v>98069.363999999987</v>
      </c>
      <c r="Q54" s="3" t="s">
        <v>36</v>
      </c>
      <c r="R54" s="3"/>
      <c r="S54" s="3"/>
      <c r="T54" s="3" t="s">
        <v>34</v>
      </c>
      <c r="U54" s="3"/>
    </row>
    <row r="55" spans="1:22" ht="13.5" customHeight="1">
      <c r="D55" s="16" t="s">
        <v>37</v>
      </c>
      <c r="E55" s="11" t="s">
        <v>24</v>
      </c>
      <c r="F55" s="12">
        <v>50</v>
      </c>
      <c r="G55" s="13" t="s">
        <v>25</v>
      </c>
      <c r="H55" s="8">
        <v>45</v>
      </c>
      <c r="I55" s="9">
        <f t="shared" si="24"/>
        <v>1094.8499999999999</v>
      </c>
      <c r="J55" s="9">
        <f t="shared" si="25"/>
        <v>54742.499999999993</v>
      </c>
      <c r="K55" s="14">
        <f t="shared" si="26"/>
        <v>11495.924999999997</v>
      </c>
      <c r="L55" s="9">
        <f t="shared" si="31"/>
        <v>36.494999999999997</v>
      </c>
      <c r="M55" s="9">
        <f t="shared" si="27"/>
        <v>1824.7499999999998</v>
      </c>
      <c r="N55" s="9">
        <f t="shared" si="28"/>
        <v>383.19749999999993</v>
      </c>
      <c r="O55" s="14">
        <f t="shared" si="29"/>
        <v>56567.249999999993</v>
      </c>
      <c r="P55" s="14">
        <f t="shared" si="30"/>
        <v>68482.867499999978</v>
      </c>
      <c r="Q55" s="3" t="s">
        <v>33</v>
      </c>
      <c r="R55" s="3"/>
      <c r="S55" s="3"/>
      <c r="T55" s="3" t="s">
        <v>34</v>
      </c>
      <c r="U55" s="3"/>
    </row>
    <row r="56" spans="1:22" ht="13.5" customHeight="1">
      <c r="D56" s="10" t="s">
        <v>59</v>
      </c>
      <c r="E56" s="18" t="s">
        <v>22</v>
      </c>
      <c r="F56" s="12">
        <v>140</v>
      </c>
      <c r="G56" s="19" t="s">
        <v>25</v>
      </c>
      <c r="H56" s="20" t="s">
        <v>60</v>
      </c>
      <c r="I56" s="9">
        <f>14*26</f>
        <v>364</v>
      </c>
      <c r="J56" s="9">
        <f t="shared" si="25"/>
        <v>50960</v>
      </c>
      <c r="K56" s="14">
        <f t="shared" si="26"/>
        <v>10701.6</v>
      </c>
      <c r="L56" s="9">
        <v>39</v>
      </c>
      <c r="M56" s="9">
        <f t="shared" si="27"/>
        <v>5460</v>
      </c>
      <c r="N56" s="9">
        <f t="shared" si="28"/>
        <v>1146.5999999999999</v>
      </c>
      <c r="O56" s="14">
        <f t="shared" si="29"/>
        <v>56420</v>
      </c>
      <c r="P56" s="14">
        <f t="shared" si="30"/>
        <v>68307.200000000012</v>
      </c>
      <c r="Q56" s="3" t="s">
        <v>33</v>
      </c>
      <c r="R56" s="3"/>
      <c r="S56" s="3"/>
      <c r="T56" s="3" t="s">
        <v>34</v>
      </c>
      <c r="U56" s="3"/>
    </row>
    <row r="57" spans="1:22" ht="13.5" customHeight="1">
      <c r="L57" s="26"/>
    </row>
    <row r="58" spans="1:22" ht="13.5" customHeight="1">
      <c r="L58" s="26"/>
    </row>
    <row r="59" spans="1:22" ht="13.5" customHeight="1">
      <c r="L59" s="26"/>
    </row>
    <row r="60" spans="1:22" ht="13.5" customHeight="1">
      <c r="L60" s="26"/>
    </row>
    <row r="61" spans="1:22" ht="13.5" customHeight="1">
      <c r="L61" s="26"/>
    </row>
    <row r="62" spans="1:22" ht="13.5" customHeight="1">
      <c r="A62" t="s">
        <v>61</v>
      </c>
      <c r="B62" t="s">
        <v>62</v>
      </c>
      <c r="C62" s="683" t="s">
        <v>2</v>
      </c>
      <c r="D62" s="686" t="s">
        <v>3</v>
      </c>
      <c r="E62" s="687" t="s">
        <v>4</v>
      </c>
      <c r="F62" s="687" t="s">
        <v>5</v>
      </c>
      <c r="G62" s="687" t="s">
        <v>6</v>
      </c>
      <c r="H62" s="687" t="s">
        <v>7</v>
      </c>
      <c r="I62" s="687" t="s">
        <v>63</v>
      </c>
      <c r="J62" s="687" t="s">
        <v>64</v>
      </c>
      <c r="K62" s="687" t="s">
        <v>65</v>
      </c>
      <c r="L62" s="687" t="s">
        <v>66</v>
      </c>
      <c r="M62" s="687" t="s">
        <v>67</v>
      </c>
      <c r="N62" s="687" t="s">
        <v>68</v>
      </c>
      <c r="O62" s="687" t="s">
        <v>69</v>
      </c>
      <c r="P62" s="687" t="s">
        <v>70</v>
      </c>
      <c r="Q62" s="687" t="s">
        <v>71</v>
      </c>
      <c r="R62" s="687" t="s">
        <v>72</v>
      </c>
      <c r="S62" s="687" t="s">
        <v>73</v>
      </c>
      <c r="T62" s="687" t="s">
        <v>74</v>
      </c>
      <c r="U62" s="708" t="s">
        <v>10</v>
      </c>
    </row>
    <row r="63" spans="1:22" ht="17" customHeight="1">
      <c r="A63" s="725" t="b">
        <v>1</v>
      </c>
      <c r="B63" s="725" t="b">
        <v>1</v>
      </c>
      <c r="C63" s="725" t="b">
        <v>1</v>
      </c>
      <c r="D63" s="688" t="s">
        <v>23</v>
      </c>
      <c r="E63" s="621" t="s">
        <v>24</v>
      </c>
      <c r="F63" s="718">
        <v>1260</v>
      </c>
      <c r="G63" s="719" t="s">
        <v>25</v>
      </c>
      <c r="H63" s="689" t="s">
        <v>75</v>
      </c>
      <c r="I63" s="8">
        <v>17529</v>
      </c>
      <c r="J63" s="690" t="s">
        <v>27</v>
      </c>
      <c r="K63" s="691" t="s">
        <v>76</v>
      </c>
      <c r="L63" s="691" t="s">
        <v>76</v>
      </c>
      <c r="M63" s="692" t="s">
        <v>77</v>
      </c>
      <c r="N63" s="692" t="s">
        <v>78</v>
      </c>
      <c r="O63" s="693" t="s">
        <v>79</v>
      </c>
      <c r="P63" s="692" t="s">
        <v>80</v>
      </c>
      <c r="Q63" s="691" t="s">
        <v>76</v>
      </c>
      <c r="R63" s="691" t="s">
        <v>76</v>
      </c>
      <c r="S63" s="691" t="s">
        <v>76</v>
      </c>
      <c r="T63" s="703">
        <v>44407</v>
      </c>
      <c r="U63" s="703">
        <f>I63*0.21*G73+T63*0.21</f>
        <v>98702.335200000001</v>
      </c>
    </row>
    <row r="64" spans="1:22" ht="17" customHeight="1">
      <c r="A64" s="725" t="b">
        <v>1</v>
      </c>
      <c r="B64" s="725" t="b">
        <v>1</v>
      </c>
      <c r="C64" s="725" t="b">
        <v>1</v>
      </c>
      <c r="D64" s="694" t="s">
        <v>28</v>
      </c>
      <c r="E64" s="719" t="s">
        <v>29</v>
      </c>
      <c r="F64" s="718">
        <v>1</v>
      </c>
      <c r="G64" s="719" t="s">
        <v>25</v>
      </c>
      <c r="H64" s="720" t="s">
        <v>75</v>
      </c>
      <c r="I64" s="9">
        <v>3500</v>
      </c>
      <c r="J64" s="695" t="s">
        <v>81</v>
      </c>
      <c r="K64" s="691" t="s">
        <v>76</v>
      </c>
      <c r="L64" s="691" t="s">
        <v>76</v>
      </c>
      <c r="M64" s="692" t="s">
        <v>82</v>
      </c>
      <c r="N64" s="691" t="s">
        <v>76</v>
      </c>
      <c r="O64" s="691" t="s">
        <v>76</v>
      </c>
      <c r="P64" s="691" t="s">
        <v>76</v>
      </c>
      <c r="Q64" s="691" t="s">
        <v>76</v>
      </c>
      <c r="R64" s="691" t="s">
        <v>76</v>
      </c>
      <c r="S64" s="691" t="s">
        <v>76</v>
      </c>
      <c r="T64" s="703">
        <v>500</v>
      </c>
      <c r="U64" s="703">
        <f>I64*0.21+T64*0.21</f>
        <v>840</v>
      </c>
    </row>
    <row r="65" spans="1:21" ht="17" customHeight="1">
      <c r="A65" s="726" t="b">
        <v>0</v>
      </c>
      <c r="B65" s="726" t="b">
        <v>0</v>
      </c>
      <c r="C65" s="726" t="b">
        <v>0</v>
      </c>
      <c r="D65" s="696" t="s">
        <v>31</v>
      </c>
      <c r="E65" s="719" t="s">
        <v>29</v>
      </c>
      <c r="F65" s="697">
        <v>0</v>
      </c>
      <c r="G65" s="719" t="s">
        <v>25</v>
      </c>
      <c r="H65" s="720" t="s">
        <v>75</v>
      </c>
      <c r="I65" s="8">
        <v>600</v>
      </c>
      <c r="J65" s="690" t="s">
        <v>75</v>
      </c>
      <c r="K65" s="691" t="s">
        <v>76</v>
      </c>
      <c r="L65" s="691" t="s">
        <v>76</v>
      </c>
      <c r="M65" s="693" t="s">
        <v>75</v>
      </c>
      <c r="N65" s="693" t="s">
        <v>75</v>
      </c>
      <c r="O65" s="693" t="s">
        <v>75</v>
      </c>
      <c r="P65" s="691" t="s">
        <v>76</v>
      </c>
      <c r="Q65" s="693" t="s">
        <v>75</v>
      </c>
      <c r="R65" s="693" t="s">
        <v>75</v>
      </c>
      <c r="S65" s="698" t="s">
        <v>75</v>
      </c>
      <c r="T65" s="699">
        <v>0</v>
      </c>
      <c r="U65" s="703">
        <f>I65*G73*0.21</f>
        <v>3059.2799999999997</v>
      </c>
    </row>
    <row r="66" spans="1:21" ht="17" customHeight="1">
      <c r="A66" s="725" t="b">
        <v>1</v>
      </c>
      <c r="B66" s="725" t="b">
        <v>1</v>
      </c>
      <c r="C66" s="725" t="b">
        <v>1</v>
      </c>
      <c r="D66" s="700" t="s">
        <v>32</v>
      </c>
      <c r="E66" s="719" t="s">
        <v>24</v>
      </c>
      <c r="F66" s="721">
        <v>484.96</v>
      </c>
      <c r="G66" s="719" t="s">
        <v>25</v>
      </c>
      <c r="H66" s="719">
        <v>12.35</v>
      </c>
      <c r="I66" s="8">
        <f>F66*H66</f>
        <v>5989.2559999999994</v>
      </c>
      <c r="J66" s="690" t="s">
        <v>83</v>
      </c>
      <c r="K66" s="691" t="s">
        <v>76</v>
      </c>
      <c r="L66" s="691" t="s">
        <v>76</v>
      </c>
      <c r="M66" s="692" t="s">
        <v>84</v>
      </c>
      <c r="N66" s="692" t="s">
        <v>85</v>
      </c>
      <c r="O66" s="693" t="s">
        <v>83</v>
      </c>
      <c r="P66" s="691" t="s">
        <v>76</v>
      </c>
      <c r="Q66" s="693">
        <v>42803.75</v>
      </c>
      <c r="R66" s="691" t="s">
        <v>76</v>
      </c>
      <c r="S66" s="722">
        <v>1.8</v>
      </c>
      <c r="T66" s="705">
        <v>900</v>
      </c>
      <c r="U66" s="703">
        <f>(T66+I66)*G73*0.21</f>
        <v>35126.9384928</v>
      </c>
    </row>
    <row r="67" spans="1:21" ht="17" customHeight="1">
      <c r="A67" s="726" t="b">
        <v>0</v>
      </c>
      <c r="B67" s="725" t="b">
        <v>1</v>
      </c>
      <c r="C67" s="726" t="b">
        <v>0</v>
      </c>
      <c r="D67" s="700" t="s">
        <v>35</v>
      </c>
      <c r="E67" s="719" t="s">
        <v>24</v>
      </c>
      <c r="F67" s="721">
        <v>220.33</v>
      </c>
      <c r="G67" s="719" t="s">
        <v>25</v>
      </c>
      <c r="H67" s="719">
        <v>13.3</v>
      </c>
      <c r="I67" s="8">
        <f>F67*H67</f>
        <v>2930.3890000000001</v>
      </c>
      <c r="J67" s="690" t="s">
        <v>83</v>
      </c>
      <c r="K67" s="691" t="s">
        <v>76</v>
      </c>
      <c r="L67" s="691" t="s">
        <v>76</v>
      </c>
      <c r="M67" s="692" t="s">
        <v>86</v>
      </c>
      <c r="N67" s="692" t="s">
        <v>87</v>
      </c>
      <c r="O67" s="693" t="s">
        <v>34</v>
      </c>
      <c r="P67" s="691" t="s">
        <v>76</v>
      </c>
      <c r="Q67" s="691" t="s">
        <v>76</v>
      </c>
      <c r="R67" s="693">
        <v>9792</v>
      </c>
      <c r="S67" s="698" t="s">
        <v>88</v>
      </c>
      <c r="T67" s="704">
        <v>8601.06</v>
      </c>
      <c r="U67" s="703">
        <f>I67*G73*0.21+T67*0.21</f>
        <v>16747.6900332</v>
      </c>
    </row>
    <row r="68" spans="1:21" ht="17" customHeight="1">
      <c r="A68" s="725" t="b">
        <v>1</v>
      </c>
      <c r="B68" s="725" t="b">
        <v>1</v>
      </c>
      <c r="C68" s="725" t="b">
        <v>1</v>
      </c>
      <c r="D68" s="700" t="s">
        <v>37</v>
      </c>
      <c r="E68" s="719" t="s">
        <v>24</v>
      </c>
      <c r="F68" s="721">
        <v>48.48</v>
      </c>
      <c r="G68" s="719" t="s">
        <v>25</v>
      </c>
      <c r="H68" s="719">
        <v>45</v>
      </c>
      <c r="I68" s="8">
        <f>F68*H68</f>
        <v>2181.6</v>
      </c>
      <c r="J68" s="690" t="s">
        <v>83</v>
      </c>
      <c r="K68" s="691" t="s">
        <v>76</v>
      </c>
      <c r="L68" s="691" t="s">
        <v>76</v>
      </c>
      <c r="M68" s="692" t="s">
        <v>89</v>
      </c>
      <c r="N68" s="692" t="s">
        <v>82</v>
      </c>
      <c r="O68" s="693" t="s">
        <v>34</v>
      </c>
      <c r="P68" s="693">
        <v>6750</v>
      </c>
      <c r="Q68" s="691" t="s">
        <v>76</v>
      </c>
      <c r="R68" s="691" t="s">
        <v>76</v>
      </c>
      <c r="S68" s="691" t="s">
        <v>76</v>
      </c>
      <c r="T68" s="703">
        <v>2200</v>
      </c>
      <c r="U68" s="703">
        <f>I68*G73*0.21+T68*0.21</f>
        <v>11585.542079999999</v>
      </c>
    </row>
    <row r="69" spans="1:21" ht="17" customHeight="1">
      <c r="A69" s="725" t="b">
        <v>1</v>
      </c>
      <c r="B69" s="725" t="b">
        <v>1</v>
      </c>
      <c r="C69" s="725" t="b">
        <v>1</v>
      </c>
      <c r="D69" s="694" t="s">
        <v>90</v>
      </c>
      <c r="E69" s="723" t="s">
        <v>24</v>
      </c>
      <c r="F69" s="721">
        <v>139.43</v>
      </c>
      <c r="G69" s="719" t="s">
        <v>25</v>
      </c>
      <c r="H69" s="723">
        <v>13</v>
      </c>
      <c r="I69" s="8">
        <f>F69*H69</f>
        <v>1812.5900000000001</v>
      </c>
      <c r="J69" s="690" t="s">
        <v>91</v>
      </c>
      <c r="K69" s="691" t="s">
        <v>76</v>
      </c>
      <c r="L69" s="691" t="s">
        <v>76</v>
      </c>
      <c r="M69" s="692" t="s">
        <v>92</v>
      </c>
      <c r="N69" s="692" t="s">
        <v>93</v>
      </c>
      <c r="O69" s="693" t="s">
        <v>34</v>
      </c>
      <c r="P69" s="691" t="s">
        <v>76</v>
      </c>
      <c r="Q69" s="691" t="s">
        <v>76</v>
      </c>
      <c r="R69" s="692" t="s">
        <v>94</v>
      </c>
      <c r="S69" s="698" t="s">
        <v>95</v>
      </c>
      <c r="T69" s="704">
        <v>5660</v>
      </c>
      <c r="U69" s="703">
        <f>I69*G73*0.21+T69*0.21</f>
        <v>10430.633892000002</v>
      </c>
    </row>
    <row r="70" spans="1:21" ht="17" customHeight="1">
      <c r="A70" s="726" t="b">
        <v>0</v>
      </c>
      <c r="B70" s="726" t="b">
        <v>0</v>
      </c>
      <c r="C70" s="726" t="b">
        <v>1</v>
      </c>
      <c r="D70" s="700" t="s">
        <v>39</v>
      </c>
      <c r="E70" s="719" t="s">
        <v>29</v>
      </c>
      <c r="F70" s="718">
        <v>1</v>
      </c>
      <c r="G70" s="719" t="s">
        <v>25</v>
      </c>
      <c r="H70" s="720" t="s">
        <v>75</v>
      </c>
      <c r="I70" s="9">
        <v>4166.67</v>
      </c>
      <c r="J70" s="695" t="s">
        <v>81</v>
      </c>
      <c r="K70" s="691" t="s">
        <v>76</v>
      </c>
      <c r="L70" s="691" t="s">
        <v>76</v>
      </c>
      <c r="M70" s="692" t="s">
        <v>96</v>
      </c>
      <c r="N70" s="691" t="s">
        <v>76</v>
      </c>
      <c r="O70" s="691" t="s">
        <v>76</v>
      </c>
      <c r="P70" s="691" t="s">
        <v>76</v>
      </c>
      <c r="Q70" s="691" t="s">
        <v>76</v>
      </c>
      <c r="R70" s="691" t="s">
        <v>76</v>
      </c>
      <c r="S70" s="691" t="s">
        <v>76</v>
      </c>
      <c r="T70" s="691" t="s">
        <v>76</v>
      </c>
      <c r="U70" s="703"/>
    </row>
    <row r="71" spans="1:21" ht="13.5" customHeight="1">
      <c r="D71" s="701"/>
      <c r="E71" s="701"/>
      <c r="F71" s="701"/>
      <c r="G71" s="701"/>
      <c r="H71" s="701"/>
      <c r="I71" s="701"/>
      <c r="J71" s="701"/>
      <c r="K71" s="701"/>
      <c r="L71" s="701"/>
      <c r="M71" s="701"/>
      <c r="N71" s="701"/>
      <c r="O71" s="701"/>
      <c r="P71" s="701"/>
      <c r="Q71" s="701"/>
      <c r="R71" s="701"/>
      <c r="S71" s="701"/>
      <c r="T71" s="701"/>
      <c r="U71" s="710">
        <f>SUM(U63:U69)</f>
        <v>176492.41969800001</v>
      </c>
    </row>
    <row r="72" spans="1:21" ht="13.5" customHeight="1">
      <c r="I72" s="709">
        <f>I63+I65+I66+I67+I68+I69</f>
        <v>31042.834999999999</v>
      </c>
      <c r="J72" s="709">
        <f>I72*G73+I64+I70</f>
        <v>761386.70380000002</v>
      </c>
      <c r="L72" s="26"/>
    </row>
    <row r="73" spans="1:21" ht="13.5" customHeight="1">
      <c r="E73" t="s">
        <v>97</v>
      </c>
      <c r="G73" s="702">
        <v>24.28</v>
      </c>
      <c r="L73" s="26"/>
    </row>
    <row r="74" spans="1:21" ht="13.5" customHeight="1">
      <c r="I74">
        <f>Provoz!AO12/2173</f>
        <v>388.68235793833412</v>
      </c>
      <c r="K74" s="709">
        <f>I65*G73</f>
        <v>14568</v>
      </c>
      <c r="L74" s="26"/>
      <c r="T74" s="710">
        <f>T63+T64+T67+T68+T69+T66*G73</f>
        <v>83220.06</v>
      </c>
      <c r="U74" s="710">
        <f>T63+T64+T67+T68+T69</f>
        <v>61368.06</v>
      </c>
    </row>
    <row r="75" spans="1:21" ht="13.5" customHeight="1">
      <c r="L75" s="26"/>
      <c r="U75" s="716">
        <f>T66*G73</f>
        <v>21852</v>
      </c>
    </row>
    <row r="76" spans="1:21" ht="13.5" customHeight="1">
      <c r="L76" s="26"/>
      <c r="U76" s="716">
        <f>U75+U74</f>
        <v>83220.06</v>
      </c>
    </row>
    <row r="77" spans="1:21" ht="13.5" customHeight="1">
      <c r="G77">
        <f>821*G73</f>
        <v>19933.88</v>
      </c>
      <c r="I77" s="709">
        <f>I63*3</f>
        <v>52587</v>
      </c>
      <c r="L77" s="26"/>
      <c r="U77" s="716">
        <f>U76/2173</f>
        <v>38.297312471237916</v>
      </c>
    </row>
    <row r="78" spans="1:21" ht="13.5" customHeight="1">
      <c r="I78" s="709">
        <f>I77*G73</f>
        <v>1276812.3600000001</v>
      </c>
      <c r="L78" s="26"/>
    </row>
    <row r="81" spans="8:11" ht="15" customHeight="1">
      <c r="K81">
        <v>25.2</v>
      </c>
    </row>
    <row r="82" spans="8:11" ht="13.5" customHeight="1">
      <c r="H82" s="688" t="s">
        <v>23</v>
      </c>
      <c r="I82" s="764">
        <f>I63</f>
        <v>17529</v>
      </c>
    </row>
    <row r="83" spans="8:11" ht="13.5" customHeight="1">
      <c r="H83" s="694" t="s">
        <v>28</v>
      </c>
      <c r="I83" s="764">
        <f>I64/K81</f>
        <v>138.88888888888889</v>
      </c>
    </row>
    <row r="84" spans="8:11" ht="13.5" customHeight="1">
      <c r="H84" s="696" t="s">
        <v>31</v>
      </c>
      <c r="I84" s="764">
        <v>822</v>
      </c>
      <c r="K84" s="724">
        <f>20000/I84%</f>
        <v>2433.0900243309002</v>
      </c>
    </row>
    <row r="85" spans="8:11" ht="13.5" customHeight="1">
      <c r="H85" s="700" t="s">
        <v>32</v>
      </c>
      <c r="I85" s="764">
        <f>I66</f>
        <v>5989.2559999999994</v>
      </c>
      <c r="J85" s="682"/>
      <c r="K85" s="682"/>
    </row>
    <row r="86" spans="8:11" ht="13.5" customHeight="1">
      <c r="H86" s="700" t="s">
        <v>35</v>
      </c>
      <c r="I86" s="764">
        <f>I67</f>
        <v>2930.3890000000001</v>
      </c>
      <c r="J86" s="682"/>
      <c r="K86" s="682"/>
    </row>
    <row r="87" spans="8:11" ht="13.5" customHeight="1">
      <c r="H87" s="700" t="s">
        <v>37</v>
      </c>
      <c r="I87" s="764">
        <f>I68</f>
        <v>2181.6</v>
      </c>
      <c r="J87" s="682"/>
      <c r="K87" s="682"/>
    </row>
    <row r="88" spans="8:11" ht="13.5" customHeight="1">
      <c r="H88" s="694" t="s">
        <v>90</v>
      </c>
      <c r="I88" s="764">
        <f>I69</f>
        <v>1812.5900000000001</v>
      </c>
      <c r="J88" s="682"/>
      <c r="K88" s="682"/>
    </row>
    <row r="89" spans="8:11" ht="13.5" customHeight="1">
      <c r="H89" s="700" t="s">
        <v>39</v>
      </c>
      <c r="I89" s="764">
        <f>I70/K81</f>
        <v>165.34404761904761</v>
      </c>
      <c r="J89" s="682"/>
      <c r="K89" s="682"/>
    </row>
    <row r="90" spans="8:11" ht="15" customHeight="1">
      <c r="I90" s="764">
        <f>SUM(I82:I89)</f>
        <v>31569.067936507938</v>
      </c>
    </row>
    <row r="91" spans="8:11" ht="15" customHeight="1">
      <c r="I91" s="709">
        <f>I90*12</f>
        <v>378828.81523809524</v>
      </c>
    </row>
    <row r="93" spans="8:11" ht="15" customHeight="1">
      <c r="I93">
        <f>54890</f>
        <v>54890</v>
      </c>
    </row>
    <row r="94" spans="8:11" ht="15" customHeight="1">
      <c r="I94">
        <f>103000</f>
        <v>103000</v>
      </c>
    </row>
    <row r="95" spans="8:11" ht="15" customHeight="1">
      <c r="I95">
        <f>I93-I94</f>
        <v>-48110</v>
      </c>
    </row>
    <row r="96" spans="8:11" ht="15" customHeight="1">
      <c r="I96">
        <f>I95/K81</f>
        <v>-1909.1269841269841</v>
      </c>
    </row>
    <row r="97" spans="9:11" ht="15" customHeight="1">
      <c r="I97" s="709">
        <f>I91+I96</f>
        <v>376919.68825396826</v>
      </c>
      <c r="K97" s="709">
        <f>I97/0.07</f>
        <v>5384566.9750566892</v>
      </c>
    </row>
    <row r="99" spans="9:11" ht="15" customHeight="1">
      <c r="I99">
        <v>377053.8</v>
      </c>
    </row>
    <row r="100" spans="9:11" ht="15" customHeight="1">
      <c r="I100" s="709">
        <f>I99-I97</f>
        <v>134.11174603173276</v>
      </c>
    </row>
  </sheetData>
  <mergeCells count="1">
    <mergeCell ref="H14:Q14"/>
  </mergeCells>
  <conditionalFormatting sqref="D2:G10 N16:N21 D27:G35 D53:P56">
    <cfRule type="cellIs" dxfId="46" priority="6" operator="equal">
      <formula>0</formula>
    </cfRule>
  </conditionalFormatting>
  <conditionalFormatting sqref="I63:I70">
    <cfRule type="cellIs" dxfId="45" priority="2" operator="equal">
      <formula>0</formula>
    </cfRule>
  </conditionalFormatting>
  <conditionalFormatting sqref="K2:K10 N2:N10 H2:J11 L2:M11 O3:P10 H27:H36 I27:I37">
    <cfRule type="cellIs" dxfId="44" priority="7" operator="equal">
      <formula>0</formula>
    </cfRule>
  </conditionalFormatting>
  <dataValidations count="1">
    <dataValidation type="list" allowBlank="1" showErrorMessage="1" sqref="E2:E11 E53:E56 E27:E36" xr:uid="{00000000-0002-0000-0000-000000000000}">
      <formula1>$Z$1:$Z$3</formula1>
    </dataValidation>
  </dataValidations>
  <pageMargins left="0.7" right="0.7" top="0.75" bottom="0.75" header="0" footer="0"/>
  <pageSetup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1B52-2C11-4072-98D1-C3D6EF0FFEF5}">
  <sheetPr>
    <tabColor rgb="FF00FF00"/>
    <outlinePr summaryBelow="0" summaryRight="0"/>
  </sheetPr>
  <dimension ref="A1:CE206"/>
  <sheetViews>
    <sheetView workbookViewId="0">
      <pane xSplit="3" ySplit="4" topLeftCell="AO62" activePane="bottomRight" state="frozen"/>
      <selection pane="topRight" activeCell="D1" sqref="D1"/>
      <selection pane="bottomLeft" activeCell="A5" sqref="A5"/>
      <selection pane="bottomRight" activeCell="AO62" sqref="AO62"/>
    </sheetView>
  </sheetViews>
  <sheetFormatPr baseColWidth="10" defaultColWidth="12.6640625" defaultRowHeight="15" customHeight="1" outlineLevelRow="2" outlineLevelCol="2"/>
  <cols>
    <col min="1" max="1" width="2.33203125" customWidth="1"/>
    <col min="2" max="2" width="9"/>
    <col min="3" max="3" width="40.1640625" customWidth="1"/>
    <col min="4" max="4" width="9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1" width="9.1640625" customWidth="1" outlineLevel="2"/>
    <col min="22" max="26" width="12.6640625" customWidth="1" outlineLevel="2"/>
    <col min="27" max="28" width="13.1640625" customWidth="1" outlineLevel="2"/>
    <col min="29" max="29" width="10.6640625" customWidth="1" outlineLevel="1" collapsed="1"/>
    <col min="30" max="32" width="10.6640625" hidden="1" customWidth="1" outlineLevel="2"/>
    <col min="33" max="33" width="6.5" hidden="1" customWidth="1" outlineLevel="2"/>
    <col min="34" max="34" width="9.6640625" hidden="1" customWidth="1" outlineLevel="2"/>
    <col min="35" max="40" width="6.5" hidden="1" customWidth="1" outlineLevel="2"/>
    <col min="41" max="41" width="9.6640625" customWidth="1" outlineLevel="1"/>
    <col min="42" max="52" width="9.6640625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7" max="77" width="10.83203125" customWidth="1"/>
    <col min="78" max="79" width="9"/>
    <col min="80" max="82" width="9" outlineLevel="1"/>
  </cols>
  <sheetData>
    <row r="1" spans="1:81" ht="26">
      <c r="A1" s="226"/>
      <c r="B1" s="334" t="s">
        <v>358</v>
      </c>
      <c r="C1" s="228">
        <v>45869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6"/>
      <c r="CB1" s="226"/>
      <c r="CC1" s="226"/>
    </row>
    <row r="2" spans="1:81">
      <c r="A2" s="603"/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  <c r="CA2" s="226"/>
      <c r="CB2" s="226"/>
      <c r="CC2" s="226"/>
    </row>
    <row r="3" spans="1:81">
      <c r="A3" s="603"/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  <c r="CA3" s="226"/>
      <c r="CB3" s="226" t="s">
        <v>249</v>
      </c>
      <c r="CC3" s="226" t="s">
        <v>250</v>
      </c>
    </row>
    <row r="4" spans="1:81">
      <c r="A4" s="603"/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231">
        <v>45597</v>
      </c>
      <c r="P4" s="231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  <c r="CA4" s="226"/>
      <c r="CB4" s="226" t="s">
        <v>116</v>
      </c>
      <c r="CC4" s="226"/>
    </row>
    <row r="5" spans="1:81">
      <c r="A5" s="603"/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6" si="0">SUM(E5:BX5)</f>
        <v>16365002</v>
      </c>
      <c r="BZ5" s="775">
        <f>SUM(BY5:BY8)</f>
        <v>29850002</v>
      </c>
      <c r="CA5" s="226"/>
      <c r="CB5" s="237"/>
      <c r="CC5" s="775"/>
    </row>
    <row r="6" spans="1:81">
      <c r="A6" s="603"/>
      <c r="B6" s="787"/>
      <c r="C6" s="232" t="s">
        <v>254</v>
      </c>
      <c r="D6" s="233" t="s">
        <v>253</v>
      </c>
      <c r="E6" s="235"/>
      <c r="F6" s="235"/>
      <c r="G6" s="235"/>
      <c r="H6" s="235"/>
      <c r="I6" s="235"/>
      <c r="J6" s="235"/>
      <c r="K6" s="235">
        <v>885000</v>
      </c>
      <c r="L6" s="235">
        <f>1640000+300000</f>
        <v>1940000</v>
      </c>
      <c r="M6" s="235">
        <f>4260000</f>
        <v>4260000</v>
      </c>
      <c r="N6" s="235"/>
      <c r="O6" s="235">
        <f>50000+270000</f>
        <v>320000</v>
      </c>
      <c r="P6" s="235">
        <v>320000</v>
      </c>
      <c r="Q6" s="235"/>
      <c r="R6" s="235">
        <f>600000+70000</f>
        <v>670000</v>
      </c>
      <c r="S6" s="235"/>
      <c r="T6" s="235"/>
      <c r="U6" s="235"/>
      <c r="V6" s="235">
        <f>2700000+390000</f>
        <v>3090000</v>
      </c>
      <c r="W6" s="235"/>
      <c r="X6" s="235"/>
      <c r="Y6" s="235"/>
      <c r="Z6" s="235">
        <v>2000000</v>
      </c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13485000</v>
      </c>
      <c r="BZ6" s="771"/>
      <c r="CA6" s="226"/>
      <c r="CB6" s="237"/>
      <c r="CC6" s="771"/>
    </row>
    <row r="7" spans="1:81">
      <c r="A7" s="603"/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0</v>
      </c>
      <c r="BZ7" s="771"/>
      <c r="CA7" s="226">
        <f>BZ5+'Summary LIM'!E33+700000*2</f>
        <v>33890895.740000002</v>
      </c>
      <c r="CB7" s="237"/>
      <c r="CC7" s="771"/>
    </row>
    <row r="8" spans="1:81">
      <c r="A8" s="603"/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  <c r="CA8" s="226"/>
      <c r="CB8" s="241"/>
      <c r="CC8" s="774"/>
    </row>
    <row r="9" spans="1:81">
      <c r="A9" s="603"/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>
        <f>-V62</f>
        <v>14609.487199999998</v>
      </c>
      <c r="W9" s="234">
        <v>42489</v>
      </c>
      <c r="X9" s="234">
        <f t="shared" ref="X9:AA9" si="1">-X62</f>
        <v>81607.299899999998</v>
      </c>
      <c r="Y9" s="234">
        <f t="shared" si="1"/>
        <v>103657.2999</v>
      </c>
      <c r="Z9" s="234">
        <f t="shared" si="1"/>
        <v>120317.2999</v>
      </c>
      <c r="AA9" s="234">
        <f t="shared" si="1"/>
        <v>132300</v>
      </c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494980.38689999998</v>
      </c>
      <c r="BZ9" s="775">
        <f>SUM(BY9:BY11)</f>
        <v>78817411.716900006</v>
      </c>
      <c r="CA9" s="226"/>
      <c r="CB9" s="237"/>
      <c r="CC9" s="775"/>
    </row>
    <row r="10" spans="1:81">
      <c r="A10" s="603"/>
      <c r="B10" s="787"/>
      <c r="C10" s="236" t="s">
        <v>259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>
        <v>2981528</v>
      </c>
      <c r="W10" s="235">
        <v>6673023</v>
      </c>
      <c r="X10" s="235">
        <v>7000000</v>
      </c>
      <c r="Y10" s="235">
        <v>4500000</v>
      </c>
      <c r="Z10" s="235">
        <v>3400000</v>
      </c>
      <c r="AA10" s="235">
        <f>27000000-SUM(V10:Z10)</f>
        <v>2445449</v>
      </c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27000000</v>
      </c>
      <c r="BZ10" s="771"/>
      <c r="CA10" s="226"/>
      <c r="CB10" s="237"/>
      <c r="CC10" s="771"/>
    </row>
    <row r="11" spans="1:81">
      <c r="A11" s="603"/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/>
      <c r="L11" s="240"/>
      <c r="M11" s="240">
        <f>6449487.53+48944.52</f>
        <v>6498432.0499999998</v>
      </c>
      <c r="N11" s="240">
        <f>19937831.95</f>
        <v>19937831.949999999</v>
      </c>
      <c r="O11" s="240">
        <f>133478.48+9278006.75</f>
        <v>9411485.2300000004</v>
      </c>
      <c r="P11" s="240">
        <f>186701+7000000+5138503.39+219819.11</f>
        <v>12545023.5</v>
      </c>
      <c r="Q11" s="240">
        <f>2929658.6</f>
        <v>2929658.6</v>
      </c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51322431.330000006</v>
      </c>
      <c r="BZ11" s="776"/>
      <c r="CA11" s="244"/>
      <c r="CB11" s="241"/>
      <c r="CC11" s="776"/>
    </row>
    <row r="12" spans="1:81">
      <c r="A12" s="603"/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>
        <f>(1368.39+21210.09+21210.09)*25</f>
        <v>1094714.25</v>
      </c>
      <c r="S12" s="234">
        <f>161197.41+57199.08+(21210.09+21210.09)*25</f>
        <v>1278900.99</v>
      </c>
      <c r="T12" s="234">
        <f>53732+21210.09*25.2</f>
        <v>588226.26800000004</v>
      </c>
      <c r="U12" s="234">
        <f>SUM(Rentroll!$P$2)</f>
        <v>581991.9467999998</v>
      </c>
      <c r="V12" s="234">
        <f>SUM(Rentroll!$P$2)</f>
        <v>581991.9467999998</v>
      </c>
      <c r="W12" s="234">
        <f t="shared" ref="W12:Z12" si="2">53732.47+21210.09*25</f>
        <v>583984.72</v>
      </c>
      <c r="X12" s="234">
        <f t="shared" si="2"/>
        <v>583984.72</v>
      </c>
      <c r="Y12" s="234">
        <f t="shared" si="2"/>
        <v>583984.72</v>
      </c>
      <c r="Z12" s="234">
        <f t="shared" si="2"/>
        <v>583984.72</v>
      </c>
      <c r="AA12" s="234">
        <f>SUM(Rentroll!$P$2:$P$10)</f>
        <v>1045797.2378791663</v>
      </c>
      <c r="AB12" s="234">
        <f>SUM(Rentroll!$P$2:$P$10)</f>
        <v>1045797.2378791663</v>
      </c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P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Q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R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S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T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U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V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W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X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Y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AZ12" s="234">
        <f>(((Rentroll!$I$63+Rentroll!$I$65+Rentroll!$I$66+Rentroll!$I$67+Rentroll!$I$68+Rentroll!$I$69)*Rentroll!$G$73+Rentroll!$I$64+Rentroll!$I$70)+(SUM(Rentroll!$T$67:$T$69,Rentroll!$T$63:$T$64)+Rentroll!$T$66*Rentroll!$G$73))</f>
        <v>844606.76380000007</v>
      </c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18688639.922958337</v>
      </c>
      <c r="BZ12" s="775">
        <f>SUM(BY12:BY16)</f>
        <v>162493762.55857715</v>
      </c>
      <c r="CA12" s="226"/>
      <c r="CB12" s="237"/>
      <c r="CC12" s="775"/>
    </row>
    <row r="13" spans="1:81">
      <c r="A13" s="603"/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>
        <f>Businessplan_prodej!$J$25</f>
        <v>134227900.78571424</v>
      </c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  <c r="CA13" s="226"/>
      <c r="CB13" s="237"/>
      <c r="CC13" s="771"/>
    </row>
    <row r="14" spans="1:81" ht="16" customHeight="1">
      <c r="A14" s="603"/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>
        <v>6227</v>
      </c>
      <c r="J14" s="235">
        <v>14588</v>
      </c>
      <c r="K14" s="235">
        <f>457468</f>
        <v>457468</v>
      </c>
      <c r="L14" s="235">
        <v>57517</v>
      </c>
      <c r="M14" s="235">
        <f>60362</f>
        <v>60362</v>
      </c>
      <c r="N14" s="235">
        <v>56101</v>
      </c>
      <c r="O14" s="235">
        <f>59696</f>
        <v>59696</v>
      </c>
      <c r="P14" s="235">
        <f>60211</f>
        <v>60211</v>
      </c>
      <c r="Q14" s="235">
        <f>49860-602</f>
        <v>49258</v>
      </c>
      <c r="R14" s="235">
        <f>-79566+25315</f>
        <v>-54251</v>
      </c>
      <c r="S14" s="235">
        <f>-17980</f>
        <v>-17980</v>
      </c>
      <c r="T14" s="235">
        <f>-90242</f>
        <v>-90242</v>
      </c>
      <c r="U14" s="235">
        <f>IF(S12&gt;0,-(SUM(Rentroll!$K$2:$K$4)+Rentroll!$N$2),0)-(SUM(S24,S38)-SUM(S24,S38)/1.21)</f>
        <v>-100001.48825950411</v>
      </c>
      <c r="V14" s="235"/>
      <c r="W14" s="235"/>
      <c r="X14" s="235">
        <f>IF(V12&gt;0,-(SUM(Rentroll!$K$2:$K$4)+Rentroll!$N$2),0)-(SUM(V24,V38,V64)-SUM(V24,V38,V64)/1.21)</f>
        <v>145542.34098842967</v>
      </c>
      <c r="Y14" s="235">
        <f>IF(W12&gt;0,-(SUM(Rentroll!$K$2:$K$4)+Rentroll!$N$2),0)-(SUM(W24,W38,W64)-SUM(W24,W38,W64)/1.21)</f>
        <v>-22466.744375206603</v>
      </c>
      <c r="Z14" s="235">
        <f>IF(X12&gt;0,-(SUM(Rentroll!$K$2:$K$4)+Rentroll!$N$2),0)-(SUM(X24,X38,X64)-SUM(X24,X38,X64)/1.21)</f>
        <v>-32890.69487107436</v>
      </c>
      <c r="AA14" s="235">
        <f>IF(Y12&gt;0,-(SUM(Rentroll!$K$2:$K$4)+Rentroll!$N$2),0)-(SUM(Y24,Y38,Y64)-SUM(Y24,Y38,Y64)/1.21)</f>
        <v>-14841.19487107436</v>
      </c>
      <c r="AB14" s="235">
        <f>IF(Z12&gt;0,-(SUM(Rentroll!$K$2:$K$4)+Rentroll!$N$2),0)-(SUM(Z24,Z38,Z64)-SUM(Z24,Z38,Z64)/1.21)+IF(AA12&gt;0,-(SUM(Rentroll!$K$2:$K$4)+Rentroll!$N$2),0)-(SUM(AA24,AA38,AA64)-SUM(AA24,AA38,AA64)/1.21)+IF(AB12&gt;0,-(SUM(Rentroll!$K$2:$K$4)+Rentroll!$N$2),0)-(SUM(AB24,AB38,AB64)-SUM(AB24,AB38,AB64)/1.21)</f>
        <v>25049.761292975105</v>
      </c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>
        <f>((AO38+AO64)*0.21)</f>
        <v>-23259.442499999997</v>
      </c>
      <c r="AP14" s="235">
        <f t="shared" ref="AP14:AZ14" si="3">((AP38+AP64)*0.21)</f>
        <v>-23259.442499999997</v>
      </c>
      <c r="AQ14" s="235">
        <f t="shared" si="3"/>
        <v>-23259.442499999997</v>
      </c>
      <c r="AR14" s="235">
        <f t="shared" si="3"/>
        <v>-23259.442499999997</v>
      </c>
      <c r="AS14" s="235">
        <f t="shared" si="3"/>
        <v>-23259.442499999997</v>
      </c>
      <c r="AT14" s="235">
        <f t="shared" si="3"/>
        <v>-23259.442499999997</v>
      </c>
      <c r="AU14" s="235">
        <f t="shared" si="3"/>
        <v>-23259.442499999997</v>
      </c>
      <c r="AV14" s="235">
        <f t="shared" si="3"/>
        <v>-23259.442499999997</v>
      </c>
      <c r="AW14" s="235">
        <f t="shared" si="3"/>
        <v>-23259.442499999997</v>
      </c>
      <c r="AX14" s="235">
        <f t="shared" si="3"/>
        <v>-23259.442499999997</v>
      </c>
      <c r="AY14" s="235">
        <f t="shared" si="3"/>
        <v>-23259.442499999997</v>
      </c>
      <c r="AZ14" s="235">
        <f t="shared" si="3"/>
        <v>-23259.442499999997</v>
      </c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380233.66990454518</v>
      </c>
      <c r="BZ14" s="771"/>
      <c r="CA14" s="226"/>
      <c r="CB14" s="237"/>
      <c r="CC14" s="771"/>
    </row>
    <row r="15" spans="1:81" ht="16" customHeight="1">
      <c r="A15" s="603"/>
      <c r="B15" s="787"/>
      <c r="C15" s="232"/>
      <c r="D15" s="712"/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>
        <f>-AO14</f>
        <v>23259.442499999997</v>
      </c>
      <c r="AR15" s="235">
        <f t="shared" ref="AR15:AZ15" si="4">-AP14</f>
        <v>23259.442499999997</v>
      </c>
      <c r="AS15" s="235">
        <f t="shared" si="4"/>
        <v>23259.442499999997</v>
      </c>
      <c r="AT15" s="235">
        <f t="shared" si="4"/>
        <v>23259.442499999997</v>
      </c>
      <c r="AU15" s="235">
        <f t="shared" si="4"/>
        <v>23259.442499999997</v>
      </c>
      <c r="AV15" s="235">
        <f t="shared" si="4"/>
        <v>23259.442499999997</v>
      </c>
      <c r="AW15" s="235">
        <f t="shared" si="4"/>
        <v>23259.442499999997</v>
      </c>
      <c r="AX15" s="235">
        <f t="shared" si="4"/>
        <v>23259.442499999997</v>
      </c>
      <c r="AY15" s="235">
        <f t="shared" si="4"/>
        <v>23259.442499999997</v>
      </c>
      <c r="AZ15" s="235">
        <f t="shared" si="4"/>
        <v>23259.442499999997</v>
      </c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2"/>
      <c r="BY15" s="713"/>
      <c r="BZ15" s="771"/>
      <c r="CA15" s="226"/>
      <c r="CB15" s="713"/>
      <c r="CC15" s="771"/>
    </row>
    <row r="16" spans="1:81">
      <c r="A16" s="603"/>
      <c r="B16" s="768"/>
      <c r="C16" s="238" t="s">
        <v>265</v>
      </c>
      <c r="D16" s="239" t="s">
        <v>264</v>
      </c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>
        <f>17343.33+17343.33+1835.52</f>
        <v>36522.18</v>
      </c>
      <c r="Q16" s="240">
        <f>9100000+2904+5142</f>
        <v>9108046</v>
      </c>
      <c r="R16" s="240">
        <f>2420</f>
        <v>2420</v>
      </c>
      <c r="S16" s="240"/>
      <c r="T16" s="240"/>
      <c r="U16" s="240"/>
      <c r="V16" s="240"/>
      <c r="W16" s="240"/>
      <c r="X16" s="240"/>
      <c r="Y16" s="240"/>
      <c r="Z16" s="240"/>
      <c r="AA16" s="240">
        <f>-Businessplan_prodej!F36</f>
        <v>50000</v>
      </c>
      <c r="AB16" s="240"/>
      <c r="AC16" s="240"/>
      <c r="AD16" s="240"/>
      <c r="AE16" s="240"/>
      <c r="AF16" s="240"/>
      <c r="AG16" s="240"/>
      <c r="AH16" s="240"/>
      <c r="AI16" s="240"/>
      <c r="AJ16" s="240"/>
      <c r="AK16" s="240"/>
      <c r="AL16" s="240"/>
      <c r="AM16" s="240"/>
      <c r="AN16" s="240"/>
      <c r="AO16" s="240"/>
      <c r="AP16" s="240"/>
      <c r="AQ16" s="240"/>
      <c r="AR16" s="240"/>
      <c r="AS16" s="240"/>
      <c r="AT16" s="240"/>
      <c r="AU16" s="240"/>
      <c r="AV16" s="240"/>
      <c r="AW16" s="240"/>
      <c r="AX16" s="240"/>
      <c r="AY16" s="240"/>
      <c r="AZ16" s="240"/>
      <c r="BA16" s="240"/>
      <c r="BB16" s="240"/>
      <c r="BC16" s="240"/>
      <c r="BD16" s="240"/>
      <c r="BE16" s="240"/>
      <c r="BF16" s="240"/>
      <c r="BG16" s="240"/>
      <c r="BH16" s="240"/>
      <c r="BI16" s="240"/>
      <c r="BJ16" s="240"/>
      <c r="BK16" s="240"/>
      <c r="BL16" s="240"/>
      <c r="BM16" s="240"/>
      <c r="BN16" s="240"/>
      <c r="BO16" s="240"/>
      <c r="BP16" s="240"/>
      <c r="BQ16" s="240"/>
      <c r="BR16" s="240"/>
      <c r="BS16" s="240"/>
      <c r="BT16" s="240"/>
      <c r="BU16" s="240"/>
      <c r="BV16" s="240"/>
      <c r="BW16" s="240"/>
      <c r="BX16" s="238"/>
      <c r="BY16" s="241">
        <f t="shared" si="0"/>
        <v>9196988.1799999997</v>
      </c>
      <c r="BZ16" s="776"/>
      <c r="CA16" s="226"/>
      <c r="CB16" s="241"/>
      <c r="CC16" s="776"/>
    </row>
    <row r="17" spans="1:81" ht="16">
      <c r="A17" s="603"/>
      <c r="B17" s="788" t="s">
        <v>266</v>
      </c>
      <c r="C17" s="774"/>
      <c r="D17" s="246"/>
      <c r="E17" s="247">
        <f t="shared" ref="E17:BX17" si="5">SUM(E5:E16)</f>
        <v>0</v>
      </c>
      <c r="F17" s="247">
        <f t="shared" si="5"/>
        <v>0</v>
      </c>
      <c r="G17" s="247">
        <f t="shared" si="5"/>
        <v>0</v>
      </c>
      <c r="H17" s="247">
        <f t="shared" si="5"/>
        <v>16365002</v>
      </c>
      <c r="I17" s="247">
        <f t="shared" si="5"/>
        <v>6227</v>
      </c>
      <c r="J17" s="247">
        <f t="shared" si="5"/>
        <v>14588</v>
      </c>
      <c r="K17" s="247">
        <f t="shared" si="5"/>
        <v>1342468</v>
      </c>
      <c r="L17" s="247">
        <f t="shared" si="5"/>
        <v>1997517</v>
      </c>
      <c r="M17" s="247">
        <f t="shared" si="5"/>
        <v>10818794.050000001</v>
      </c>
      <c r="N17" s="247">
        <f t="shared" si="5"/>
        <v>19993932.949999999</v>
      </c>
      <c r="O17" s="247">
        <f t="shared" si="5"/>
        <v>9791181.2300000004</v>
      </c>
      <c r="P17" s="247">
        <f t="shared" si="5"/>
        <v>12961756.68</v>
      </c>
      <c r="Q17" s="247">
        <f t="shared" si="5"/>
        <v>12086962.6</v>
      </c>
      <c r="R17" s="247">
        <f t="shared" si="5"/>
        <v>1712883.25</v>
      </c>
      <c r="S17" s="247">
        <f t="shared" si="5"/>
        <v>1260920.99</v>
      </c>
      <c r="T17" s="247">
        <f t="shared" si="5"/>
        <v>497984.26800000004</v>
      </c>
      <c r="U17" s="247">
        <f t="shared" si="5"/>
        <v>481990.45854049572</v>
      </c>
      <c r="V17" s="247">
        <f t="shared" si="5"/>
        <v>6668129.4339999994</v>
      </c>
      <c r="W17" s="247">
        <f t="shared" si="5"/>
        <v>7299496.7199999997</v>
      </c>
      <c r="X17" s="247">
        <f t="shared" si="5"/>
        <v>7811134.360888429</v>
      </c>
      <c r="Y17" s="247">
        <f t="shared" si="5"/>
        <v>5165175.2755247932</v>
      </c>
      <c r="Z17" s="247">
        <f t="shared" si="5"/>
        <v>6071411.3250289252</v>
      </c>
      <c r="AA17" s="247">
        <f t="shared" si="5"/>
        <v>3658705.0430080919</v>
      </c>
      <c r="AB17" s="247">
        <f t="shared" si="5"/>
        <v>135298747.78488636</v>
      </c>
      <c r="AC17" s="247">
        <f t="shared" si="5"/>
        <v>0</v>
      </c>
      <c r="AD17" s="247">
        <f t="shared" si="5"/>
        <v>0</v>
      </c>
      <c r="AE17" s="247">
        <f t="shared" si="5"/>
        <v>0</v>
      </c>
      <c r="AF17" s="247">
        <f t="shared" si="5"/>
        <v>0</v>
      </c>
      <c r="AG17" s="247">
        <f t="shared" si="5"/>
        <v>0</v>
      </c>
      <c r="AH17" s="247">
        <f t="shared" si="5"/>
        <v>0</v>
      </c>
      <c r="AI17" s="247">
        <f t="shared" si="5"/>
        <v>0</v>
      </c>
      <c r="AJ17" s="247">
        <f t="shared" si="5"/>
        <v>0</v>
      </c>
      <c r="AK17" s="247">
        <f t="shared" si="5"/>
        <v>0</v>
      </c>
      <c r="AL17" s="247">
        <f t="shared" si="5"/>
        <v>0</v>
      </c>
      <c r="AM17" s="247">
        <f t="shared" si="5"/>
        <v>0</v>
      </c>
      <c r="AN17" s="247">
        <f t="shared" si="5"/>
        <v>0</v>
      </c>
      <c r="AO17" s="247">
        <f t="shared" si="5"/>
        <v>821347.32130000007</v>
      </c>
      <c r="AP17" s="247">
        <f t="shared" si="5"/>
        <v>821347.32130000007</v>
      </c>
      <c r="AQ17" s="247">
        <f t="shared" si="5"/>
        <v>844606.76380000007</v>
      </c>
      <c r="AR17" s="247">
        <f t="shared" si="5"/>
        <v>844606.76380000007</v>
      </c>
      <c r="AS17" s="247">
        <f t="shared" si="5"/>
        <v>844606.76380000007</v>
      </c>
      <c r="AT17" s="247">
        <f t="shared" si="5"/>
        <v>844606.76380000007</v>
      </c>
      <c r="AU17" s="247">
        <f t="shared" si="5"/>
        <v>844606.76380000007</v>
      </c>
      <c r="AV17" s="247">
        <f t="shared" si="5"/>
        <v>844606.76380000007</v>
      </c>
      <c r="AW17" s="247">
        <f t="shared" si="5"/>
        <v>844606.76380000007</v>
      </c>
      <c r="AX17" s="247">
        <f t="shared" si="5"/>
        <v>844606.76380000007</v>
      </c>
      <c r="AY17" s="247">
        <f t="shared" si="5"/>
        <v>844606.76380000007</v>
      </c>
      <c r="AZ17" s="247">
        <f t="shared" si="5"/>
        <v>844606.76380000007</v>
      </c>
      <c r="BA17" s="247">
        <f t="shared" si="5"/>
        <v>0</v>
      </c>
      <c r="BB17" s="247">
        <f t="shared" si="5"/>
        <v>0</v>
      </c>
      <c r="BC17" s="247">
        <f t="shared" si="5"/>
        <v>0</v>
      </c>
      <c r="BD17" s="247">
        <f t="shared" si="5"/>
        <v>0</v>
      </c>
      <c r="BE17" s="247">
        <f t="shared" si="5"/>
        <v>0</v>
      </c>
      <c r="BF17" s="247">
        <f t="shared" si="5"/>
        <v>0</v>
      </c>
      <c r="BG17" s="247">
        <f t="shared" si="5"/>
        <v>0</v>
      </c>
      <c r="BH17" s="247">
        <f t="shared" si="5"/>
        <v>0</v>
      </c>
      <c r="BI17" s="247">
        <f t="shared" si="5"/>
        <v>0</v>
      </c>
      <c r="BJ17" s="247">
        <f t="shared" si="5"/>
        <v>0</v>
      </c>
      <c r="BK17" s="247">
        <f t="shared" si="5"/>
        <v>0</v>
      </c>
      <c r="BL17" s="247">
        <f t="shared" si="5"/>
        <v>0</v>
      </c>
      <c r="BM17" s="247">
        <f t="shared" si="5"/>
        <v>0</v>
      </c>
      <c r="BN17" s="247">
        <f t="shared" si="5"/>
        <v>0</v>
      </c>
      <c r="BO17" s="247">
        <f t="shared" si="5"/>
        <v>0</v>
      </c>
      <c r="BP17" s="247">
        <f t="shared" si="5"/>
        <v>0</v>
      </c>
      <c r="BQ17" s="247">
        <f t="shared" si="5"/>
        <v>0</v>
      </c>
      <c r="BR17" s="247">
        <f t="shared" si="5"/>
        <v>0</v>
      </c>
      <c r="BS17" s="247">
        <f t="shared" si="5"/>
        <v>0</v>
      </c>
      <c r="BT17" s="247">
        <f t="shared" si="5"/>
        <v>0</v>
      </c>
      <c r="BU17" s="247">
        <f t="shared" si="5"/>
        <v>0</v>
      </c>
      <c r="BV17" s="247">
        <f t="shared" si="5"/>
        <v>0</v>
      </c>
      <c r="BW17" s="247">
        <f t="shared" si="5"/>
        <v>0</v>
      </c>
      <c r="BX17" s="247">
        <f t="shared" si="5"/>
        <v>0</v>
      </c>
      <c r="BY17" s="778">
        <f>BZ5+BZ9+BZ12</f>
        <v>271161176.27547717</v>
      </c>
      <c r="BZ17" s="774"/>
      <c r="CA17" s="226"/>
      <c r="CB17" s="778">
        <f>CC5+CC9+CC12</f>
        <v>0</v>
      </c>
      <c r="CC17" s="774"/>
    </row>
    <row r="18" spans="1:81" ht="16" collapsed="1">
      <c r="A18" s="603"/>
      <c r="B18" s="789" t="s">
        <v>267</v>
      </c>
      <c r="C18" s="248" t="s">
        <v>268</v>
      </c>
      <c r="D18" s="249"/>
      <c r="E18" s="250">
        <f t="shared" ref="E18:BY18" si="6">SUM(E19:E23)</f>
        <v>0</v>
      </c>
      <c r="F18" s="250">
        <f t="shared" si="6"/>
        <v>0</v>
      </c>
      <c r="G18" s="250">
        <f t="shared" si="6"/>
        <v>0</v>
      </c>
      <c r="H18" s="250">
        <f t="shared" si="6"/>
        <v>-10620712</v>
      </c>
      <c r="I18" s="250">
        <f t="shared" si="6"/>
        <v>0</v>
      </c>
      <c r="J18" s="250">
        <f t="shared" si="6"/>
        <v>-808333</v>
      </c>
      <c r="K18" s="250">
        <f t="shared" si="6"/>
        <v>0</v>
      </c>
      <c r="L18" s="250">
        <f t="shared" si="6"/>
        <v>0</v>
      </c>
      <c r="M18" s="250">
        <f t="shared" si="6"/>
        <v>0</v>
      </c>
      <c r="N18" s="250">
        <f t="shared" si="6"/>
        <v>0</v>
      </c>
      <c r="O18" s="250">
        <f t="shared" si="6"/>
        <v>0</v>
      </c>
      <c r="P18" s="250">
        <f t="shared" si="6"/>
        <v>0</v>
      </c>
      <c r="Q18" s="250">
        <f t="shared" si="6"/>
        <v>0</v>
      </c>
      <c r="R18" s="250">
        <f t="shared" si="6"/>
        <v>0</v>
      </c>
      <c r="S18" s="250">
        <f t="shared" si="6"/>
        <v>0</v>
      </c>
      <c r="T18" s="250">
        <f t="shared" si="6"/>
        <v>0</v>
      </c>
      <c r="U18" s="250">
        <f t="shared" si="6"/>
        <v>0</v>
      </c>
      <c r="V18" s="250">
        <f t="shared" si="6"/>
        <v>0</v>
      </c>
      <c r="W18" s="250">
        <f t="shared" si="6"/>
        <v>0</v>
      </c>
      <c r="X18" s="250">
        <f t="shared" si="6"/>
        <v>0</v>
      </c>
      <c r="Y18" s="250">
        <f t="shared" si="6"/>
        <v>0</v>
      </c>
      <c r="Z18" s="250">
        <f t="shared" si="6"/>
        <v>0</v>
      </c>
      <c r="AA18" s="250">
        <f t="shared" si="6"/>
        <v>0</v>
      </c>
      <c r="AB18" s="250">
        <f t="shared" si="6"/>
        <v>0</v>
      </c>
      <c r="AC18" s="250">
        <f t="shared" si="6"/>
        <v>0</v>
      </c>
      <c r="AD18" s="250">
        <f t="shared" si="6"/>
        <v>0</v>
      </c>
      <c r="AE18" s="250">
        <f t="shared" si="6"/>
        <v>0</v>
      </c>
      <c r="AF18" s="250">
        <f t="shared" si="6"/>
        <v>0</v>
      </c>
      <c r="AG18" s="250">
        <f t="shared" si="6"/>
        <v>0</v>
      </c>
      <c r="AH18" s="250">
        <f t="shared" si="6"/>
        <v>0</v>
      </c>
      <c r="AI18" s="250">
        <f t="shared" si="6"/>
        <v>0</v>
      </c>
      <c r="AJ18" s="250">
        <f t="shared" si="6"/>
        <v>0</v>
      </c>
      <c r="AK18" s="250">
        <f t="shared" si="6"/>
        <v>0</v>
      </c>
      <c r="AL18" s="250">
        <f t="shared" si="6"/>
        <v>0</v>
      </c>
      <c r="AM18" s="250">
        <f t="shared" si="6"/>
        <v>0</v>
      </c>
      <c r="AN18" s="250">
        <f t="shared" si="6"/>
        <v>0</v>
      </c>
      <c r="AO18" s="250">
        <f t="shared" si="6"/>
        <v>0</v>
      </c>
      <c r="AP18" s="250">
        <f t="shared" si="6"/>
        <v>0</v>
      </c>
      <c r="AQ18" s="250">
        <f t="shared" si="6"/>
        <v>0</v>
      </c>
      <c r="AR18" s="250">
        <f t="shared" si="6"/>
        <v>0</v>
      </c>
      <c r="AS18" s="250">
        <f t="shared" si="6"/>
        <v>0</v>
      </c>
      <c r="AT18" s="250">
        <f t="shared" si="6"/>
        <v>0</v>
      </c>
      <c r="AU18" s="250">
        <f t="shared" si="6"/>
        <v>0</v>
      </c>
      <c r="AV18" s="250">
        <f t="shared" si="6"/>
        <v>0</v>
      </c>
      <c r="AW18" s="250">
        <f t="shared" si="6"/>
        <v>0</v>
      </c>
      <c r="AX18" s="250">
        <f t="shared" si="6"/>
        <v>0</v>
      </c>
      <c r="AY18" s="250">
        <f t="shared" si="6"/>
        <v>0</v>
      </c>
      <c r="AZ18" s="250">
        <f t="shared" si="6"/>
        <v>0</v>
      </c>
      <c r="BA18" s="250">
        <f t="shared" si="6"/>
        <v>0</v>
      </c>
      <c r="BB18" s="250">
        <f t="shared" si="6"/>
        <v>0</v>
      </c>
      <c r="BC18" s="250">
        <f t="shared" si="6"/>
        <v>0</v>
      </c>
      <c r="BD18" s="250">
        <f t="shared" si="6"/>
        <v>0</v>
      </c>
      <c r="BE18" s="250">
        <f t="shared" si="6"/>
        <v>0</v>
      </c>
      <c r="BF18" s="250">
        <f t="shared" si="6"/>
        <v>0</v>
      </c>
      <c r="BG18" s="250">
        <f t="shared" si="6"/>
        <v>0</v>
      </c>
      <c r="BH18" s="250">
        <f t="shared" si="6"/>
        <v>0</v>
      </c>
      <c r="BI18" s="250">
        <f t="shared" si="6"/>
        <v>0</v>
      </c>
      <c r="BJ18" s="250">
        <f t="shared" si="6"/>
        <v>0</v>
      </c>
      <c r="BK18" s="250">
        <f t="shared" si="6"/>
        <v>0</v>
      </c>
      <c r="BL18" s="250">
        <f t="shared" si="6"/>
        <v>0</v>
      </c>
      <c r="BM18" s="250">
        <f t="shared" si="6"/>
        <v>0</v>
      </c>
      <c r="BN18" s="250">
        <f t="shared" si="6"/>
        <v>0</v>
      </c>
      <c r="BO18" s="250">
        <f t="shared" si="6"/>
        <v>0</v>
      </c>
      <c r="BP18" s="250">
        <f t="shared" si="6"/>
        <v>0</v>
      </c>
      <c r="BQ18" s="250">
        <f t="shared" si="6"/>
        <v>0</v>
      </c>
      <c r="BR18" s="250">
        <f t="shared" si="6"/>
        <v>0</v>
      </c>
      <c r="BS18" s="250">
        <f t="shared" si="6"/>
        <v>0</v>
      </c>
      <c r="BT18" s="250">
        <f t="shared" si="6"/>
        <v>0</v>
      </c>
      <c r="BU18" s="250">
        <f t="shared" si="6"/>
        <v>0</v>
      </c>
      <c r="BV18" s="250">
        <f t="shared" si="6"/>
        <v>0</v>
      </c>
      <c r="BW18" s="250">
        <f t="shared" si="6"/>
        <v>0</v>
      </c>
      <c r="BX18" s="250">
        <f t="shared" si="6"/>
        <v>0</v>
      </c>
      <c r="BY18" s="251">
        <f t="shared" si="6"/>
        <v>-11429045</v>
      </c>
      <c r="BZ18" s="777">
        <f>BY18+BY24+BY27+BY35+BY38+BY50+BY56+BY64+BY88</f>
        <v>-125660584.83831191</v>
      </c>
      <c r="CA18" s="226"/>
      <c r="CB18" s="252"/>
      <c r="CC18" s="777"/>
    </row>
    <row r="19" spans="1:81" ht="16" hidden="1" outlineLevel="1">
      <c r="A19" s="603"/>
      <c r="B19" s="787"/>
      <c r="C19" s="253" t="s">
        <v>269</v>
      </c>
      <c r="D19" s="254" t="s">
        <v>270</v>
      </c>
      <c r="E19" s="255"/>
      <c r="F19" s="255"/>
      <c r="G19" s="255"/>
      <c r="H19" s="256">
        <f>-8458812-2161900</f>
        <v>-10620712</v>
      </c>
      <c r="I19" s="256"/>
      <c r="J19" s="256">
        <f>-657296-151037</f>
        <v>-808333</v>
      </c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ref="BY19:BY23" si="7">SUM(E19:BX19)</f>
        <v>-11429045</v>
      </c>
      <c r="BZ19" s="771"/>
      <c r="CA19" s="226"/>
      <c r="CB19" s="252"/>
      <c r="CC19" s="771"/>
    </row>
    <row r="20" spans="1:81" ht="16" hidden="1" outlineLevel="1">
      <c r="A20" s="603"/>
      <c r="B20" s="787"/>
      <c r="C20" s="253" t="s">
        <v>271</v>
      </c>
      <c r="D20" s="254" t="s">
        <v>270</v>
      </c>
      <c r="E20" s="255"/>
      <c r="F20" s="255"/>
      <c r="G20" s="255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7"/>
        <v>0</v>
      </c>
      <c r="BZ20" s="771"/>
      <c r="CA20" s="226"/>
      <c r="CB20" s="252"/>
      <c r="CC20" s="771"/>
    </row>
    <row r="21" spans="1:81" ht="16" hidden="1" outlineLevel="1">
      <c r="A21" s="603"/>
      <c r="B21" s="787"/>
      <c r="C21" s="253" t="s">
        <v>272</v>
      </c>
      <c r="D21" s="254" t="s">
        <v>270</v>
      </c>
      <c r="E21" s="255"/>
      <c r="F21" s="255"/>
      <c r="G21" s="255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7"/>
        <v>0</v>
      </c>
      <c r="BZ21" s="771"/>
      <c r="CA21" s="226"/>
      <c r="CB21" s="252"/>
      <c r="CC21" s="771"/>
    </row>
    <row r="22" spans="1:81" ht="16" hidden="1" outlineLevel="1">
      <c r="A22" s="603"/>
      <c r="B22" s="787"/>
      <c r="C22" s="253" t="s">
        <v>273</v>
      </c>
      <c r="D22" s="254" t="s">
        <v>270</v>
      </c>
      <c r="E22" s="255"/>
      <c r="F22" s="255"/>
      <c r="G22" s="255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7"/>
        <v>0</v>
      </c>
      <c r="BZ22" s="771"/>
      <c r="CA22" s="226"/>
      <c r="CB22" s="252"/>
      <c r="CC22" s="771"/>
    </row>
    <row r="23" spans="1:81" ht="16" hidden="1" outlineLevel="1">
      <c r="A23" s="603"/>
      <c r="B23" s="787"/>
      <c r="C23" s="253" t="s">
        <v>274</v>
      </c>
      <c r="D23" s="258" t="s">
        <v>270</v>
      </c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7">
        <f t="shared" si="7"/>
        <v>0</v>
      </c>
      <c r="BZ23" s="771"/>
      <c r="CA23" s="226"/>
      <c r="CB23" s="252"/>
      <c r="CC23" s="771"/>
    </row>
    <row r="24" spans="1:81" ht="16" collapsed="1">
      <c r="A24" s="603"/>
      <c r="B24" s="787"/>
      <c r="C24" s="248" t="s">
        <v>275</v>
      </c>
      <c r="D24" s="249"/>
      <c r="E24" s="250">
        <f t="shared" ref="E24:BY24" si="8">SUM(E25:E26)</f>
        <v>0</v>
      </c>
      <c r="F24" s="250">
        <f t="shared" si="8"/>
        <v>0</v>
      </c>
      <c r="G24" s="250">
        <f t="shared" si="8"/>
        <v>0</v>
      </c>
      <c r="H24" s="250">
        <f t="shared" si="8"/>
        <v>0</v>
      </c>
      <c r="I24" s="250">
        <f t="shared" si="8"/>
        <v>-366025</v>
      </c>
      <c r="J24" s="250">
        <f t="shared" si="8"/>
        <v>0</v>
      </c>
      <c r="K24" s="250">
        <f t="shared" si="8"/>
        <v>0</v>
      </c>
      <c r="L24" s="250">
        <f t="shared" si="8"/>
        <v>-15913.92</v>
      </c>
      <c r="M24" s="250">
        <f t="shared" si="8"/>
        <v>0</v>
      </c>
      <c r="N24" s="250">
        <f t="shared" si="8"/>
        <v>0</v>
      </c>
      <c r="O24" s="250">
        <f t="shared" si="8"/>
        <v>0</v>
      </c>
      <c r="P24" s="250">
        <f t="shared" si="8"/>
        <v>0</v>
      </c>
      <c r="Q24" s="250">
        <f t="shared" si="8"/>
        <v>-36051</v>
      </c>
      <c r="R24" s="250">
        <f t="shared" si="8"/>
        <v>-314600</v>
      </c>
      <c r="S24" s="250">
        <f t="shared" si="8"/>
        <v>0</v>
      </c>
      <c r="T24" s="250">
        <f t="shared" si="8"/>
        <v>0</v>
      </c>
      <c r="U24" s="250">
        <f t="shared" si="8"/>
        <v>-471900</v>
      </c>
      <c r="V24" s="250">
        <f t="shared" si="8"/>
        <v>0</v>
      </c>
      <c r="W24" s="250">
        <f t="shared" si="8"/>
        <v>0</v>
      </c>
      <c r="X24" s="250">
        <f t="shared" si="8"/>
        <v>0</v>
      </c>
      <c r="Y24" s="250">
        <f t="shared" si="8"/>
        <v>-103999.5</v>
      </c>
      <c r="Z24" s="250">
        <f t="shared" si="8"/>
        <v>0</v>
      </c>
      <c r="AA24" s="250">
        <f t="shared" si="8"/>
        <v>0</v>
      </c>
      <c r="AB24" s="250">
        <f t="shared" si="8"/>
        <v>0</v>
      </c>
      <c r="AC24" s="250">
        <f t="shared" si="8"/>
        <v>0</v>
      </c>
      <c r="AD24" s="250">
        <f t="shared" si="8"/>
        <v>0</v>
      </c>
      <c r="AE24" s="250">
        <f t="shared" si="8"/>
        <v>0</v>
      </c>
      <c r="AF24" s="250">
        <f t="shared" si="8"/>
        <v>0</v>
      </c>
      <c r="AG24" s="250">
        <f t="shared" si="8"/>
        <v>0</v>
      </c>
      <c r="AH24" s="250">
        <f t="shared" si="8"/>
        <v>0</v>
      </c>
      <c r="AI24" s="250">
        <f t="shared" si="8"/>
        <v>0</v>
      </c>
      <c r="AJ24" s="250">
        <f t="shared" si="8"/>
        <v>0</v>
      </c>
      <c r="AK24" s="250">
        <f t="shared" si="8"/>
        <v>0</v>
      </c>
      <c r="AL24" s="250">
        <f t="shared" si="8"/>
        <v>0</v>
      </c>
      <c r="AM24" s="250">
        <f t="shared" si="8"/>
        <v>0</v>
      </c>
      <c r="AN24" s="250">
        <f t="shared" si="8"/>
        <v>0</v>
      </c>
      <c r="AO24" s="250">
        <f t="shared" si="8"/>
        <v>0</v>
      </c>
      <c r="AP24" s="250">
        <f t="shared" si="8"/>
        <v>0</v>
      </c>
      <c r="AQ24" s="250">
        <f t="shared" si="8"/>
        <v>0</v>
      </c>
      <c r="AR24" s="250">
        <f t="shared" si="8"/>
        <v>0</v>
      </c>
      <c r="AS24" s="250">
        <f t="shared" si="8"/>
        <v>0</v>
      </c>
      <c r="AT24" s="250">
        <f t="shared" si="8"/>
        <v>0</v>
      </c>
      <c r="AU24" s="250">
        <f t="shared" si="8"/>
        <v>0</v>
      </c>
      <c r="AV24" s="250">
        <f t="shared" si="8"/>
        <v>0</v>
      </c>
      <c r="AW24" s="250">
        <f t="shared" si="8"/>
        <v>0</v>
      </c>
      <c r="AX24" s="250">
        <f t="shared" si="8"/>
        <v>0</v>
      </c>
      <c r="AY24" s="250">
        <f t="shared" si="8"/>
        <v>0</v>
      </c>
      <c r="AZ24" s="250">
        <f t="shared" si="8"/>
        <v>0</v>
      </c>
      <c r="BA24" s="250">
        <f t="shared" si="8"/>
        <v>0</v>
      </c>
      <c r="BB24" s="250">
        <f t="shared" si="8"/>
        <v>0</v>
      </c>
      <c r="BC24" s="250">
        <f t="shared" si="8"/>
        <v>0</v>
      </c>
      <c r="BD24" s="250">
        <f t="shared" si="8"/>
        <v>0</v>
      </c>
      <c r="BE24" s="250">
        <f t="shared" si="8"/>
        <v>0</v>
      </c>
      <c r="BF24" s="250">
        <f t="shared" si="8"/>
        <v>0</v>
      </c>
      <c r="BG24" s="250">
        <f t="shared" si="8"/>
        <v>0</v>
      </c>
      <c r="BH24" s="250">
        <f t="shared" si="8"/>
        <v>0</v>
      </c>
      <c r="BI24" s="250">
        <f t="shared" si="8"/>
        <v>0</v>
      </c>
      <c r="BJ24" s="250">
        <f t="shared" si="8"/>
        <v>0</v>
      </c>
      <c r="BK24" s="250">
        <f t="shared" si="8"/>
        <v>0</v>
      </c>
      <c r="BL24" s="250">
        <f t="shared" si="8"/>
        <v>0</v>
      </c>
      <c r="BM24" s="250">
        <f t="shared" si="8"/>
        <v>0</v>
      </c>
      <c r="BN24" s="250">
        <f t="shared" si="8"/>
        <v>0</v>
      </c>
      <c r="BO24" s="250">
        <f t="shared" si="8"/>
        <v>0</v>
      </c>
      <c r="BP24" s="250">
        <f t="shared" si="8"/>
        <v>0</v>
      </c>
      <c r="BQ24" s="250">
        <f t="shared" si="8"/>
        <v>0</v>
      </c>
      <c r="BR24" s="250">
        <f t="shared" si="8"/>
        <v>0</v>
      </c>
      <c r="BS24" s="250">
        <f t="shared" si="8"/>
        <v>0</v>
      </c>
      <c r="BT24" s="250">
        <f t="shared" si="8"/>
        <v>0</v>
      </c>
      <c r="BU24" s="250">
        <f t="shared" si="8"/>
        <v>0</v>
      </c>
      <c r="BV24" s="250">
        <f t="shared" si="8"/>
        <v>0</v>
      </c>
      <c r="BW24" s="250">
        <f t="shared" si="8"/>
        <v>0</v>
      </c>
      <c r="BX24" s="250">
        <f t="shared" si="8"/>
        <v>0</v>
      </c>
      <c r="BY24" s="251">
        <f t="shared" si="8"/>
        <v>-1308489.42</v>
      </c>
      <c r="BZ24" s="771"/>
      <c r="CA24" s="226"/>
      <c r="CB24" s="252"/>
      <c r="CC24" s="771"/>
    </row>
    <row r="25" spans="1:81" ht="16" hidden="1" outlineLevel="1">
      <c r="A25" s="603"/>
      <c r="B25" s="787"/>
      <c r="C25" s="253" t="s">
        <v>276</v>
      </c>
      <c r="D25" s="258" t="s">
        <v>270</v>
      </c>
      <c r="E25" s="259"/>
      <c r="F25" s="259"/>
      <c r="G25" s="259"/>
      <c r="H25" s="260"/>
      <c r="I25" s="260">
        <f>-302500*1.21</f>
        <v>-366025</v>
      </c>
      <c r="J25" s="260"/>
      <c r="K25" s="260"/>
      <c r="L25" s="260">
        <f>-15913.92</f>
        <v>-15913.92</v>
      </c>
      <c r="M25" s="260"/>
      <c r="N25" s="260"/>
      <c r="O25" s="260"/>
      <c r="P25" s="260"/>
      <c r="Q25" s="260">
        <f>-36051</f>
        <v>-36051</v>
      </c>
      <c r="R25" s="260">
        <f>-314600</f>
        <v>-314600</v>
      </c>
      <c r="S25" s="260"/>
      <c r="T25" s="260"/>
      <c r="U25" s="335">
        <f>-390000*1.21</f>
        <v>-471900</v>
      </c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1">
        <f t="shared" ref="BY25:BY26" si="9">SUM(E25:BX25)</f>
        <v>-1204489.92</v>
      </c>
      <c r="BZ25" s="771"/>
      <c r="CA25" s="226"/>
      <c r="CB25" s="252"/>
      <c r="CC25" s="771"/>
    </row>
    <row r="26" spans="1:81" ht="16" hidden="1" outlineLevel="1">
      <c r="A26" s="603"/>
      <c r="B26" s="787"/>
      <c r="C26" s="253" t="s">
        <v>277</v>
      </c>
      <c r="D26" s="258" t="s">
        <v>270</v>
      </c>
      <c r="E26" s="259"/>
      <c r="F26" s="259"/>
      <c r="G26" s="259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0"/>
      <c r="S26" s="260"/>
      <c r="T26" s="260"/>
      <c r="U26" s="259"/>
      <c r="V26" s="260"/>
      <c r="W26" s="260"/>
      <c r="X26" s="260"/>
      <c r="Y26" s="260">
        <f>-Businessplan_prodej!$F$22*1.21</f>
        <v>-103999.5</v>
      </c>
      <c r="Z26" s="259"/>
      <c r="AA26" s="259"/>
      <c r="AB26" s="259"/>
      <c r="AC26" s="259"/>
      <c r="AD26" s="259"/>
      <c r="AE26" s="259"/>
      <c r="AF26" s="259"/>
      <c r="AG26" s="259"/>
      <c r="AH26" s="259"/>
      <c r="AI26" s="259"/>
      <c r="AJ26" s="259"/>
      <c r="AK26" s="259"/>
      <c r="AL26" s="259"/>
      <c r="AM26" s="259"/>
      <c r="AN26" s="259"/>
      <c r="AO26" s="259"/>
      <c r="AP26" s="259"/>
      <c r="AQ26" s="259"/>
      <c r="AR26" s="259"/>
      <c r="AS26" s="259"/>
      <c r="AT26" s="259"/>
      <c r="AU26" s="259"/>
      <c r="AV26" s="259"/>
      <c r="AW26" s="259"/>
      <c r="AX26" s="259"/>
      <c r="AY26" s="259"/>
      <c r="AZ26" s="259"/>
      <c r="BA26" s="259"/>
      <c r="BB26" s="259"/>
      <c r="BC26" s="259"/>
      <c r="BD26" s="259"/>
      <c r="BE26" s="259"/>
      <c r="BF26" s="259"/>
      <c r="BG26" s="259"/>
      <c r="BH26" s="259"/>
      <c r="BI26" s="259"/>
      <c r="BJ26" s="259"/>
      <c r="BK26" s="259"/>
      <c r="BL26" s="259"/>
      <c r="BM26" s="259"/>
      <c r="BN26" s="259"/>
      <c r="BO26" s="259"/>
      <c r="BP26" s="259"/>
      <c r="BQ26" s="259"/>
      <c r="BR26" s="259"/>
      <c r="BS26" s="259"/>
      <c r="BT26" s="259"/>
      <c r="BU26" s="259"/>
      <c r="BV26" s="259"/>
      <c r="BW26" s="259"/>
      <c r="BX26" s="259"/>
      <c r="BY26" s="261">
        <f t="shared" si="9"/>
        <v>-103999.5</v>
      </c>
      <c r="BZ26" s="771"/>
      <c r="CA26" s="226"/>
      <c r="CB26" s="252"/>
      <c r="CC26" s="771"/>
    </row>
    <row r="27" spans="1:81" ht="16">
      <c r="A27" s="603"/>
      <c r="B27" s="787"/>
      <c r="C27" s="248" t="s">
        <v>278</v>
      </c>
      <c r="D27" s="249"/>
      <c r="E27" s="250">
        <f t="shared" ref="E27:BX27" si="10">SUM(E28:E34)</f>
        <v>0</v>
      </c>
      <c r="F27" s="250">
        <f t="shared" si="10"/>
        <v>0</v>
      </c>
      <c r="G27" s="250">
        <f t="shared" si="10"/>
        <v>0</v>
      </c>
      <c r="H27" s="250">
        <f t="shared" si="10"/>
        <v>-2420</v>
      </c>
      <c r="I27" s="250">
        <f t="shared" si="10"/>
        <v>-1081909</v>
      </c>
      <c r="J27" s="250">
        <f t="shared" si="10"/>
        <v>0</v>
      </c>
      <c r="K27" s="250">
        <f t="shared" si="10"/>
        <v>0</v>
      </c>
      <c r="L27" s="250">
        <f t="shared" si="10"/>
        <v>-4688041</v>
      </c>
      <c r="M27" s="250">
        <f t="shared" si="10"/>
        <v>-10044501.530000001</v>
      </c>
      <c r="N27" s="250">
        <f t="shared" si="10"/>
        <v>-19919080.57</v>
      </c>
      <c r="O27" s="250">
        <f t="shared" si="10"/>
        <v>-9000862.4199999999</v>
      </c>
      <c r="P27" s="250">
        <f t="shared" si="10"/>
        <v>-12065344.113</v>
      </c>
      <c r="Q27" s="250">
        <f t="shared" si="10"/>
        <v>-2929659.3669999987</v>
      </c>
      <c r="R27" s="250">
        <f t="shared" si="10"/>
        <v>-1499970</v>
      </c>
      <c r="S27" s="250">
        <f t="shared" si="10"/>
        <v>0</v>
      </c>
      <c r="T27" s="250">
        <f t="shared" si="10"/>
        <v>0</v>
      </c>
      <c r="U27" s="250">
        <f t="shared" si="10"/>
        <v>0</v>
      </c>
      <c r="V27" s="250">
        <f t="shared" si="10"/>
        <v>-6300000</v>
      </c>
      <c r="W27" s="250">
        <f t="shared" si="10"/>
        <v>-6300000</v>
      </c>
      <c r="X27" s="250">
        <f t="shared" si="10"/>
        <v>-6984447.5</v>
      </c>
      <c r="Y27" s="250">
        <f t="shared" si="10"/>
        <v>-4364447.5</v>
      </c>
      <c r="Z27" s="250">
        <f t="shared" si="10"/>
        <v>-3104447.5</v>
      </c>
      <c r="AA27" s="250">
        <f t="shared" si="10"/>
        <v>-3384447.5</v>
      </c>
      <c r="AB27" s="250">
        <f t="shared" si="10"/>
        <v>0</v>
      </c>
      <c r="AC27" s="250">
        <f t="shared" si="10"/>
        <v>0</v>
      </c>
      <c r="AD27" s="250">
        <f t="shared" si="10"/>
        <v>0</v>
      </c>
      <c r="AE27" s="250">
        <f t="shared" si="10"/>
        <v>0</v>
      </c>
      <c r="AF27" s="250">
        <f t="shared" si="10"/>
        <v>0</v>
      </c>
      <c r="AG27" s="250">
        <f t="shared" si="10"/>
        <v>0</v>
      </c>
      <c r="AH27" s="250">
        <f t="shared" si="10"/>
        <v>0</v>
      </c>
      <c r="AI27" s="250">
        <f t="shared" si="10"/>
        <v>0</v>
      </c>
      <c r="AJ27" s="250">
        <f t="shared" si="10"/>
        <v>0</v>
      </c>
      <c r="AK27" s="250">
        <f t="shared" si="10"/>
        <v>0</v>
      </c>
      <c r="AL27" s="250">
        <f t="shared" si="10"/>
        <v>0</v>
      </c>
      <c r="AM27" s="250">
        <f t="shared" si="10"/>
        <v>0</v>
      </c>
      <c r="AN27" s="250">
        <f t="shared" si="10"/>
        <v>0</v>
      </c>
      <c r="AO27" s="250">
        <f t="shared" si="10"/>
        <v>0</v>
      </c>
      <c r="AP27" s="250">
        <f t="shared" si="10"/>
        <v>0</v>
      </c>
      <c r="AQ27" s="250">
        <f t="shared" si="10"/>
        <v>0</v>
      </c>
      <c r="AR27" s="250">
        <f t="shared" si="10"/>
        <v>0</v>
      </c>
      <c r="AS27" s="250">
        <f t="shared" si="10"/>
        <v>0</v>
      </c>
      <c r="AT27" s="250">
        <f t="shared" si="10"/>
        <v>0</v>
      </c>
      <c r="AU27" s="250">
        <f t="shared" si="10"/>
        <v>0</v>
      </c>
      <c r="AV27" s="250">
        <f t="shared" si="10"/>
        <v>0</v>
      </c>
      <c r="AW27" s="250">
        <f t="shared" si="10"/>
        <v>0</v>
      </c>
      <c r="AX27" s="250">
        <f t="shared" si="10"/>
        <v>0</v>
      </c>
      <c r="AY27" s="250">
        <f t="shared" si="10"/>
        <v>0</v>
      </c>
      <c r="AZ27" s="250">
        <f t="shared" si="10"/>
        <v>0</v>
      </c>
      <c r="BA27" s="250">
        <f t="shared" si="10"/>
        <v>0</v>
      </c>
      <c r="BB27" s="250">
        <f t="shared" si="10"/>
        <v>0</v>
      </c>
      <c r="BC27" s="250">
        <f t="shared" si="10"/>
        <v>0</v>
      </c>
      <c r="BD27" s="250">
        <f t="shared" si="10"/>
        <v>0</v>
      </c>
      <c r="BE27" s="250">
        <f t="shared" si="10"/>
        <v>0</v>
      </c>
      <c r="BF27" s="250">
        <f t="shared" si="10"/>
        <v>0</v>
      </c>
      <c r="BG27" s="250">
        <f t="shared" si="10"/>
        <v>0</v>
      </c>
      <c r="BH27" s="250">
        <f t="shared" si="10"/>
        <v>0</v>
      </c>
      <c r="BI27" s="250">
        <f t="shared" si="10"/>
        <v>0</v>
      </c>
      <c r="BJ27" s="250">
        <f t="shared" si="10"/>
        <v>0</v>
      </c>
      <c r="BK27" s="250">
        <f t="shared" si="10"/>
        <v>0</v>
      </c>
      <c r="BL27" s="250">
        <f t="shared" si="10"/>
        <v>0</v>
      </c>
      <c r="BM27" s="250">
        <f t="shared" si="10"/>
        <v>0</v>
      </c>
      <c r="BN27" s="250">
        <f t="shared" si="10"/>
        <v>0</v>
      </c>
      <c r="BO27" s="250">
        <f t="shared" si="10"/>
        <v>0</v>
      </c>
      <c r="BP27" s="250">
        <f t="shared" si="10"/>
        <v>0</v>
      </c>
      <c r="BQ27" s="250">
        <f t="shared" si="10"/>
        <v>0</v>
      </c>
      <c r="BR27" s="250">
        <f t="shared" si="10"/>
        <v>0</v>
      </c>
      <c r="BS27" s="250">
        <f t="shared" si="10"/>
        <v>0</v>
      </c>
      <c r="BT27" s="250">
        <f t="shared" si="10"/>
        <v>0</v>
      </c>
      <c r="BU27" s="250">
        <f t="shared" si="10"/>
        <v>0</v>
      </c>
      <c r="BV27" s="250">
        <f t="shared" si="10"/>
        <v>0</v>
      </c>
      <c r="BW27" s="250">
        <f t="shared" si="10"/>
        <v>0</v>
      </c>
      <c r="BX27" s="250">
        <f t="shared" si="10"/>
        <v>0</v>
      </c>
      <c r="BY27" s="252">
        <f>SUM(BY28:BY34)</f>
        <v>-91669578</v>
      </c>
      <c r="BZ27" s="771"/>
      <c r="CA27" s="226"/>
      <c r="CB27" s="252"/>
      <c r="CC27" s="771"/>
    </row>
    <row r="28" spans="1:81" ht="16" outlineLevel="1">
      <c r="A28" s="603"/>
      <c r="B28" s="787"/>
      <c r="C28" s="253" t="s">
        <v>279</v>
      </c>
      <c r="D28" s="254" t="s">
        <v>270</v>
      </c>
      <c r="E28" s="255"/>
      <c r="F28" s="255"/>
      <c r="G28" s="255"/>
      <c r="H28" s="256"/>
      <c r="I28" s="256"/>
      <c r="J28" s="256"/>
      <c r="K28" s="256"/>
      <c r="L28" s="256">
        <f>-4688041</f>
        <v>-4688041</v>
      </c>
      <c r="M28" s="256">
        <f>-3615000-6429501.53</f>
        <v>-10044501.530000001</v>
      </c>
      <c r="N28" s="256">
        <f>-19909473.57</f>
        <v>-19909473.57</v>
      </c>
      <c r="O28" s="256">
        <f>-8977222.42</f>
        <v>-8977222.4199999999</v>
      </c>
      <c r="P28" s="256">
        <f>-10127350.57*0.9-2929658.6</f>
        <v>-12044274.113</v>
      </c>
      <c r="Q28" s="256">
        <f>-(58593172+SUM($L$28:P28))</f>
        <v>-2929659.3669999987</v>
      </c>
      <c r="R28" s="256">
        <f>-1499970</f>
        <v>-1499970</v>
      </c>
      <c r="S28" s="256"/>
      <c r="T28" s="256"/>
      <c r="U28" s="256"/>
      <c r="V28" s="256">
        <f>-(Businessplan_prodej!$F$31+Businessplan_prodej!$F$49)*0.25*0.9</f>
        <v>-6300000</v>
      </c>
      <c r="W28" s="256">
        <f>-(Businessplan_prodej!$F$31+Businessplan_prodej!$F$49)*0.25*0.9</f>
        <v>-6300000</v>
      </c>
      <c r="X28" s="263">
        <f>-(Businessplan_prodej!$F$31+Businessplan_prodej!$F$49)*0.25*0.9</f>
        <v>-6300000</v>
      </c>
      <c r="Y28" s="263">
        <f>-(Businessplan_prodej!$F$31+Businessplan_prodej!$F$49)*0.15*0.9</f>
        <v>-3780000</v>
      </c>
      <c r="Z28" s="263">
        <f>-28000000-SUM(V28:Y28)-AA28</f>
        <v>-2520000</v>
      </c>
      <c r="AA28" s="269">
        <f>-2800000</f>
        <v>-2800000</v>
      </c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65">
        <f t="shared" ref="BY28:BY34" si="11">SUM(E28:BX28)</f>
        <v>-88093142</v>
      </c>
      <c r="BZ28" s="771"/>
      <c r="CA28" s="226"/>
      <c r="CB28" s="252"/>
      <c r="CC28" s="771"/>
    </row>
    <row r="29" spans="1:81" ht="16" outlineLevel="1">
      <c r="A29" s="603"/>
      <c r="B29" s="787"/>
      <c r="C29" s="253" t="s">
        <v>280</v>
      </c>
      <c r="D29" s="254" t="s">
        <v>270</v>
      </c>
      <c r="E29" s="255"/>
      <c r="F29" s="255"/>
      <c r="G29" s="255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66">
        <f t="shared" si="11"/>
        <v>0</v>
      </c>
      <c r="BZ29" s="771"/>
      <c r="CA29" s="226"/>
      <c r="CB29" s="252"/>
      <c r="CC29" s="771"/>
    </row>
    <row r="30" spans="1:81" ht="16" outlineLevel="1">
      <c r="A30" s="603"/>
      <c r="B30" s="787"/>
      <c r="C30" s="253" t="s">
        <v>281</v>
      </c>
      <c r="D30" s="254" t="s">
        <v>270</v>
      </c>
      <c r="E30" s="255"/>
      <c r="F30" s="255"/>
      <c r="G30" s="255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5"/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66">
        <f t="shared" si="11"/>
        <v>0</v>
      </c>
      <c r="BZ30" s="771"/>
      <c r="CA30" s="226"/>
      <c r="CB30" s="252"/>
      <c r="CC30" s="771"/>
    </row>
    <row r="31" spans="1:81" ht="16" outlineLevel="1">
      <c r="A31" s="603"/>
      <c r="B31" s="787"/>
      <c r="C31" s="253" t="s">
        <v>282</v>
      </c>
      <c r="D31" s="254" t="s">
        <v>270</v>
      </c>
      <c r="E31" s="255"/>
      <c r="F31" s="255"/>
      <c r="G31" s="255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5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66">
        <f t="shared" si="11"/>
        <v>0</v>
      </c>
      <c r="BZ31" s="771"/>
      <c r="CA31" s="226"/>
      <c r="CB31" s="252"/>
      <c r="CC31" s="771"/>
    </row>
    <row r="32" spans="1:81" ht="16" outlineLevel="1">
      <c r="A32" s="603"/>
      <c r="B32" s="787"/>
      <c r="C32" s="253" t="s">
        <v>283</v>
      </c>
      <c r="D32" s="254" t="s">
        <v>270</v>
      </c>
      <c r="E32" s="255"/>
      <c r="F32" s="255"/>
      <c r="G32" s="255"/>
      <c r="H32" s="256">
        <f>-2420</f>
        <v>-2420</v>
      </c>
      <c r="I32" s="256"/>
      <c r="J32" s="256"/>
      <c r="K32" s="256"/>
      <c r="L32" s="256"/>
      <c r="M32" s="256"/>
      <c r="N32" s="256">
        <f>-500-9107</f>
        <v>-9607</v>
      </c>
      <c r="O32" s="256">
        <f>-18750-2420-2470</f>
        <v>-23640</v>
      </c>
      <c r="P32" s="256">
        <f>-500-20570</f>
        <v>-21070</v>
      </c>
      <c r="Q32" s="256"/>
      <c r="R32" s="256"/>
      <c r="S32" s="256"/>
      <c r="T32" s="256"/>
      <c r="U32" s="256"/>
      <c r="V32" s="256"/>
      <c r="W32" s="256">
        <f>-Businessplan_prodej!$F$38/5</f>
        <v>0</v>
      </c>
      <c r="X32" s="256">
        <f>-Businessplan_prodej!$F$38/5</f>
        <v>0</v>
      </c>
      <c r="Y32" s="256">
        <f>-Businessplan_prodej!$F$38/5</f>
        <v>0</v>
      </c>
      <c r="Z32" s="256">
        <f>-Businessplan_prodej!$F$38/5</f>
        <v>0</v>
      </c>
      <c r="AA32" s="256">
        <f>-Businessplan_prodej!$F$38/5</f>
        <v>0</v>
      </c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66">
        <f t="shared" si="11"/>
        <v>-56737</v>
      </c>
      <c r="BZ32" s="771"/>
      <c r="CA32" s="226"/>
      <c r="CB32" s="252"/>
      <c r="CC32" s="771"/>
    </row>
    <row r="33" spans="1:83" ht="16" outlineLevel="1">
      <c r="A33" s="603"/>
      <c r="B33" s="787"/>
      <c r="C33" s="267" t="s">
        <v>284</v>
      </c>
      <c r="D33" s="254" t="s">
        <v>270</v>
      </c>
      <c r="E33" s="255"/>
      <c r="F33" s="255"/>
      <c r="G33" s="255"/>
      <c r="H33" s="256"/>
      <c r="I33" s="256">
        <f>-1081909</f>
        <v>-1081909</v>
      </c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>
        <f>-100000</f>
        <v>-100000</v>
      </c>
      <c r="Y33" s="256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66">
        <f t="shared" si="11"/>
        <v>-1181909</v>
      </c>
      <c r="BZ33" s="771"/>
      <c r="CA33" s="226"/>
      <c r="CB33" s="252"/>
      <c r="CC33" s="771"/>
      <c r="CD33" s="226"/>
      <c r="CE33" s="226"/>
    </row>
    <row r="34" spans="1:83" ht="16" outlineLevel="1">
      <c r="A34" s="603"/>
      <c r="B34" s="787"/>
      <c r="C34" s="253" t="s">
        <v>285</v>
      </c>
      <c r="D34" s="258" t="s">
        <v>270</v>
      </c>
      <c r="E34" s="255"/>
      <c r="F34" s="255"/>
      <c r="G34" s="255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>
        <f>-Businessplan_prodej!$F$41/4</f>
        <v>-584447.5</v>
      </c>
      <c r="Y34" s="256">
        <f>-Businessplan_prodej!$F$41/4</f>
        <v>-584447.5</v>
      </c>
      <c r="Z34" s="256">
        <f>-Businessplan_prodej!$F$41/4</f>
        <v>-584447.5</v>
      </c>
      <c r="AA34" s="256">
        <f>-Businessplan_prodej!$F$41/4</f>
        <v>-584447.5</v>
      </c>
      <c r="AB34" s="255"/>
      <c r="AC34" s="255"/>
      <c r="AD34" s="255"/>
      <c r="AE34" s="255"/>
      <c r="AF34" s="255"/>
      <c r="AG34" s="255"/>
      <c r="AH34" s="255"/>
      <c r="AI34" s="255"/>
      <c r="AJ34" s="255"/>
      <c r="AK34" s="255"/>
      <c r="AL34" s="255"/>
      <c r="AM34" s="255"/>
      <c r="AN34" s="255"/>
      <c r="AO34" s="255"/>
      <c r="AP34" s="255"/>
      <c r="AQ34" s="255"/>
      <c r="AR34" s="255"/>
      <c r="AS34" s="255"/>
      <c r="AT34" s="255"/>
      <c r="AU34" s="255"/>
      <c r="AV34" s="255"/>
      <c r="AW34" s="255"/>
      <c r="AX34" s="255"/>
      <c r="AY34" s="255"/>
      <c r="AZ34" s="255"/>
      <c r="BA34" s="255"/>
      <c r="BB34" s="255"/>
      <c r="BC34" s="255"/>
      <c r="BD34" s="255"/>
      <c r="BE34" s="255"/>
      <c r="BF34" s="255"/>
      <c r="BG34" s="255"/>
      <c r="BH34" s="255"/>
      <c r="BI34" s="255"/>
      <c r="BJ34" s="255"/>
      <c r="BK34" s="255"/>
      <c r="BL34" s="255"/>
      <c r="BM34" s="255"/>
      <c r="BN34" s="255"/>
      <c r="BO34" s="255"/>
      <c r="BP34" s="255"/>
      <c r="BQ34" s="255"/>
      <c r="BR34" s="255"/>
      <c r="BS34" s="255"/>
      <c r="BT34" s="255"/>
      <c r="BU34" s="255"/>
      <c r="BV34" s="255"/>
      <c r="BW34" s="255"/>
      <c r="BX34" s="264"/>
      <c r="BY34" s="268">
        <f t="shared" si="11"/>
        <v>-2337790</v>
      </c>
      <c r="BZ34" s="771"/>
      <c r="CA34" s="226"/>
      <c r="CB34" s="252"/>
      <c r="CC34" s="771"/>
      <c r="CD34" s="226"/>
      <c r="CE34" s="226"/>
    </row>
    <row r="35" spans="1:83" ht="16" collapsed="1">
      <c r="A35" s="603"/>
      <c r="B35" s="787"/>
      <c r="C35" s="248" t="s">
        <v>286</v>
      </c>
      <c r="D35" s="249"/>
      <c r="E35" s="250">
        <f t="shared" ref="E35:BX35" si="12">SUM(E36:E37)</f>
        <v>0</v>
      </c>
      <c r="F35" s="250">
        <f t="shared" si="12"/>
        <v>0</v>
      </c>
      <c r="G35" s="250">
        <f t="shared" si="12"/>
        <v>0</v>
      </c>
      <c r="H35" s="250">
        <f t="shared" si="12"/>
        <v>0</v>
      </c>
      <c r="I35" s="250">
        <f t="shared" si="12"/>
        <v>0</v>
      </c>
      <c r="J35" s="250">
        <f t="shared" si="12"/>
        <v>0</v>
      </c>
      <c r="K35" s="250">
        <f t="shared" si="12"/>
        <v>0</v>
      </c>
      <c r="L35" s="250">
        <f t="shared" si="12"/>
        <v>0</v>
      </c>
      <c r="M35" s="250">
        <f t="shared" si="12"/>
        <v>0</v>
      </c>
      <c r="N35" s="250">
        <f t="shared" si="12"/>
        <v>0</v>
      </c>
      <c r="O35" s="250">
        <f t="shared" si="12"/>
        <v>0</v>
      </c>
      <c r="P35" s="250">
        <f t="shared" si="12"/>
        <v>0</v>
      </c>
      <c r="Q35" s="250">
        <f t="shared" si="12"/>
        <v>0</v>
      </c>
      <c r="R35" s="250">
        <f t="shared" si="12"/>
        <v>0</v>
      </c>
      <c r="S35" s="250">
        <f t="shared" si="12"/>
        <v>0</v>
      </c>
      <c r="T35" s="250">
        <f t="shared" si="12"/>
        <v>0</v>
      </c>
      <c r="U35" s="250">
        <f t="shared" si="12"/>
        <v>0</v>
      </c>
      <c r="V35" s="250">
        <f t="shared" si="12"/>
        <v>0</v>
      </c>
      <c r="W35" s="250">
        <f t="shared" si="12"/>
        <v>0</v>
      </c>
      <c r="X35" s="250">
        <f t="shared" si="12"/>
        <v>0</v>
      </c>
      <c r="Y35" s="250">
        <f t="shared" si="12"/>
        <v>0</v>
      </c>
      <c r="Z35" s="250">
        <f t="shared" si="12"/>
        <v>0</v>
      </c>
      <c r="AA35" s="250">
        <f t="shared" si="12"/>
        <v>0</v>
      </c>
      <c r="AB35" s="250">
        <f t="shared" si="12"/>
        <v>0</v>
      </c>
      <c r="AC35" s="250">
        <f t="shared" si="12"/>
        <v>0</v>
      </c>
      <c r="AD35" s="250">
        <f t="shared" si="12"/>
        <v>0</v>
      </c>
      <c r="AE35" s="250">
        <f t="shared" si="12"/>
        <v>0</v>
      </c>
      <c r="AF35" s="250">
        <f t="shared" si="12"/>
        <v>0</v>
      </c>
      <c r="AG35" s="250">
        <f t="shared" si="12"/>
        <v>0</v>
      </c>
      <c r="AH35" s="250">
        <f t="shared" si="12"/>
        <v>0</v>
      </c>
      <c r="AI35" s="250">
        <f t="shared" si="12"/>
        <v>0</v>
      </c>
      <c r="AJ35" s="250">
        <f t="shared" si="12"/>
        <v>0</v>
      </c>
      <c r="AK35" s="250">
        <f t="shared" si="12"/>
        <v>0</v>
      </c>
      <c r="AL35" s="250">
        <f t="shared" si="12"/>
        <v>0</v>
      </c>
      <c r="AM35" s="250">
        <f t="shared" si="12"/>
        <v>0</v>
      </c>
      <c r="AN35" s="250">
        <f t="shared" si="12"/>
        <v>0</v>
      </c>
      <c r="AO35" s="250">
        <f t="shared" si="12"/>
        <v>0</v>
      </c>
      <c r="AP35" s="250">
        <f t="shared" si="12"/>
        <v>0</v>
      </c>
      <c r="AQ35" s="250">
        <f t="shared" si="12"/>
        <v>0</v>
      </c>
      <c r="AR35" s="250">
        <f t="shared" si="12"/>
        <v>0</v>
      </c>
      <c r="AS35" s="250">
        <f t="shared" si="12"/>
        <v>0</v>
      </c>
      <c r="AT35" s="250">
        <f t="shared" si="12"/>
        <v>0</v>
      </c>
      <c r="AU35" s="250">
        <f t="shared" si="12"/>
        <v>0</v>
      </c>
      <c r="AV35" s="250">
        <f t="shared" si="12"/>
        <v>0</v>
      </c>
      <c r="AW35" s="250">
        <f t="shared" si="12"/>
        <v>0</v>
      </c>
      <c r="AX35" s="250">
        <f t="shared" si="12"/>
        <v>0</v>
      </c>
      <c r="AY35" s="250">
        <f t="shared" si="12"/>
        <v>0</v>
      </c>
      <c r="AZ35" s="250">
        <f t="shared" si="12"/>
        <v>0</v>
      </c>
      <c r="BA35" s="250">
        <f t="shared" si="12"/>
        <v>0</v>
      </c>
      <c r="BB35" s="250">
        <f t="shared" si="12"/>
        <v>0</v>
      </c>
      <c r="BC35" s="250">
        <f t="shared" si="12"/>
        <v>0</v>
      </c>
      <c r="BD35" s="250">
        <f t="shared" si="12"/>
        <v>0</v>
      </c>
      <c r="BE35" s="250">
        <f t="shared" si="12"/>
        <v>0</v>
      </c>
      <c r="BF35" s="250">
        <f t="shared" si="12"/>
        <v>0</v>
      </c>
      <c r="BG35" s="250">
        <f t="shared" si="12"/>
        <v>0</v>
      </c>
      <c r="BH35" s="250">
        <f t="shared" si="12"/>
        <v>0</v>
      </c>
      <c r="BI35" s="250">
        <f t="shared" si="12"/>
        <v>0</v>
      </c>
      <c r="BJ35" s="250">
        <f t="shared" si="12"/>
        <v>0</v>
      </c>
      <c r="BK35" s="250">
        <f t="shared" si="12"/>
        <v>0</v>
      </c>
      <c r="BL35" s="250">
        <f t="shared" si="12"/>
        <v>0</v>
      </c>
      <c r="BM35" s="250">
        <f t="shared" si="12"/>
        <v>0</v>
      </c>
      <c r="BN35" s="250">
        <f t="shared" si="12"/>
        <v>0</v>
      </c>
      <c r="BO35" s="250">
        <f t="shared" si="12"/>
        <v>0</v>
      </c>
      <c r="BP35" s="250">
        <f t="shared" si="12"/>
        <v>0</v>
      </c>
      <c r="BQ35" s="250">
        <f t="shared" si="12"/>
        <v>0</v>
      </c>
      <c r="BR35" s="250">
        <f t="shared" si="12"/>
        <v>0</v>
      </c>
      <c r="BS35" s="250">
        <f t="shared" si="12"/>
        <v>0</v>
      </c>
      <c r="BT35" s="250">
        <f t="shared" si="12"/>
        <v>0</v>
      </c>
      <c r="BU35" s="250">
        <f t="shared" si="12"/>
        <v>0</v>
      </c>
      <c r="BV35" s="250">
        <f t="shared" si="12"/>
        <v>0</v>
      </c>
      <c r="BW35" s="250">
        <f t="shared" si="12"/>
        <v>0</v>
      </c>
      <c r="BX35" s="250">
        <f t="shared" si="12"/>
        <v>0</v>
      </c>
      <c r="BY35" s="252">
        <f>SUM(BY36:BY37)</f>
        <v>0</v>
      </c>
      <c r="BZ35" s="771"/>
      <c r="CA35" s="226"/>
      <c r="CB35" s="252"/>
      <c r="CC35" s="771"/>
      <c r="CD35" s="226"/>
      <c r="CE35" s="226"/>
    </row>
    <row r="36" spans="1:83" ht="16" hidden="1" outlineLevel="1">
      <c r="A36" s="603"/>
      <c r="B36" s="787"/>
      <c r="C36" s="253" t="s">
        <v>287</v>
      </c>
      <c r="D36" s="254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55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65">
        <f t="shared" ref="BY36:BY37" si="13">SUM(E36:BX36)</f>
        <v>0</v>
      </c>
      <c r="BZ36" s="771"/>
      <c r="CA36" s="226"/>
      <c r="CB36" s="252"/>
      <c r="CC36" s="771"/>
      <c r="CD36" s="226"/>
      <c r="CE36" s="226"/>
    </row>
    <row r="37" spans="1:83" ht="16" hidden="1" outlineLevel="1">
      <c r="A37" s="603"/>
      <c r="B37" s="787"/>
      <c r="C37" s="253" t="s">
        <v>288</v>
      </c>
      <c r="D37" s="258" t="s">
        <v>270</v>
      </c>
      <c r="E37" s="255"/>
      <c r="F37" s="255"/>
      <c r="G37" s="255"/>
      <c r="H37" s="255"/>
      <c r="I37" s="255"/>
      <c r="J37" s="255"/>
      <c r="K37" s="255"/>
      <c r="L37" s="255"/>
      <c r="M37" s="255"/>
      <c r="N37" s="255"/>
      <c r="O37" s="255"/>
      <c r="P37" s="255"/>
      <c r="Q37" s="255"/>
      <c r="R37" s="255"/>
      <c r="S37" s="270"/>
      <c r="T37" s="255"/>
      <c r="U37" s="255"/>
      <c r="V37" s="255"/>
      <c r="W37" s="255"/>
      <c r="X37" s="255"/>
      <c r="Y37" s="255"/>
      <c r="Z37" s="255"/>
      <c r="AA37" s="255"/>
      <c r="AB37" s="255"/>
      <c r="AC37" s="255"/>
      <c r="AD37" s="255"/>
      <c r="AE37" s="255"/>
      <c r="AF37" s="255"/>
      <c r="AG37" s="255"/>
      <c r="AH37" s="255"/>
      <c r="AI37" s="255"/>
      <c r="AJ37" s="255"/>
      <c r="AK37" s="255"/>
      <c r="AL37" s="255"/>
      <c r="AM37" s="255"/>
      <c r="AN37" s="255"/>
      <c r="AO37" s="255"/>
      <c r="AP37" s="255"/>
      <c r="AQ37" s="255"/>
      <c r="AR37" s="255"/>
      <c r="AS37" s="255"/>
      <c r="AT37" s="255"/>
      <c r="AU37" s="255"/>
      <c r="AV37" s="255"/>
      <c r="AW37" s="255"/>
      <c r="AX37" s="255"/>
      <c r="AY37" s="255"/>
      <c r="AZ37" s="255"/>
      <c r="BA37" s="255"/>
      <c r="BB37" s="255"/>
      <c r="BC37" s="255"/>
      <c r="BD37" s="255"/>
      <c r="BE37" s="255"/>
      <c r="BF37" s="255"/>
      <c r="BG37" s="255"/>
      <c r="BH37" s="255"/>
      <c r="BI37" s="255"/>
      <c r="BJ37" s="255"/>
      <c r="BK37" s="255"/>
      <c r="BL37" s="255"/>
      <c r="BM37" s="255"/>
      <c r="BN37" s="255"/>
      <c r="BO37" s="255"/>
      <c r="BP37" s="255"/>
      <c r="BQ37" s="255"/>
      <c r="BR37" s="255"/>
      <c r="BS37" s="255"/>
      <c r="BT37" s="255"/>
      <c r="BU37" s="255"/>
      <c r="BV37" s="255"/>
      <c r="BW37" s="255"/>
      <c r="BX37" s="264"/>
      <c r="BY37" s="268">
        <f t="shared" si="13"/>
        <v>0</v>
      </c>
      <c r="BZ37" s="771"/>
      <c r="CA37" s="226"/>
      <c r="CB37" s="252"/>
      <c r="CC37" s="771"/>
      <c r="CD37" s="226"/>
      <c r="CE37" s="226"/>
    </row>
    <row r="38" spans="1:83" ht="16">
      <c r="A38" s="603"/>
      <c r="B38" s="787"/>
      <c r="C38" s="248" t="s">
        <v>289</v>
      </c>
      <c r="D38" s="249"/>
      <c r="E38" s="250">
        <f t="shared" ref="E38:G38" si="14">SUM(E39:E49)</f>
        <v>0</v>
      </c>
      <c r="F38" s="250">
        <f t="shared" si="14"/>
        <v>0</v>
      </c>
      <c r="G38" s="250">
        <f t="shared" si="14"/>
        <v>0</v>
      </c>
      <c r="H38" s="250">
        <f t="shared" ref="H38:BM38" si="15">SUM(H39:H42,H43,H46,H47:H49)</f>
        <v>-113225.2</v>
      </c>
      <c r="I38" s="250">
        <f t="shared" si="15"/>
        <v>-414970</v>
      </c>
      <c r="J38" s="250">
        <f t="shared" si="15"/>
        <v>-1007845.81</v>
      </c>
      <c r="K38" s="250">
        <f t="shared" si="15"/>
        <v>-901583.60700000008</v>
      </c>
      <c r="L38" s="250">
        <f t="shared" si="15"/>
        <v>-332396.81</v>
      </c>
      <c r="M38" s="250">
        <f t="shared" si="15"/>
        <v>-666968.62</v>
      </c>
      <c r="N38" s="250">
        <f t="shared" si="15"/>
        <v>-25339</v>
      </c>
      <c r="O38" s="250">
        <f t="shared" si="15"/>
        <v>-744252.62</v>
      </c>
      <c r="P38" s="250">
        <f t="shared" si="15"/>
        <v>-417381.81</v>
      </c>
      <c r="Q38" s="250">
        <f t="shared" si="15"/>
        <v>-306298.36900000001</v>
      </c>
      <c r="R38" s="250">
        <f t="shared" si="15"/>
        <v>-427733.66000000003</v>
      </c>
      <c r="S38" s="250">
        <f t="shared" si="15"/>
        <v>-34227</v>
      </c>
      <c r="T38" s="250">
        <f t="shared" si="15"/>
        <v>-132833</v>
      </c>
      <c r="U38" s="250">
        <f t="shared" si="15"/>
        <v>-57152.54</v>
      </c>
      <c r="V38" s="250">
        <f t="shared" si="15"/>
        <v>-1393880.925</v>
      </c>
      <c r="W38" s="250">
        <f t="shared" si="15"/>
        <v>-480974.81</v>
      </c>
      <c r="X38" s="250">
        <f t="shared" si="15"/>
        <v>-420913</v>
      </c>
      <c r="Y38" s="250">
        <f t="shared" si="15"/>
        <v>-420913</v>
      </c>
      <c r="Z38" s="250">
        <f t="shared" si="15"/>
        <v>-474888.69082499982</v>
      </c>
      <c r="AA38" s="250">
        <f t="shared" si="15"/>
        <v>-251807</v>
      </c>
      <c r="AB38" s="250">
        <f t="shared" si="15"/>
        <v>-143681.92499999999</v>
      </c>
      <c r="AC38" s="250">
        <f t="shared" si="15"/>
        <v>0</v>
      </c>
      <c r="AD38" s="250">
        <f t="shared" si="15"/>
        <v>0</v>
      </c>
      <c r="AE38" s="250">
        <f t="shared" si="15"/>
        <v>0</v>
      </c>
      <c r="AF38" s="250">
        <f t="shared" si="15"/>
        <v>0</v>
      </c>
      <c r="AG38" s="250">
        <f t="shared" si="15"/>
        <v>0</v>
      </c>
      <c r="AH38" s="250">
        <f t="shared" si="15"/>
        <v>0</v>
      </c>
      <c r="AI38" s="250">
        <f t="shared" si="15"/>
        <v>0</v>
      </c>
      <c r="AJ38" s="250">
        <f t="shared" si="15"/>
        <v>0</v>
      </c>
      <c r="AK38" s="250">
        <f t="shared" si="15"/>
        <v>0</v>
      </c>
      <c r="AL38" s="250">
        <f t="shared" si="15"/>
        <v>0</v>
      </c>
      <c r="AM38" s="250">
        <f t="shared" si="15"/>
        <v>0</v>
      </c>
      <c r="AN38" s="250">
        <f t="shared" si="15"/>
        <v>0</v>
      </c>
      <c r="AO38" s="250">
        <f t="shared" si="15"/>
        <v>-30000</v>
      </c>
      <c r="AP38" s="250">
        <f t="shared" si="15"/>
        <v>-30000</v>
      </c>
      <c r="AQ38" s="250">
        <f t="shared" si="15"/>
        <v>-30000</v>
      </c>
      <c r="AR38" s="250">
        <f t="shared" si="15"/>
        <v>-30000</v>
      </c>
      <c r="AS38" s="250">
        <f t="shared" si="15"/>
        <v>-30000</v>
      </c>
      <c r="AT38" s="250">
        <f t="shared" si="15"/>
        <v>-30000</v>
      </c>
      <c r="AU38" s="250">
        <f t="shared" si="15"/>
        <v>-30000</v>
      </c>
      <c r="AV38" s="250">
        <f t="shared" si="15"/>
        <v>-30000</v>
      </c>
      <c r="AW38" s="250">
        <f t="shared" si="15"/>
        <v>-30000</v>
      </c>
      <c r="AX38" s="250">
        <f t="shared" si="15"/>
        <v>-30000</v>
      </c>
      <c r="AY38" s="250">
        <f t="shared" si="15"/>
        <v>-30000</v>
      </c>
      <c r="AZ38" s="250">
        <f t="shared" si="15"/>
        <v>-30000</v>
      </c>
      <c r="BA38" s="250">
        <f t="shared" si="15"/>
        <v>0</v>
      </c>
      <c r="BB38" s="250">
        <f t="shared" si="15"/>
        <v>0</v>
      </c>
      <c r="BC38" s="250">
        <f t="shared" si="15"/>
        <v>0</v>
      </c>
      <c r="BD38" s="250">
        <f t="shared" si="15"/>
        <v>0</v>
      </c>
      <c r="BE38" s="250">
        <f t="shared" si="15"/>
        <v>0</v>
      </c>
      <c r="BF38" s="250">
        <f t="shared" si="15"/>
        <v>0</v>
      </c>
      <c r="BG38" s="250">
        <f t="shared" si="15"/>
        <v>0</v>
      </c>
      <c r="BH38" s="250">
        <f t="shared" si="15"/>
        <v>0</v>
      </c>
      <c r="BI38" s="250">
        <f t="shared" si="15"/>
        <v>0</v>
      </c>
      <c r="BJ38" s="250">
        <f t="shared" si="15"/>
        <v>0</v>
      </c>
      <c r="BK38" s="250">
        <f t="shared" si="15"/>
        <v>0</v>
      </c>
      <c r="BL38" s="250">
        <f t="shared" si="15"/>
        <v>0</v>
      </c>
      <c r="BM38" s="250">
        <f t="shared" si="15"/>
        <v>0</v>
      </c>
      <c r="BN38" s="250">
        <f t="shared" ref="BN38:BX38" si="16">SUM(BN39:BN49)</f>
        <v>0</v>
      </c>
      <c r="BO38" s="250">
        <f t="shared" si="16"/>
        <v>0</v>
      </c>
      <c r="BP38" s="250">
        <f t="shared" si="16"/>
        <v>0</v>
      </c>
      <c r="BQ38" s="250">
        <f t="shared" si="16"/>
        <v>0</v>
      </c>
      <c r="BR38" s="250">
        <f t="shared" si="16"/>
        <v>0</v>
      </c>
      <c r="BS38" s="250">
        <f t="shared" si="16"/>
        <v>0</v>
      </c>
      <c r="BT38" s="250">
        <f t="shared" si="16"/>
        <v>0</v>
      </c>
      <c r="BU38" s="250">
        <f t="shared" si="16"/>
        <v>0</v>
      </c>
      <c r="BV38" s="250">
        <f t="shared" si="16"/>
        <v>0</v>
      </c>
      <c r="BW38" s="250">
        <f t="shared" si="16"/>
        <v>0</v>
      </c>
      <c r="BX38" s="250">
        <f t="shared" si="16"/>
        <v>0</v>
      </c>
      <c r="BY38" s="252">
        <f>SUM(BY39:BY43,BY46:BY49)</f>
        <v>-9529267.3968250006</v>
      </c>
      <c r="BZ38" s="771"/>
      <c r="CA38" s="226"/>
      <c r="CB38" s="252"/>
      <c r="CC38" s="771"/>
      <c r="CD38" s="226"/>
      <c r="CE38" s="711">
        <f>AO38*0.21</f>
        <v>-6300</v>
      </c>
    </row>
    <row r="39" spans="1:83" ht="16" outlineLevel="1">
      <c r="A39" s="603"/>
      <c r="B39" s="787"/>
      <c r="C39" s="267" t="s">
        <v>216</v>
      </c>
      <c r="D39" s="254" t="s">
        <v>270</v>
      </c>
      <c r="E39" s="259"/>
      <c r="F39" s="259"/>
      <c r="G39" s="259"/>
      <c r="H39" s="260"/>
      <c r="I39" s="260">
        <f>-400000</f>
        <v>-400000</v>
      </c>
      <c r="J39" s="260">
        <f>-661353-(23520+28160+192281+20000)*1.21</f>
        <v>-980745.81</v>
      </c>
      <c r="K39" s="260"/>
      <c r="L39" s="260">
        <f>-(23520+28160+192281+20000)*1.21</f>
        <v>-319392.81</v>
      </c>
      <c r="M39" s="260">
        <f>-(23520+28160+192281+20000)*1.21-(23520+28160+192281+20000)*1.21</f>
        <v>-638785.62</v>
      </c>
      <c r="N39" s="260"/>
      <c r="O39" s="260">
        <f>-(23520+28160+192281+20000)*1.21*2</f>
        <v>-638785.62</v>
      </c>
      <c r="P39" s="260">
        <f>-(23520+28160+192281+20000)*1.21</f>
        <v>-319392.81</v>
      </c>
      <c r="Q39" s="260"/>
      <c r="R39" s="260">
        <f>-(23520+28160+192281+20000)*1.21</f>
        <v>-319392.81</v>
      </c>
      <c r="S39" s="260"/>
      <c r="T39" s="260"/>
      <c r="U39" s="260"/>
      <c r="V39" s="260">
        <f>-487954</f>
        <v>-487954</v>
      </c>
      <c r="W39" s="260">
        <f>-387319</f>
        <v>-387319</v>
      </c>
      <c r="X39" s="260">
        <f t="shared" ref="X39:Z39" si="17">-387318</f>
        <v>-387318</v>
      </c>
      <c r="Y39" s="260">
        <f t="shared" si="17"/>
        <v>-387318</v>
      </c>
      <c r="Z39" s="260">
        <f t="shared" si="17"/>
        <v>-387318</v>
      </c>
      <c r="AA39" s="260">
        <f>-237572</f>
        <v>-237572</v>
      </c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65">
        <f t="shared" ref="BY39:BY49" si="18">SUM(E39:BX39)</f>
        <v>-5891294.4800000004</v>
      </c>
      <c r="BZ39" s="771"/>
      <c r="CA39" s="226"/>
      <c r="CB39" s="252"/>
      <c r="CC39" s="771"/>
      <c r="CD39" s="226"/>
      <c r="CE39" s="226"/>
    </row>
    <row r="40" spans="1:83" ht="16" outlineLevel="1">
      <c r="A40" s="603"/>
      <c r="B40" s="787"/>
      <c r="C40" s="267" t="s">
        <v>217</v>
      </c>
      <c r="D40" s="254" t="s">
        <v>270</v>
      </c>
      <c r="E40" s="259"/>
      <c r="F40" s="259"/>
      <c r="G40" s="259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60"/>
      <c r="T40" s="260"/>
      <c r="U40" s="260"/>
      <c r="V40" s="260"/>
      <c r="W40" s="260"/>
      <c r="X40" s="260"/>
      <c r="Y40" s="260"/>
      <c r="Z40" s="260"/>
      <c r="AA40" s="260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66">
        <f t="shared" si="18"/>
        <v>0</v>
      </c>
      <c r="BZ40" s="771"/>
      <c r="CA40" s="226"/>
      <c r="CB40" s="252"/>
      <c r="CC40" s="771"/>
      <c r="CD40" s="226"/>
      <c r="CE40" s="226"/>
    </row>
    <row r="41" spans="1:83" ht="16" outlineLevel="1">
      <c r="A41" s="603"/>
      <c r="B41" s="787"/>
      <c r="C41" s="267" t="s">
        <v>218</v>
      </c>
      <c r="D41" s="254" t="s">
        <v>270</v>
      </c>
      <c r="E41" s="259"/>
      <c r="F41" s="259"/>
      <c r="G41" s="259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272"/>
      <c r="T41" s="272"/>
      <c r="U41" s="259"/>
      <c r="V41" s="259"/>
      <c r="W41" s="259"/>
      <c r="X41" s="259"/>
      <c r="Y41" s="259"/>
      <c r="Z41" s="259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66">
        <f t="shared" si="18"/>
        <v>0</v>
      </c>
      <c r="BZ41" s="771"/>
      <c r="CA41" s="226"/>
      <c r="CB41" s="252"/>
      <c r="CC41" s="771"/>
      <c r="CD41" s="226"/>
      <c r="CE41" s="336"/>
    </row>
    <row r="42" spans="1:83" ht="16" outlineLevel="1">
      <c r="A42" s="603"/>
      <c r="B42" s="787"/>
      <c r="C42" s="267" t="s">
        <v>222</v>
      </c>
      <c r="D42" s="254" t="s">
        <v>270</v>
      </c>
      <c r="E42" s="259"/>
      <c r="F42" s="259"/>
      <c r="G42" s="259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72"/>
      <c r="S42" s="272"/>
      <c r="T42" s="272"/>
      <c r="U42" s="272"/>
      <c r="V42" s="272"/>
      <c r="W42" s="272"/>
      <c r="X42" s="272"/>
      <c r="Y42" s="272"/>
      <c r="Z42" s="272"/>
      <c r="AA42" s="259"/>
      <c r="AB42" s="259"/>
      <c r="AC42" s="259"/>
      <c r="AD42" s="259"/>
      <c r="AE42" s="259"/>
      <c r="AF42" s="259"/>
      <c r="AG42" s="259"/>
      <c r="AH42" s="259"/>
      <c r="AI42" s="259"/>
      <c r="AJ42" s="259"/>
      <c r="AK42" s="259"/>
      <c r="AL42" s="259"/>
      <c r="AM42" s="259"/>
      <c r="AN42" s="259"/>
      <c r="AO42" s="259"/>
      <c r="AP42" s="259"/>
      <c r="AQ42" s="259"/>
      <c r="AR42" s="259"/>
      <c r="AS42" s="259"/>
      <c r="AT42" s="259"/>
      <c r="AU42" s="259"/>
      <c r="AV42" s="259"/>
      <c r="AW42" s="259"/>
      <c r="AX42" s="259"/>
      <c r="AY42" s="259"/>
      <c r="AZ42" s="259"/>
      <c r="BA42" s="259"/>
      <c r="BB42" s="259"/>
      <c r="BC42" s="259"/>
      <c r="BD42" s="259"/>
      <c r="BE42" s="259"/>
      <c r="BF42" s="259"/>
      <c r="BG42" s="259"/>
      <c r="BH42" s="259"/>
      <c r="BI42" s="259"/>
      <c r="BJ42" s="259"/>
      <c r="BK42" s="259"/>
      <c r="BL42" s="259"/>
      <c r="BM42" s="259"/>
      <c r="BN42" s="259"/>
      <c r="BO42" s="259"/>
      <c r="BP42" s="259"/>
      <c r="BQ42" s="259"/>
      <c r="BR42" s="259"/>
      <c r="BS42" s="259"/>
      <c r="BT42" s="259"/>
      <c r="BU42" s="259"/>
      <c r="BV42" s="259"/>
      <c r="BW42" s="259"/>
      <c r="BX42" s="271"/>
      <c r="BY42" s="266">
        <f t="shared" si="18"/>
        <v>0</v>
      </c>
      <c r="BZ42" s="771"/>
      <c r="CA42" s="226"/>
      <c r="CB42" s="252"/>
      <c r="CC42" s="771"/>
      <c r="CD42" s="226"/>
      <c r="CE42" s="226"/>
    </row>
    <row r="43" spans="1:83" ht="16" outlineLevel="1">
      <c r="A43" s="603"/>
      <c r="B43" s="787"/>
      <c r="C43" s="253" t="s">
        <v>223</v>
      </c>
      <c r="D43" s="273" t="s">
        <v>270</v>
      </c>
      <c r="E43" s="274"/>
      <c r="F43" s="275"/>
      <c r="G43" s="275"/>
      <c r="H43" s="275">
        <f t="shared" ref="H43:BA43" si="19">SUM(H44:H45)</f>
        <v>-36364</v>
      </c>
      <c r="I43" s="275">
        <f t="shared" si="19"/>
        <v>-8194</v>
      </c>
      <c r="J43" s="275">
        <f t="shared" si="19"/>
        <v>-27000</v>
      </c>
      <c r="K43" s="275">
        <f t="shared" si="19"/>
        <v>-7113</v>
      </c>
      <c r="L43" s="275">
        <f t="shared" si="19"/>
        <v>-5262</v>
      </c>
      <c r="M43" s="275">
        <f t="shared" si="19"/>
        <v>-3613</v>
      </c>
      <c r="N43" s="275">
        <f t="shared" si="19"/>
        <v>-3999</v>
      </c>
      <c r="O43" s="275">
        <f t="shared" si="19"/>
        <v>-6441</v>
      </c>
      <c r="P43" s="275">
        <f t="shared" si="19"/>
        <v>-8402</v>
      </c>
      <c r="Q43" s="275">
        <f t="shared" si="19"/>
        <v>-8131</v>
      </c>
      <c r="R43" s="275">
        <f t="shared" si="19"/>
        <v>-101110.85</v>
      </c>
      <c r="S43" s="275">
        <f t="shared" si="19"/>
        <v>-22651</v>
      </c>
      <c r="T43" s="275">
        <f t="shared" si="19"/>
        <v>-18691</v>
      </c>
      <c r="U43" s="275">
        <f t="shared" si="19"/>
        <v>-10000</v>
      </c>
      <c r="V43" s="275">
        <f t="shared" si="19"/>
        <v>-10000</v>
      </c>
      <c r="W43" s="275">
        <f t="shared" si="19"/>
        <v>-5959</v>
      </c>
      <c r="X43" s="275">
        <f t="shared" si="19"/>
        <v>-10000</v>
      </c>
      <c r="Y43" s="275">
        <f t="shared" si="19"/>
        <v>-10000</v>
      </c>
      <c r="Z43" s="275">
        <f t="shared" si="19"/>
        <v>-10000</v>
      </c>
      <c r="AA43" s="275">
        <f t="shared" si="19"/>
        <v>-10000</v>
      </c>
      <c r="AB43" s="275">
        <f t="shared" si="19"/>
        <v>-110000</v>
      </c>
      <c r="AC43" s="275">
        <f t="shared" si="19"/>
        <v>0</v>
      </c>
      <c r="AD43" s="275">
        <f t="shared" si="19"/>
        <v>0</v>
      </c>
      <c r="AE43" s="275">
        <f t="shared" si="19"/>
        <v>0</v>
      </c>
      <c r="AF43" s="275">
        <f t="shared" si="19"/>
        <v>0</v>
      </c>
      <c r="AG43" s="275">
        <f t="shared" si="19"/>
        <v>0</v>
      </c>
      <c r="AH43" s="275">
        <f t="shared" si="19"/>
        <v>0</v>
      </c>
      <c r="AI43" s="275">
        <f t="shared" si="19"/>
        <v>0</v>
      </c>
      <c r="AJ43" s="275">
        <f t="shared" si="19"/>
        <v>0</v>
      </c>
      <c r="AK43" s="275">
        <f t="shared" si="19"/>
        <v>0</v>
      </c>
      <c r="AL43" s="275">
        <f t="shared" si="19"/>
        <v>0</v>
      </c>
      <c r="AM43" s="275">
        <f t="shared" si="19"/>
        <v>0</v>
      </c>
      <c r="AN43" s="275">
        <f t="shared" si="19"/>
        <v>0</v>
      </c>
      <c r="AO43" s="275">
        <f t="shared" si="19"/>
        <v>-10000</v>
      </c>
      <c r="AP43" s="275">
        <f t="shared" si="19"/>
        <v>-10000</v>
      </c>
      <c r="AQ43" s="275">
        <f t="shared" si="19"/>
        <v>-10000</v>
      </c>
      <c r="AR43" s="275">
        <f t="shared" si="19"/>
        <v>-10000</v>
      </c>
      <c r="AS43" s="275">
        <f t="shared" si="19"/>
        <v>-10000</v>
      </c>
      <c r="AT43" s="275">
        <f t="shared" si="19"/>
        <v>-10000</v>
      </c>
      <c r="AU43" s="275">
        <f t="shared" si="19"/>
        <v>-10000</v>
      </c>
      <c r="AV43" s="275">
        <f t="shared" si="19"/>
        <v>-10000</v>
      </c>
      <c r="AW43" s="275">
        <f t="shared" si="19"/>
        <v>-10000</v>
      </c>
      <c r="AX43" s="275">
        <f t="shared" si="19"/>
        <v>-10000</v>
      </c>
      <c r="AY43" s="275">
        <f t="shared" si="19"/>
        <v>-10000</v>
      </c>
      <c r="AZ43" s="275">
        <f t="shared" si="19"/>
        <v>-10000</v>
      </c>
      <c r="BA43" s="275">
        <f t="shared" si="19"/>
        <v>0</v>
      </c>
      <c r="BB43" s="275"/>
      <c r="BC43" s="275"/>
      <c r="BD43" s="275"/>
      <c r="BE43" s="275"/>
      <c r="BF43" s="275"/>
      <c r="BG43" s="275"/>
      <c r="BH43" s="275"/>
      <c r="BI43" s="275"/>
      <c r="BJ43" s="275"/>
      <c r="BK43" s="275"/>
      <c r="BL43" s="275"/>
      <c r="BM43" s="276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66">
        <f t="shared" si="18"/>
        <v>-552930.85</v>
      </c>
      <c r="BZ43" s="771"/>
      <c r="CA43" s="226"/>
      <c r="CB43" s="252"/>
      <c r="CC43" s="771"/>
      <c r="CD43" s="226"/>
      <c r="CE43" s="226"/>
    </row>
    <row r="44" spans="1:83" ht="16" outlineLevel="2">
      <c r="A44" s="603"/>
      <c r="B44" s="787"/>
      <c r="C44" s="277" t="s">
        <v>290</v>
      </c>
      <c r="D44" s="254" t="s">
        <v>270</v>
      </c>
      <c r="E44" s="255"/>
      <c r="F44" s="255"/>
      <c r="G44" s="255"/>
      <c r="H44" s="278">
        <f>-11364</f>
        <v>-11364</v>
      </c>
      <c r="I44" s="278">
        <f>-8194</f>
        <v>-8194</v>
      </c>
      <c r="J44" s="278"/>
      <c r="K44" s="278">
        <f>-3219-3894</f>
        <v>-7113</v>
      </c>
      <c r="L44" s="278">
        <f>-5262</f>
        <v>-5262</v>
      </c>
      <c r="M44" s="278">
        <f>-3613</f>
        <v>-3613</v>
      </c>
      <c r="N44" s="278">
        <f>-3999</f>
        <v>-3999</v>
      </c>
      <c r="O44" s="278">
        <f>-6441</f>
        <v>-6441</v>
      </c>
      <c r="P44" s="278">
        <f>-8402</f>
        <v>-8402</v>
      </c>
      <c r="Q44" s="278">
        <f>-8131</f>
        <v>-8131</v>
      </c>
      <c r="R44" s="278">
        <f>-4200-5816</f>
        <v>-10016</v>
      </c>
      <c r="S44" s="278">
        <f>-22651</f>
        <v>-22651</v>
      </c>
      <c r="T44" s="278">
        <f>-18691</f>
        <v>-18691</v>
      </c>
      <c r="U44" s="278">
        <f>-(Businessplan_prodej!$F$88-3000*25)/11</f>
        <v>-10000</v>
      </c>
      <c r="V44" s="278">
        <f>-(Businessplan_prodej!$F$88-3000*25)/11</f>
        <v>-10000</v>
      </c>
      <c r="W44" s="278">
        <f>-5959</f>
        <v>-5959</v>
      </c>
      <c r="X44" s="278">
        <f>-(Businessplan_prodej!$F$88-3000*25)/11</f>
        <v>-10000</v>
      </c>
      <c r="Y44" s="278">
        <f>-(Businessplan_prodej!$F$88-3000*25)/11</f>
        <v>-10000</v>
      </c>
      <c r="Z44" s="278">
        <f>-(Businessplan_prodej!$F$88-3000*25)/11</f>
        <v>-10000</v>
      </c>
      <c r="AA44" s="278">
        <f>-(Businessplan_prodej!$F$88-3000*25)/11</f>
        <v>-10000</v>
      </c>
      <c r="AB44" s="278">
        <f>-(Businessplan_prodej!$F$88-3000*25)/11</f>
        <v>-10000</v>
      </c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>
        <f>-10000</f>
        <v>-10000</v>
      </c>
      <c r="AP44" s="278">
        <f t="shared" ref="AP44:AZ44" si="20">-10000</f>
        <v>-10000</v>
      </c>
      <c r="AQ44" s="278">
        <f t="shared" si="20"/>
        <v>-10000</v>
      </c>
      <c r="AR44" s="278">
        <f t="shared" si="20"/>
        <v>-10000</v>
      </c>
      <c r="AS44" s="278">
        <f t="shared" si="20"/>
        <v>-10000</v>
      </c>
      <c r="AT44" s="278">
        <f t="shared" si="20"/>
        <v>-10000</v>
      </c>
      <c r="AU44" s="278">
        <f t="shared" si="20"/>
        <v>-10000</v>
      </c>
      <c r="AV44" s="278">
        <f t="shared" si="20"/>
        <v>-10000</v>
      </c>
      <c r="AW44" s="278">
        <f t="shared" si="20"/>
        <v>-10000</v>
      </c>
      <c r="AX44" s="278">
        <f t="shared" si="20"/>
        <v>-10000</v>
      </c>
      <c r="AY44" s="278">
        <f t="shared" si="20"/>
        <v>-10000</v>
      </c>
      <c r="AZ44" s="278">
        <f t="shared" si="20"/>
        <v>-10000</v>
      </c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66">
        <f t="shared" si="18"/>
        <v>-309836</v>
      </c>
      <c r="BZ44" s="771"/>
      <c r="CA44" s="226"/>
      <c r="CB44" s="252"/>
      <c r="CC44" s="771"/>
      <c r="CD44" s="226"/>
      <c r="CE44" s="226"/>
    </row>
    <row r="45" spans="1:83" ht="16" outlineLevel="2">
      <c r="A45" s="603"/>
      <c r="B45" s="787"/>
      <c r="C45" s="277" t="s">
        <v>291</v>
      </c>
      <c r="D45" s="254" t="s">
        <v>270</v>
      </c>
      <c r="E45" s="255"/>
      <c r="F45" s="255"/>
      <c r="G45" s="255"/>
      <c r="H45" s="278">
        <f>-25000</f>
        <v>-25000</v>
      </c>
      <c r="I45" s="278"/>
      <c r="J45" s="278">
        <f>-27000</f>
        <v>-27000</v>
      </c>
      <c r="K45" s="278"/>
      <c r="L45" s="278"/>
      <c r="M45" s="278"/>
      <c r="N45" s="278"/>
      <c r="O45" s="278"/>
      <c r="P45" s="278"/>
      <c r="Q45" s="278"/>
      <c r="R45" s="278">
        <f>-91094.85</f>
        <v>-91094.85</v>
      </c>
      <c r="S45" s="278"/>
      <c r="T45" s="278"/>
      <c r="U45" s="278"/>
      <c r="V45" s="278"/>
      <c r="W45" s="278"/>
      <c r="X45" s="278"/>
      <c r="Y45" s="278"/>
      <c r="Z45" s="278"/>
      <c r="AA45" s="278"/>
      <c r="AB45" s="278">
        <f>-50000*2</f>
        <v>-100000</v>
      </c>
      <c r="AC45" s="278"/>
      <c r="AD45" s="278"/>
      <c r="AE45" s="278"/>
      <c r="AF45" s="278"/>
      <c r="AG45" s="278"/>
      <c r="AH45" s="278"/>
      <c r="AI45" s="278"/>
      <c r="AJ45" s="278"/>
      <c r="AK45" s="278"/>
      <c r="AL45" s="278"/>
      <c r="AM45" s="278"/>
      <c r="AN45" s="278"/>
      <c r="AO45" s="278"/>
      <c r="AP45" s="278"/>
      <c r="AQ45" s="278"/>
      <c r="AR45" s="278"/>
      <c r="AS45" s="278"/>
      <c r="AT45" s="278"/>
      <c r="AU45" s="278"/>
      <c r="AV45" s="278"/>
      <c r="AW45" s="278"/>
      <c r="AX45" s="278"/>
      <c r="AY45" s="278"/>
      <c r="AZ45" s="278"/>
      <c r="BA45" s="278"/>
      <c r="BB45" s="278"/>
      <c r="BC45" s="278"/>
      <c r="BD45" s="278"/>
      <c r="BE45" s="278"/>
      <c r="BF45" s="278"/>
      <c r="BG45" s="278"/>
      <c r="BH45" s="278"/>
      <c r="BI45" s="278"/>
      <c r="BJ45" s="278"/>
      <c r="BK45" s="278"/>
      <c r="BL45" s="278"/>
      <c r="BM45" s="278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66">
        <f t="shared" si="18"/>
        <v>-243094.85</v>
      </c>
      <c r="BZ45" s="771"/>
      <c r="CA45" s="226"/>
      <c r="CB45" s="252"/>
      <c r="CC45" s="771"/>
      <c r="CD45" s="226"/>
      <c r="CE45" s="226"/>
    </row>
    <row r="46" spans="1:83" ht="16" outlineLevel="1">
      <c r="A46" s="603"/>
      <c r="B46" s="787"/>
      <c r="C46" s="253" t="s">
        <v>224</v>
      </c>
      <c r="D46" s="254" t="s">
        <v>270</v>
      </c>
      <c r="E46" s="255"/>
      <c r="F46" s="255"/>
      <c r="G46" s="255"/>
      <c r="H46" s="256">
        <f>-1000</f>
        <v>-1000</v>
      </c>
      <c r="I46" s="256"/>
      <c r="J46" s="256">
        <f>-100</f>
        <v>-100</v>
      </c>
      <c r="K46" s="256">
        <f>-7230</f>
        <v>-7230</v>
      </c>
      <c r="L46" s="256">
        <f>-1000-6742</f>
        <v>-7742</v>
      </c>
      <c r="M46" s="256">
        <f>-2000-20570-2000</f>
        <v>-24570</v>
      </c>
      <c r="N46" s="256">
        <f>-19360-1980</f>
        <v>-21340</v>
      </c>
      <c r="O46" s="256">
        <f>-7865-7000-19360-21780-43021</f>
        <v>-99026</v>
      </c>
      <c r="P46" s="256">
        <f>-7230-33957-13068-5082</f>
        <v>-59337</v>
      </c>
      <c r="Q46" s="256">
        <f>-4054</f>
        <v>-4054</v>
      </c>
      <c r="R46" s="256">
        <f>-7230</f>
        <v>-7230</v>
      </c>
      <c r="S46" s="256">
        <f>-4800-6776</f>
        <v>-11576</v>
      </c>
      <c r="T46" s="256">
        <f>-53142-60500-500</f>
        <v>-114142</v>
      </c>
      <c r="U46" s="256">
        <f t="shared" ref="U46:V46" si="21">-3500*1.21-19360</f>
        <v>-23595</v>
      </c>
      <c r="V46" s="256">
        <f t="shared" si="21"/>
        <v>-23595</v>
      </c>
      <c r="W46" s="256">
        <f>-500-15000-20570-19360-968-500-363</f>
        <v>-57261</v>
      </c>
      <c r="X46" s="256">
        <f t="shared" ref="X46:Y46" si="22">-3500*1.21-19360</f>
        <v>-23595</v>
      </c>
      <c r="Y46" s="256">
        <f t="shared" si="22"/>
        <v>-23595</v>
      </c>
      <c r="Z46" s="256">
        <f t="shared" ref="Z46:AB46" si="23">-3500*1.21</f>
        <v>-4235</v>
      </c>
      <c r="AA46" s="256">
        <f t="shared" si="23"/>
        <v>-4235</v>
      </c>
      <c r="AB46" s="256">
        <f t="shared" si="23"/>
        <v>-4235</v>
      </c>
      <c r="AC46" s="256"/>
      <c r="AD46" s="256"/>
      <c r="AE46" s="256"/>
      <c r="AF46" s="256"/>
      <c r="AG46" s="255"/>
      <c r="AH46" s="255"/>
      <c r="AI46" s="255"/>
      <c r="AJ46" s="255"/>
      <c r="AK46" s="255"/>
      <c r="AL46" s="255"/>
      <c r="AM46" s="255"/>
      <c r="AN46" s="255"/>
      <c r="AO46" s="255">
        <f t="shared" ref="AO46:AZ46" si="24">-20000</f>
        <v>-20000</v>
      </c>
      <c r="AP46" s="255">
        <f t="shared" si="24"/>
        <v>-20000</v>
      </c>
      <c r="AQ46" s="255">
        <f t="shared" si="24"/>
        <v>-20000</v>
      </c>
      <c r="AR46" s="255">
        <f t="shared" si="24"/>
        <v>-20000</v>
      </c>
      <c r="AS46" s="255">
        <f t="shared" si="24"/>
        <v>-20000</v>
      </c>
      <c r="AT46" s="255">
        <f t="shared" si="24"/>
        <v>-20000</v>
      </c>
      <c r="AU46" s="255">
        <f t="shared" si="24"/>
        <v>-20000</v>
      </c>
      <c r="AV46" s="255">
        <f t="shared" si="24"/>
        <v>-20000</v>
      </c>
      <c r="AW46" s="255">
        <f t="shared" si="24"/>
        <v>-20000</v>
      </c>
      <c r="AX46" s="255">
        <f t="shared" si="24"/>
        <v>-20000</v>
      </c>
      <c r="AY46" s="255">
        <f t="shared" si="24"/>
        <v>-20000</v>
      </c>
      <c r="AZ46" s="255">
        <f t="shared" si="24"/>
        <v>-20000</v>
      </c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66">
        <f t="shared" si="18"/>
        <v>-761693</v>
      </c>
      <c r="BZ46" s="771"/>
      <c r="CA46" s="226"/>
      <c r="CB46" s="252"/>
      <c r="CC46" s="771"/>
      <c r="CD46" s="226"/>
      <c r="CE46" s="226"/>
    </row>
    <row r="47" spans="1:83" ht="14.25" customHeight="1" outlineLevel="1">
      <c r="A47" s="603"/>
      <c r="B47" s="787"/>
      <c r="C47" s="253" t="s">
        <v>225</v>
      </c>
      <c r="D47" s="254" t="s">
        <v>270</v>
      </c>
      <c r="E47" s="255"/>
      <c r="F47" s="255"/>
      <c r="G47" s="255"/>
      <c r="H47" s="256">
        <f>-10188.2-65673</f>
        <v>-75861.2</v>
      </c>
      <c r="I47" s="256">
        <f>-6776</f>
        <v>-6776</v>
      </c>
      <c r="J47" s="256"/>
      <c r="K47" s="256">
        <f>-4900.5</f>
        <v>-4900.5</v>
      </c>
      <c r="L47" s="256"/>
      <c r="M47" s="256"/>
      <c r="N47" s="256"/>
      <c r="O47" s="256"/>
      <c r="P47" s="256">
        <f>-30250</f>
        <v>-30250</v>
      </c>
      <c r="Q47" s="256"/>
      <c r="R47" s="256"/>
      <c r="S47" s="256"/>
      <c r="T47" s="256"/>
      <c r="U47" s="256">
        <f>-Businessplan_prodej!$F$69*0.2*1.21</f>
        <v>-23557.54</v>
      </c>
      <c r="V47" s="256">
        <f>-Businessplan_prodej!$F$69*0.25*1.21</f>
        <v>-29446.924999999999</v>
      </c>
      <c r="W47" s="256">
        <f>-Businessplan_prodej!$F$69*0.3*1.21-$K$47</f>
        <v>-30435.809999999998</v>
      </c>
      <c r="X47" s="255"/>
      <c r="Y47" s="255"/>
      <c r="Z47" s="256"/>
      <c r="AA47" s="255"/>
      <c r="AB47" s="256">
        <f>-Businessplan_prodej!$F$69*0.25*1.21</f>
        <v>-29446.924999999999</v>
      </c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5"/>
      <c r="BS47" s="255"/>
      <c r="BT47" s="255"/>
      <c r="BU47" s="255"/>
      <c r="BV47" s="255"/>
      <c r="BW47" s="255"/>
      <c r="BX47" s="264"/>
      <c r="BY47" s="266">
        <f t="shared" si="18"/>
        <v>-230674.89999999997</v>
      </c>
      <c r="BZ47" s="771"/>
      <c r="CA47" s="226"/>
      <c r="CB47" s="252"/>
      <c r="CC47" s="771"/>
      <c r="CD47" s="226"/>
      <c r="CE47" s="226"/>
    </row>
    <row r="48" spans="1:83" ht="14.25" customHeight="1" outlineLevel="1">
      <c r="A48" s="603"/>
      <c r="B48" s="787"/>
      <c r="C48" s="253" t="s">
        <v>226</v>
      </c>
      <c r="D48" s="254" t="s">
        <v>270</v>
      </c>
      <c r="E48" s="255"/>
      <c r="F48" s="255"/>
      <c r="G48" s="255"/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>
        <f>-Businessplan_prodej!$F$91*0.2*1.21</f>
        <v>0</v>
      </c>
      <c r="V48" s="255"/>
      <c r="W48" s="256"/>
      <c r="X48" s="255"/>
      <c r="Y48" s="256"/>
      <c r="Z48" s="256"/>
      <c r="AA48" s="256">
        <f>-Businessplan_prodej!$F$91*0.3*1.21</f>
        <v>0</v>
      </c>
      <c r="AB48" s="256">
        <f>-Businessplan_prodej!$F$91*0.5*1.21</f>
        <v>0</v>
      </c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66">
        <f t="shared" si="18"/>
        <v>0</v>
      </c>
      <c r="BZ48" s="771"/>
      <c r="CA48" s="226"/>
      <c r="CB48" s="252"/>
      <c r="CC48" s="771"/>
      <c r="CD48" s="226"/>
      <c r="CE48" s="226"/>
    </row>
    <row r="49" spans="1:83" ht="14.25" customHeight="1" outlineLevel="1">
      <c r="A49" s="603"/>
      <c r="B49" s="787"/>
      <c r="C49" s="253" t="s">
        <v>227</v>
      </c>
      <c r="D49" s="258" t="s">
        <v>270</v>
      </c>
      <c r="E49" s="255"/>
      <c r="F49" s="255"/>
      <c r="G49" s="255"/>
      <c r="H49" s="256"/>
      <c r="I49" s="256"/>
      <c r="J49" s="256"/>
      <c r="K49" s="256">
        <f>-((17529*2*25.2+44407*2)*1.21)*75%</f>
        <v>-882340.10700000008</v>
      </c>
      <c r="L49" s="256"/>
      <c r="M49" s="256"/>
      <c r="N49" s="256"/>
      <c r="O49" s="256"/>
      <c r="P49" s="256"/>
      <c r="Q49" s="256">
        <f>-((17529*2*25.2+44407*2)*1.21)*25%</f>
        <v>-294113.36900000001</v>
      </c>
      <c r="R49" s="256"/>
      <c r="S49" s="256"/>
      <c r="T49" s="256"/>
      <c r="U49" s="256"/>
      <c r="V49" s="337">
        <f>-842885</f>
        <v>-842885</v>
      </c>
      <c r="W49" s="255"/>
      <c r="X49" s="255"/>
      <c r="Y49" s="255"/>
      <c r="Z49" s="256">
        <f>-Businessplan_prodej!F92*1.21-V49</f>
        <v>-73335.690824999823</v>
      </c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5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5"/>
      <c r="BS49" s="255"/>
      <c r="BT49" s="255"/>
      <c r="BU49" s="255"/>
      <c r="BV49" s="255"/>
      <c r="BW49" s="255"/>
      <c r="BX49" s="264"/>
      <c r="BY49" s="266">
        <f t="shared" si="18"/>
        <v>-2092674.1668249997</v>
      </c>
      <c r="BZ49" s="771"/>
      <c r="CA49" s="226"/>
      <c r="CB49" s="252"/>
      <c r="CC49" s="771"/>
      <c r="CD49" s="226"/>
      <c r="CE49" s="226"/>
    </row>
    <row r="50" spans="1:83" ht="16" collapsed="1">
      <c r="A50" s="603"/>
      <c r="B50" s="787"/>
      <c r="C50" s="248" t="s">
        <v>292</v>
      </c>
      <c r="D50" s="249"/>
      <c r="E50" s="250">
        <f t="shared" ref="E50:BX50" si="25">SUM(E51:E55)</f>
        <v>0</v>
      </c>
      <c r="F50" s="250">
        <f t="shared" si="25"/>
        <v>0</v>
      </c>
      <c r="G50" s="250">
        <f t="shared" si="25"/>
        <v>0</v>
      </c>
      <c r="H50" s="250">
        <f t="shared" si="25"/>
        <v>-1442.155</v>
      </c>
      <c r="I50" s="250">
        <f t="shared" si="25"/>
        <v>-4792.1949999999997</v>
      </c>
      <c r="J50" s="250">
        <f t="shared" si="25"/>
        <v>-1444.855</v>
      </c>
      <c r="K50" s="250">
        <f t="shared" si="25"/>
        <v>-1290.27</v>
      </c>
      <c r="L50" s="250">
        <f t="shared" si="25"/>
        <v>-1842.35</v>
      </c>
      <c r="M50" s="250">
        <f t="shared" si="25"/>
        <v>-1088.2900000000002</v>
      </c>
      <c r="N50" s="250">
        <f t="shared" si="25"/>
        <v>-1844.5900000000001</v>
      </c>
      <c r="O50" s="250">
        <f t="shared" si="25"/>
        <v>-3360</v>
      </c>
      <c r="P50" s="250">
        <f t="shared" si="25"/>
        <v>-11871.31</v>
      </c>
      <c r="Q50" s="250">
        <f t="shared" si="25"/>
        <v>-1369.95</v>
      </c>
      <c r="R50" s="250">
        <f t="shared" si="25"/>
        <v>-1895.74</v>
      </c>
      <c r="S50" s="250">
        <f t="shared" si="25"/>
        <v>-2437.34</v>
      </c>
      <c r="T50" s="250">
        <f t="shared" si="25"/>
        <v>-25793.256000000001</v>
      </c>
      <c r="U50" s="250">
        <f t="shared" si="25"/>
        <v>-41290.269999999997</v>
      </c>
      <c r="V50" s="250">
        <f t="shared" si="25"/>
        <v>-31290.27</v>
      </c>
      <c r="W50" s="250">
        <f t="shared" si="25"/>
        <v>-456.10999999999996</v>
      </c>
      <c r="X50" s="250">
        <f t="shared" si="25"/>
        <v>-1290.27</v>
      </c>
      <c r="Y50" s="250">
        <f t="shared" si="25"/>
        <v>-1290.27</v>
      </c>
      <c r="Z50" s="250">
        <f t="shared" si="25"/>
        <v>-1290.27</v>
      </c>
      <c r="AA50" s="250">
        <f t="shared" si="25"/>
        <v>-41290.269999999997</v>
      </c>
      <c r="AB50" s="250">
        <f t="shared" si="25"/>
        <v>-1290.27</v>
      </c>
      <c r="AC50" s="250">
        <f t="shared" si="25"/>
        <v>0</v>
      </c>
      <c r="AD50" s="250">
        <f t="shared" si="25"/>
        <v>0</v>
      </c>
      <c r="AE50" s="250">
        <f t="shared" si="25"/>
        <v>0</v>
      </c>
      <c r="AF50" s="250">
        <f t="shared" si="25"/>
        <v>0</v>
      </c>
      <c r="AG50" s="250">
        <f t="shared" si="25"/>
        <v>0</v>
      </c>
      <c r="AH50" s="250">
        <f t="shared" si="25"/>
        <v>0</v>
      </c>
      <c r="AI50" s="250">
        <f t="shared" si="25"/>
        <v>0</v>
      </c>
      <c r="AJ50" s="250">
        <f t="shared" si="25"/>
        <v>0</v>
      </c>
      <c r="AK50" s="250">
        <f t="shared" si="25"/>
        <v>0</v>
      </c>
      <c r="AL50" s="250">
        <f t="shared" si="25"/>
        <v>0</v>
      </c>
      <c r="AM50" s="250">
        <f t="shared" si="25"/>
        <v>0</v>
      </c>
      <c r="AN50" s="250">
        <f t="shared" si="25"/>
        <v>0</v>
      </c>
      <c r="AO50" s="250">
        <f t="shared" si="25"/>
        <v>0</v>
      </c>
      <c r="AP50" s="250">
        <f t="shared" si="25"/>
        <v>0</v>
      </c>
      <c r="AQ50" s="250">
        <f t="shared" si="25"/>
        <v>0</v>
      </c>
      <c r="AR50" s="250">
        <f t="shared" si="25"/>
        <v>0</v>
      </c>
      <c r="AS50" s="250">
        <f t="shared" si="25"/>
        <v>0</v>
      </c>
      <c r="AT50" s="250">
        <f t="shared" si="25"/>
        <v>0</v>
      </c>
      <c r="AU50" s="250">
        <f t="shared" si="25"/>
        <v>0</v>
      </c>
      <c r="AV50" s="250">
        <f t="shared" si="25"/>
        <v>0</v>
      </c>
      <c r="AW50" s="250">
        <f t="shared" si="25"/>
        <v>0</v>
      </c>
      <c r="AX50" s="250">
        <f t="shared" si="25"/>
        <v>0</v>
      </c>
      <c r="AY50" s="250">
        <f t="shared" si="25"/>
        <v>0</v>
      </c>
      <c r="AZ50" s="250">
        <f t="shared" si="25"/>
        <v>0</v>
      </c>
      <c r="BA50" s="250">
        <f t="shared" si="25"/>
        <v>0</v>
      </c>
      <c r="BB50" s="250">
        <f t="shared" si="25"/>
        <v>0</v>
      </c>
      <c r="BC50" s="250">
        <f t="shared" si="25"/>
        <v>0</v>
      </c>
      <c r="BD50" s="250">
        <f t="shared" si="25"/>
        <v>0</v>
      </c>
      <c r="BE50" s="250">
        <f t="shared" si="25"/>
        <v>0</v>
      </c>
      <c r="BF50" s="250">
        <f t="shared" si="25"/>
        <v>0</v>
      </c>
      <c r="BG50" s="250">
        <f t="shared" si="25"/>
        <v>0</v>
      </c>
      <c r="BH50" s="250">
        <f t="shared" si="25"/>
        <v>0</v>
      </c>
      <c r="BI50" s="250">
        <f t="shared" si="25"/>
        <v>0</v>
      </c>
      <c r="BJ50" s="250">
        <f t="shared" si="25"/>
        <v>0</v>
      </c>
      <c r="BK50" s="250">
        <f t="shared" si="25"/>
        <v>0</v>
      </c>
      <c r="BL50" s="250">
        <f t="shared" si="25"/>
        <v>0</v>
      </c>
      <c r="BM50" s="250">
        <f t="shared" si="25"/>
        <v>0</v>
      </c>
      <c r="BN50" s="250">
        <f t="shared" si="25"/>
        <v>0</v>
      </c>
      <c r="BO50" s="250">
        <f t="shared" si="25"/>
        <v>0</v>
      </c>
      <c r="BP50" s="250">
        <f t="shared" si="25"/>
        <v>0</v>
      </c>
      <c r="BQ50" s="250">
        <f t="shared" si="25"/>
        <v>0</v>
      </c>
      <c r="BR50" s="250">
        <f t="shared" si="25"/>
        <v>0</v>
      </c>
      <c r="BS50" s="250">
        <f t="shared" si="25"/>
        <v>0</v>
      </c>
      <c r="BT50" s="250">
        <f t="shared" si="25"/>
        <v>0</v>
      </c>
      <c r="BU50" s="250">
        <f t="shared" si="25"/>
        <v>0</v>
      </c>
      <c r="BV50" s="250">
        <f t="shared" si="25"/>
        <v>0</v>
      </c>
      <c r="BW50" s="250">
        <f t="shared" si="25"/>
        <v>0</v>
      </c>
      <c r="BX50" s="250">
        <f t="shared" si="25"/>
        <v>0</v>
      </c>
      <c r="BY50" s="252">
        <f>SUM(BY51:BY55)</f>
        <v>-179960.30100000001</v>
      </c>
      <c r="BZ50" s="771"/>
      <c r="CA50" s="226"/>
      <c r="CB50" s="252"/>
      <c r="CC50" s="771"/>
      <c r="CD50" s="226"/>
      <c r="CE50" s="226"/>
    </row>
    <row r="51" spans="1:83" ht="16" hidden="1" outlineLevel="1">
      <c r="A51" s="603"/>
      <c r="B51" s="787"/>
      <c r="C51" s="253" t="s">
        <v>229</v>
      </c>
      <c r="D51" s="254" t="s">
        <v>270</v>
      </c>
      <c r="E51" s="255"/>
      <c r="F51" s="255"/>
      <c r="G51" s="255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65">
        <f t="shared" ref="BY51:BY55" si="26">SUM(E51:BX51)</f>
        <v>0</v>
      </c>
      <c r="BZ51" s="771"/>
      <c r="CA51" s="226"/>
      <c r="CB51" s="252"/>
      <c r="CC51" s="771"/>
      <c r="CD51" s="226"/>
      <c r="CE51" s="226"/>
    </row>
    <row r="52" spans="1:83" ht="16" hidden="1" outlineLevel="1">
      <c r="A52" s="603"/>
      <c r="B52" s="787"/>
      <c r="C52" s="253" t="s">
        <v>293</v>
      </c>
      <c r="D52" s="254" t="s">
        <v>270</v>
      </c>
      <c r="E52" s="255"/>
      <c r="F52" s="255"/>
      <c r="G52" s="255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65">
        <f t="shared" si="26"/>
        <v>0</v>
      </c>
      <c r="BZ52" s="771"/>
      <c r="CA52" s="226"/>
      <c r="CB52" s="252"/>
      <c r="CC52" s="771"/>
      <c r="CD52" s="226"/>
      <c r="CE52" s="226"/>
    </row>
    <row r="53" spans="1:83" ht="16" hidden="1" outlineLevel="1">
      <c r="A53" s="603"/>
      <c r="B53" s="787"/>
      <c r="C53" s="253" t="s">
        <v>294</v>
      </c>
      <c r="D53" s="254" t="s">
        <v>270</v>
      </c>
      <c r="E53" s="255"/>
      <c r="F53" s="255"/>
      <c r="G53" s="255"/>
      <c r="H53" s="256"/>
      <c r="I53" s="256"/>
      <c r="J53" s="256"/>
      <c r="K53" s="256"/>
      <c r="L53" s="256"/>
      <c r="M53" s="256"/>
      <c r="N53" s="256"/>
      <c r="O53" s="256"/>
      <c r="P53" s="256"/>
      <c r="Q53" s="256"/>
      <c r="R53" s="256"/>
      <c r="S53" s="256"/>
      <c r="T53" s="256"/>
      <c r="U53" s="255"/>
      <c r="V53" s="255"/>
      <c r="W53" s="255"/>
      <c r="X53" s="255"/>
      <c r="Y53" s="255"/>
      <c r="Z53" s="255"/>
      <c r="AA53" s="255"/>
      <c r="AB53" s="255"/>
      <c r="AC53" s="255"/>
      <c r="AD53" s="255"/>
      <c r="AE53" s="255"/>
      <c r="AF53" s="255"/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  <c r="AT53" s="255"/>
      <c r="AU53" s="255"/>
      <c r="AV53" s="255"/>
      <c r="AW53" s="255"/>
      <c r="AX53" s="255"/>
      <c r="AY53" s="255"/>
      <c r="AZ53" s="255"/>
      <c r="BA53" s="255"/>
      <c r="BB53" s="255"/>
      <c r="BC53" s="255"/>
      <c r="BD53" s="255"/>
      <c r="BE53" s="255"/>
      <c r="BF53" s="255"/>
      <c r="BG53" s="255"/>
      <c r="BH53" s="255"/>
      <c r="BI53" s="255"/>
      <c r="BJ53" s="255"/>
      <c r="BK53" s="255"/>
      <c r="BL53" s="255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64"/>
      <c r="BY53" s="265">
        <f t="shared" si="26"/>
        <v>0</v>
      </c>
      <c r="BZ53" s="771"/>
      <c r="CA53" s="226"/>
      <c r="CB53" s="252"/>
      <c r="CC53" s="771"/>
      <c r="CD53" s="226"/>
      <c r="CE53" s="226"/>
    </row>
    <row r="54" spans="1:83" ht="16" hidden="1" outlineLevel="1">
      <c r="A54" s="603"/>
      <c r="B54" s="787"/>
      <c r="C54" s="253" t="s">
        <v>236</v>
      </c>
      <c r="D54" s="254" t="s">
        <v>270</v>
      </c>
      <c r="E54" s="255"/>
      <c r="F54" s="255"/>
      <c r="G54" s="255"/>
      <c r="H54" s="256">
        <f>-3-12-5-200-2-12-400-36-(0.02+0.09+0.21+17.06)*22-15.91*24.5</f>
        <v>-1442.155</v>
      </c>
      <c r="I54" s="256">
        <f>-6-5-200-12-400-24-2-16.19*24.5-17.57*22</f>
        <v>-1432.1949999999999</v>
      </c>
      <c r="J54" s="256">
        <f>-3-32-5-6-200-15-400-2-(0.01+0.08+15.98+0.2)*24.5-(0.02+0.09+0.21+17.1)*22</f>
        <v>-1444.855</v>
      </c>
      <c r="K54" s="256">
        <f>-20-12-3-200-2-400-10-2-10.9*24.5-17.01*22</f>
        <v>-1290.27</v>
      </c>
      <c r="L54" s="256">
        <f>-12-4-6-200-15-400-24-400-15.98*24.5-17.72*22</f>
        <v>-1842.35</v>
      </c>
      <c r="M54" s="256">
        <f>-40-200-15-2-12-400-10-2-400.11-(0.01+0.08+0.2+15.89)*25-(0.03-0.09-17.78-0.22)*22</f>
        <v>-1088.2900000000002</v>
      </c>
      <c r="N54" s="256">
        <f>-9-9-5-200-400-24-3-399.88-15.79*25-18.18*22</f>
        <v>-1844.5900000000001</v>
      </c>
      <c r="O54" s="256"/>
      <c r="P54" s="256">
        <f>-500-5656.91-300-6-25-4-18-44-200-15-400-399.94-500-972.22-2053.74-16.5*23-15.88*25</f>
        <v>-11871.31</v>
      </c>
      <c r="Q54" s="256">
        <f>-300-9-20-9-200-400-8-24-399.95</f>
        <v>-1369.95</v>
      </c>
      <c r="R54" s="256">
        <f>-4-40-20-200-15-4-12-400-399.9-(0.8+0.24+0.08+15.98)*25-(0.04+0.08+0.21+16.64)*22</f>
        <v>-1895.74</v>
      </c>
      <c r="S54" s="256">
        <f>-2.19-2-20-6-9-200-15-4-400-399.94-500-76.45-(0.12+0.4+0.16+0.16+16.02)*25-(17.33)*22</f>
        <v>-2437.34</v>
      </c>
      <c r="T54" s="256">
        <f>-2-12-9-28-200-15-400-2-399.88-2-500-(0.12+16.04+0.32+0.2+0.08+0.12)*25.2</f>
        <v>-1995.2560000000001</v>
      </c>
      <c r="U54" s="256">
        <f>-20-12-3-200-2-400-10-2-10.9*24.5-17.01*22</f>
        <v>-1290.27</v>
      </c>
      <c r="V54" s="256">
        <f>-20-12-3-200-2-400-10-2-10.9*24.5-17.01*22-30000</f>
        <v>-31290.27</v>
      </c>
      <c r="W54" s="256">
        <f>-34.86-(0.08+16.28+0.08+0.41)*25</f>
        <v>-456.10999999999996</v>
      </c>
      <c r="X54" s="256">
        <f t="shared" ref="X54:AB54" si="27">-20-12-3-200-2-400-10-2-10.9*24.5-17.01*22</f>
        <v>-1290.27</v>
      </c>
      <c r="Y54" s="256">
        <f t="shared" si="27"/>
        <v>-1290.27</v>
      </c>
      <c r="Z54" s="256">
        <f t="shared" si="27"/>
        <v>-1290.27</v>
      </c>
      <c r="AA54" s="256">
        <f t="shared" si="27"/>
        <v>-1290.27</v>
      </c>
      <c r="AB54" s="256">
        <f t="shared" si="27"/>
        <v>-1290.27</v>
      </c>
      <c r="AC54" s="256"/>
      <c r="AD54" s="256"/>
      <c r="AE54" s="256"/>
      <c r="AF54" s="256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55"/>
      <c r="BN54" s="255"/>
      <c r="BO54" s="255"/>
      <c r="BP54" s="255"/>
      <c r="BQ54" s="255"/>
      <c r="BR54" s="255"/>
      <c r="BS54" s="255"/>
      <c r="BT54" s="255"/>
      <c r="BU54" s="255"/>
      <c r="BV54" s="255"/>
      <c r="BW54" s="255"/>
      <c r="BX54" s="264"/>
      <c r="BY54" s="266">
        <f t="shared" si="26"/>
        <v>-69442.301000000007</v>
      </c>
      <c r="BZ54" s="771"/>
      <c r="CA54" s="226"/>
      <c r="CB54" s="252"/>
      <c r="CC54" s="771"/>
      <c r="CD54" s="226"/>
      <c r="CE54" s="226"/>
    </row>
    <row r="55" spans="1:83" ht="16" hidden="1" outlineLevel="1">
      <c r="A55" s="603"/>
      <c r="B55" s="787"/>
      <c r="C55" s="253" t="s">
        <v>237</v>
      </c>
      <c r="D55" s="258" t="s">
        <v>270</v>
      </c>
      <c r="E55" s="259"/>
      <c r="F55" s="259"/>
      <c r="G55" s="255"/>
      <c r="H55" s="256"/>
      <c r="I55" s="256">
        <f>-3360</f>
        <v>-3360</v>
      </c>
      <c r="J55" s="256"/>
      <c r="K55" s="256"/>
      <c r="L55" s="256"/>
      <c r="M55" s="256"/>
      <c r="N55" s="256"/>
      <c r="O55" s="256">
        <f>-3360</f>
        <v>-3360</v>
      </c>
      <c r="P55" s="256"/>
      <c r="Q55" s="256"/>
      <c r="R55" s="256"/>
      <c r="S55" s="256"/>
      <c r="T55" s="256">
        <f>-23798</f>
        <v>-23798</v>
      </c>
      <c r="U55" s="269">
        <f>-40000</f>
        <v>-40000</v>
      </c>
      <c r="V55" s="255"/>
      <c r="W55" s="255"/>
      <c r="X55" s="255"/>
      <c r="Y55" s="255"/>
      <c r="Z55" s="255"/>
      <c r="AA55" s="269">
        <f>-40000</f>
        <v>-40000</v>
      </c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55"/>
      <c r="BN55" s="255"/>
      <c r="BO55" s="255"/>
      <c r="BP55" s="255"/>
      <c r="BQ55" s="255"/>
      <c r="BR55" s="255"/>
      <c r="BS55" s="255"/>
      <c r="BT55" s="255"/>
      <c r="BU55" s="255"/>
      <c r="BV55" s="255"/>
      <c r="BW55" s="255"/>
      <c r="BX55" s="264"/>
      <c r="BY55" s="268">
        <f t="shared" si="26"/>
        <v>-110518</v>
      </c>
      <c r="BZ55" s="771"/>
      <c r="CA55" s="226"/>
      <c r="CB55" s="252"/>
      <c r="CC55" s="771"/>
      <c r="CD55" s="226"/>
      <c r="CE55" s="226"/>
    </row>
    <row r="56" spans="1:83" ht="16">
      <c r="A56" s="603"/>
      <c r="B56" s="787"/>
      <c r="C56" s="248" t="s">
        <v>295</v>
      </c>
      <c r="D56" s="249"/>
      <c r="E56" s="250">
        <f t="shared" ref="E56:BX56" si="28">SUM(E57:E63)</f>
        <v>0</v>
      </c>
      <c r="F56" s="250">
        <f t="shared" si="28"/>
        <v>0</v>
      </c>
      <c r="G56" s="250">
        <f t="shared" si="28"/>
        <v>0</v>
      </c>
      <c r="H56" s="250">
        <f t="shared" si="28"/>
        <v>0</v>
      </c>
      <c r="I56" s="250">
        <f t="shared" si="28"/>
        <v>0</v>
      </c>
      <c r="J56" s="250">
        <f t="shared" si="28"/>
        <v>0</v>
      </c>
      <c r="K56" s="250">
        <f t="shared" si="28"/>
        <v>0</v>
      </c>
      <c r="L56" s="250">
        <f t="shared" si="28"/>
        <v>0</v>
      </c>
      <c r="M56" s="250">
        <f t="shared" si="28"/>
        <v>-48944.520000000004</v>
      </c>
      <c r="N56" s="250">
        <f t="shared" si="28"/>
        <v>-123582.04</v>
      </c>
      <c r="O56" s="250">
        <f t="shared" si="28"/>
        <v>-10395.44</v>
      </c>
      <c r="P56" s="250">
        <f t="shared" si="28"/>
        <v>-394726.13999999996</v>
      </c>
      <c r="Q56" s="250">
        <f t="shared" si="28"/>
        <v>-245545.71499999997</v>
      </c>
      <c r="R56" s="250">
        <f t="shared" si="28"/>
        <v>-41897.49</v>
      </c>
      <c r="S56" s="250">
        <f t="shared" si="28"/>
        <v>-391165.82999999996</v>
      </c>
      <c r="T56" s="250">
        <f t="shared" si="28"/>
        <v>-180942.52</v>
      </c>
      <c r="U56" s="250">
        <f t="shared" si="28"/>
        <v>-200000</v>
      </c>
      <c r="V56" s="250">
        <f t="shared" si="28"/>
        <v>-214609.4872</v>
      </c>
      <c r="W56" s="250">
        <f t="shared" si="28"/>
        <v>-343243.96</v>
      </c>
      <c r="X56" s="250">
        <f t="shared" si="28"/>
        <v>-281607.29989999998</v>
      </c>
      <c r="Y56" s="250">
        <f t="shared" si="28"/>
        <v>-303657.29989999998</v>
      </c>
      <c r="Z56" s="250">
        <f t="shared" si="28"/>
        <v>-320317.29989999998</v>
      </c>
      <c r="AA56" s="250">
        <f t="shared" si="28"/>
        <v>-332300</v>
      </c>
      <c r="AB56" s="250">
        <f t="shared" si="28"/>
        <v>-1749558.333333333</v>
      </c>
      <c r="AC56" s="250">
        <f t="shared" si="28"/>
        <v>0</v>
      </c>
      <c r="AD56" s="250">
        <f t="shared" si="28"/>
        <v>0</v>
      </c>
      <c r="AE56" s="250">
        <f t="shared" si="28"/>
        <v>0</v>
      </c>
      <c r="AF56" s="250">
        <f t="shared" si="28"/>
        <v>0</v>
      </c>
      <c r="AG56" s="250">
        <f t="shared" si="28"/>
        <v>0</v>
      </c>
      <c r="AH56" s="250">
        <f t="shared" si="28"/>
        <v>0</v>
      </c>
      <c r="AI56" s="250">
        <f t="shared" si="28"/>
        <v>0</v>
      </c>
      <c r="AJ56" s="250">
        <f t="shared" si="28"/>
        <v>0</v>
      </c>
      <c r="AK56" s="250">
        <f t="shared" si="28"/>
        <v>0</v>
      </c>
      <c r="AL56" s="250">
        <f t="shared" si="28"/>
        <v>0</v>
      </c>
      <c r="AM56" s="250">
        <f t="shared" si="28"/>
        <v>0</v>
      </c>
      <c r="AN56" s="250">
        <f t="shared" si="28"/>
        <v>0</v>
      </c>
      <c r="AO56" s="250">
        <f t="shared" si="28"/>
        <v>-332300</v>
      </c>
      <c r="AP56" s="250">
        <f t="shared" si="28"/>
        <v>-332300</v>
      </c>
      <c r="AQ56" s="250">
        <f t="shared" si="28"/>
        <v>-332300</v>
      </c>
      <c r="AR56" s="250">
        <f t="shared" si="28"/>
        <v>-332300</v>
      </c>
      <c r="AS56" s="250">
        <f t="shared" si="28"/>
        <v>-332300</v>
      </c>
      <c r="AT56" s="250">
        <f t="shared" si="28"/>
        <v>-332300</v>
      </c>
      <c r="AU56" s="250">
        <f t="shared" si="28"/>
        <v>-332300</v>
      </c>
      <c r="AV56" s="250">
        <f t="shared" si="28"/>
        <v>-332300</v>
      </c>
      <c r="AW56" s="250">
        <f t="shared" si="28"/>
        <v>-332300</v>
      </c>
      <c r="AX56" s="250">
        <f t="shared" si="28"/>
        <v>-332300</v>
      </c>
      <c r="AY56" s="250">
        <f t="shared" si="28"/>
        <v>-332300</v>
      </c>
      <c r="AZ56" s="250">
        <f t="shared" si="28"/>
        <v>-332300</v>
      </c>
      <c r="BA56" s="250">
        <f t="shared" si="28"/>
        <v>0</v>
      </c>
      <c r="BB56" s="250">
        <f t="shared" si="28"/>
        <v>0</v>
      </c>
      <c r="BC56" s="250">
        <f t="shared" si="28"/>
        <v>0</v>
      </c>
      <c r="BD56" s="250">
        <f t="shared" si="28"/>
        <v>0</v>
      </c>
      <c r="BE56" s="250">
        <f t="shared" si="28"/>
        <v>0</v>
      </c>
      <c r="BF56" s="250">
        <f t="shared" si="28"/>
        <v>0</v>
      </c>
      <c r="BG56" s="250">
        <f t="shared" si="28"/>
        <v>0</v>
      </c>
      <c r="BH56" s="250">
        <f t="shared" si="28"/>
        <v>0</v>
      </c>
      <c r="BI56" s="250">
        <f t="shared" si="28"/>
        <v>0</v>
      </c>
      <c r="BJ56" s="250">
        <f t="shared" si="28"/>
        <v>0</v>
      </c>
      <c r="BK56" s="250">
        <f t="shared" si="28"/>
        <v>0</v>
      </c>
      <c r="BL56" s="250">
        <f t="shared" si="28"/>
        <v>0</v>
      </c>
      <c r="BM56" s="250">
        <f t="shared" si="28"/>
        <v>0</v>
      </c>
      <c r="BN56" s="250">
        <f t="shared" si="28"/>
        <v>0</v>
      </c>
      <c r="BO56" s="250">
        <f t="shared" si="28"/>
        <v>0</v>
      </c>
      <c r="BP56" s="250">
        <f t="shared" si="28"/>
        <v>0</v>
      </c>
      <c r="BQ56" s="250">
        <f t="shared" si="28"/>
        <v>0</v>
      </c>
      <c r="BR56" s="250">
        <f t="shared" si="28"/>
        <v>0</v>
      </c>
      <c r="BS56" s="250">
        <f t="shared" si="28"/>
        <v>0</v>
      </c>
      <c r="BT56" s="250">
        <f t="shared" si="28"/>
        <v>0</v>
      </c>
      <c r="BU56" s="250">
        <f t="shared" si="28"/>
        <v>0</v>
      </c>
      <c r="BV56" s="250">
        <f t="shared" si="28"/>
        <v>0</v>
      </c>
      <c r="BW56" s="250">
        <f t="shared" si="28"/>
        <v>0</v>
      </c>
      <c r="BX56" s="250">
        <f t="shared" si="28"/>
        <v>0</v>
      </c>
      <c r="BY56" s="252">
        <f>SUM(BY57:BY63)</f>
        <v>-9170093.3752333336</v>
      </c>
      <c r="BZ56" s="771"/>
      <c r="CA56" s="226"/>
      <c r="CB56" s="252"/>
      <c r="CC56" s="771"/>
      <c r="CD56" s="226"/>
      <c r="CE56" s="226"/>
    </row>
    <row r="57" spans="1:83" ht="16" outlineLevel="1">
      <c r="A57" s="603"/>
      <c r="B57" s="787"/>
      <c r="C57" s="253" t="s">
        <v>296</v>
      </c>
      <c r="D57" s="279">
        <v>0</v>
      </c>
      <c r="E57" s="255"/>
      <c r="F57" s="255"/>
      <c r="G57" s="255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5"/>
      <c r="V57" s="255"/>
      <c r="W57" s="255"/>
      <c r="X57" s="255"/>
      <c r="Y57" s="255"/>
      <c r="Z57" s="255"/>
      <c r="AA57" s="255"/>
      <c r="AB57" s="269">
        <f>-$BY$5*$D$58/365*$CG$28</f>
        <v>0</v>
      </c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80">
        <f t="shared" ref="BY57:BY63" si="29">SUM(E57:BX57)</f>
        <v>0</v>
      </c>
      <c r="BZ57" s="771"/>
      <c r="CA57" s="226"/>
      <c r="CB57" s="252"/>
      <c r="CC57" s="771"/>
      <c r="CD57" s="226"/>
      <c r="CE57" s="226"/>
    </row>
    <row r="58" spans="1:83" ht="16" outlineLevel="1">
      <c r="A58" s="603"/>
      <c r="B58" s="787"/>
      <c r="C58" s="253" t="s">
        <v>297</v>
      </c>
      <c r="D58" s="279">
        <v>0.11</v>
      </c>
      <c r="E58" s="255"/>
      <c r="F58" s="255"/>
      <c r="G58" s="255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5"/>
      <c r="V58" s="255"/>
      <c r="W58" s="255"/>
      <c r="X58" s="255"/>
      <c r="Y58" s="255"/>
      <c r="Z58" s="255"/>
      <c r="AA58" s="255"/>
      <c r="AB58" s="269">
        <f>-SUM('Interest Calc EQ 14.4.2025'!J14:J30)-'Interest Calc EQ 14.4.2025'!J30</f>
        <v>-1417258.333333333</v>
      </c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80">
        <f t="shared" si="29"/>
        <v>-1417258.333333333</v>
      </c>
      <c r="BZ58" s="771"/>
      <c r="CA58" s="226"/>
      <c r="CB58" s="252"/>
      <c r="CC58" s="771"/>
      <c r="CD58" s="226"/>
      <c r="CE58" s="226"/>
    </row>
    <row r="59" spans="1:83" ht="16" outlineLevel="1">
      <c r="A59" s="603"/>
      <c r="B59" s="787"/>
      <c r="C59" s="253" t="s">
        <v>298</v>
      </c>
      <c r="D59" s="279">
        <v>0.11</v>
      </c>
      <c r="E59" s="255"/>
      <c r="F59" s="255"/>
      <c r="G59" s="255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80">
        <f t="shared" si="29"/>
        <v>0</v>
      </c>
      <c r="BZ59" s="771"/>
      <c r="CA59" s="226"/>
      <c r="CB59" s="252"/>
      <c r="CC59" s="771"/>
      <c r="CD59" s="226"/>
      <c r="CE59" s="226"/>
    </row>
    <row r="60" spans="1:83" ht="16" outlineLevel="1">
      <c r="A60" s="603"/>
      <c r="B60" s="787"/>
      <c r="C60" s="253" t="s">
        <v>299</v>
      </c>
      <c r="D60" s="279">
        <v>0.105</v>
      </c>
      <c r="E60" s="255"/>
      <c r="F60" s="255"/>
      <c r="G60" s="255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5"/>
      <c r="AL60" s="255"/>
      <c r="AM60" s="255"/>
      <c r="AN60" s="255"/>
      <c r="AO60" s="255"/>
      <c r="AP60" s="255"/>
      <c r="AQ60" s="255"/>
      <c r="AR60" s="255"/>
      <c r="AS60" s="255"/>
      <c r="AT60" s="255"/>
      <c r="AU60" s="255"/>
      <c r="AV60" s="255"/>
      <c r="AW60" s="255"/>
      <c r="AX60" s="255"/>
      <c r="AY60" s="255"/>
      <c r="AZ60" s="255"/>
      <c r="BA60" s="255"/>
      <c r="BB60" s="255"/>
      <c r="BC60" s="255"/>
      <c r="BD60" s="255"/>
      <c r="BE60" s="255"/>
      <c r="BF60" s="255"/>
      <c r="BG60" s="255"/>
      <c r="BH60" s="255"/>
      <c r="BI60" s="255"/>
      <c r="BJ60" s="255"/>
      <c r="BK60" s="255"/>
      <c r="BL60" s="255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81">
        <f t="shared" si="29"/>
        <v>0</v>
      </c>
      <c r="BZ60" s="771"/>
      <c r="CA60" s="226"/>
      <c r="CB60" s="252"/>
      <c r="CC60" s="771"/>
      <c r="CD60" s="226"/>
      <c r="CE60" s="226"/>
    </row>
    <row r="61" spans="1:83" ht="16" outlineLevel="1">
      <c r="A61" s="603"/>
      <c r="B61" s="787"/>
      <c r="C61" s="253" t="s">
        <v>300</v>
      </c>
      <c r="D61" s="279">
        <v>0.15</v>
      </c>
      <c r="E61" s="255"/>
      <c r="F61" s="255"/>
      <c r="G61" s="255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5"/>
      <c r="V61" s="255"/>
      <c r="W61" s="255"/>
      <c r="X61" s="255"/>
      <c r="Y61" s="255"/>
      <c r="Z61" s="255"/>
      <c r="AA61" s="255"/>
      <c r="AB61" s="255"/>
      <c r="AC61" s="255"/>
      <c r="AD61" s="255"/>
      <c r="AE61" s="255"/>
      <c r="AF61" s="255"/>
      <c r="AG61" s="255"/>
      <c r="AH61" s="255"/>
      <c r="AI61" s="255"/>
      <c r="AJ61" s="255"/>
      <c r="AK61" s="255"/>
      <c r="AL61" s="255"/>
      <c r="AM61" s="255"/>
      <c r="AN61" s="255"/>
      <c r="AO61" s="255"/>
      <c r="AP61" s="255"/>
      <c r="AQ61" s="255"/>
      <c r="AR61" s="255"/>
      <c r="AS61" s="255"/>
      <c r="AT61" s="255"/>
      <c r="AU61" s="255"/>
      <c r="AV61" s="255"/>
      <c r="AW61" s="255"/>
      <c r="AX61" s="255"/>
      <c r="AY61" s="255"/>
      <c r="AZ61" s="255"/>
      <c r="BA61" s="255"/>
      <c r="BB61" s="255"/>
      <c r="BC61" s="255"/>
      <c r="BD61" s="255"/>
      <c r="BE61" s="255"/>
      <c r="BF61" s="255"/>
      <c r="BG61" s="255"/>
      <c r="BH61" s="255"/>
      <c r="BI61" s="255"/>
      <c r="BJ61" s="255"/>
      <c r="BK61" s="255"/>
      <c r="BL61" s="255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82">
        <f t="shared" si="29"/>
        <v>0</v>
      </c>
      <c r="BZ61" s="771"/>
      <c r="CA61" s="226"/>
      <c r="CB61" s="252"/>
      <c r="CC61" s="771"/>
      <c r="CD61" s="226"/>
      <c r="CE61" s="226"/>
    </row>
    <row r="62" spans="1:83" ht="16" outlineLevel="1">
      <c r="A62" s="603"/>
      <c r="B62" s="787"/>
      <c r="C62" s="253" t="s">
        <v>301</v>
      </c>
      <c r="D62" s="283">
        <v>5.8799999999999998E-2</v>
      </c>
      <c r="E62" s="259"/>
      <c r="F62" s="259"/>
      <c r="G62" s="259"/>
      <c r="H62" s="260"/>
      <c r="I62" s="260"/>
      <c r="J62" s="260"/>
      <c r="K62" s="260"/>
      <c r="L62" s="260"/>
      <c r="M62" s="260"/>
      <c r="N62" s="260"/>
      <c r="O62" s="260"/>
      <c r="P62" s="260"/>
      <c r="Q62" s="260"/>
      <c r="R62" s="260"/>
      <c r="S62" s="260"/>
      <c r="T62" s="260"/>
      <c r="U62" s="260"/>
      <c r="V62" s="260">
        <f>-SUM($U$10:V10)*$D$62/12</f>
        <v>-14609.487199999998</v>
      </c>
      <c r="W62" s="260">
        <f>-500-9850.71-500-14428-17709</f>
        <v>-42987.71</v>
      </c>
      <c r="X62" s="260">
        <f t="shared" ref="X62:AB62" si="30">-SUM($U$10:X10)*$D$62/12</f>
        <v>-81607.299899999998</v>
      </c>
      <c r="Y62" s="260">
        <f t="shared" si="30"/>
        <v>-103657.2999</v>
      </c>
      <c r="Z62" s="260">
        <f t="shared" si="30"/>
        <v>-120317.2999</v>
      </c>
      <c r="AA62" s="260">
        <f t="shared" si="30"/>
        <v>-132300</v>
      </c>
      <c r="AB62" s="260">
        <f t="shared" si="30"/>
        <v>-132300</v>
      </c>
      <c r="AC62" s="260"/>
      <c r="AD62" s="260"/>
      <c r="AE62" s="260"/>
      <c r="AF62" s="260"/>
      <c r="AG62" s="259"/>
      <c r="AH62" s="259"/>
      <c r="AI62" s="259"/>
      <c r="AJ62" s="259"/>
      <c r="AK62" s="259"/>
      <c r="AL62" s="259"/>
      <c r="AM62" s="259"/>
      <c r="AN62" s="259"/>
      <c r="AO62" s="259">
        <f>$AB$62</f>
        <v>-132300</v>
      </c>
      <c r="AP62" s="259">
        <f t="shared" ref="AP62:AZ62" si="31">$AB$62</f>
        <v>-132300</v>
      </c>
      <c r="AQ62" s="259">
        <f t="shared" si="31"/>
        <v>-132300</v>
      </c>
      <c r="AR62" s="259">
        <f t="shared" si="31"/>
        <v>-132300</v>
      </c>
      <c r="AS62" s="259">
        <f t="shared" si="31"/>
        <v>-132300</v>
      </c>
      <c r="AT62" s="259">
        <f t="shared" si="31"/>
        <v>-132300</v>
      </c>
      <c r="AU62" s="259">
        <f t="shared" si="31"/>
        <v>-132300</v>
      </c>
      <c r="AV62" s="259">
        <f t="shared" si="31"/>
        <v>-132300</v>
      </c>
      <c r="AW62" s="259">
        <f t="shared" si="31"/>
        <v>-132300</v>
      </c>
      <c r="AX62" s="259">
        <f t="shared" si="31"/>
        <v>-132300</v>
      </c>
      <c r="AY62" s="259">
        <f t="shared" si="31"/>
        <v>-132300</v>
      </c>
      <c r="AZ62" s="259">
        <f t="shared" si="31"/>
        <v>-132300</v>
      </c>
      <c r="BA62" s="259"/>
      <c r="BB62" s="259"/>
      <c r="BC62" s="259"/>
      <c r="BD62" s="259"/>
      <c r="BE62" s="259"/>
      <c r="BF62" s="259"/>
      <c r="BG62" s="259"/>
      <c r="BH62" s="259"/>
      <c r="BI62" s="259"/>
      <c r="BJ62" s="259"/>
      <c r="BK62" s="259"/>
      <c r="BL62" s="255"/>
      <c r="BM62" s="264"/>
      <c r="BN62" s="264"/>
      <c r="BO62" s="264"/>
      <c r="BP62" s="264"/>
      <c r="BQ62" s="264"/>
      <c r="BR62" s="264"/>
      <c r="BS62" s="264"/>
      <c r="BT62" s="264"/>
      <c r="BU62" s="264"/>
      <c r="BV62" s="264"/>
      <c r="BW62" s="264"/>
      <c r="BX62" s="264"/>
      <c r="BY62" s="282">
        <f t="shared" si="29"/>
        <v>-2215379.0969000002</v>
      </c>
      <c r="BZ62" s="771"/>
      <c r="CA62" s="226"/>
      <c r="CB62" s="252"/>
      <c r="CC62" s="771"/>
      <c r="CD62" s="226"/>
      <c r="CE62" s="226"/>
    </row>
    <row r="63" spans="1:83" ht="16" outlineLevel="1">
      <c r="A63" s="603"/>
      <c r="B63" s="787"/>
      <c r="C63" s="284" t="s">
        <v>302</v>
      </c>
      <c r="D63" s="285">
        <v>7.0000000000000007E-2</v>
      </c>
      <c r="E63" s="286"/>
      <c r="F63" s="286"/>
      <c r="G63" s="286"/>
      <c r="H63" s="287"/>
      <c r="I63" s="287"/>
      <c r="J63" s="287"/>
      <c r="K63" s="287"/>
      <c r="L63" s="287"/>
      <c r="M63" s="287">
        <f>-500-3013.89-17009.89-28420.74</f>
        <v>-48944.520000000004</v>
      </c>
      <c r="N63" s="287">
        <f>-500-3013.89-9715.85-35542.84-269.74-74539.72</f>
        <v>-123582.04</v>
      </c>
      <c r="O63" s="287">
        <f>-10395.44</f>
        <v>-10395.44</v>
      </c>
      <c r="P63" s="287">
        <f>-36289.12-275.39-112183.53-655.08-28529.87-31795.97-241.3-98293.51-658.05-45740.57-920.44-22573.06-16570.25</f>
        <v>-394726.13999999996</v>
      </c>
      <c r="Q63" s="287">
        <f>-11880.56-500-4442.66-33933.26-257.52-104900.69-702.28-48815.2-982.31-27035.66-1156.555-10939.02</f>
        <v>-245545.71499999997</v>
      </c>
      <c r="R63" s="287">
        <f>500-69.05-30398.58-230.69-11699.17</f>
        <v>-41897.49</v>
      </c>
      <c r="S63" s="287">
        <f>-224419.27-1.26-87.46-1.76-48.44-2.07-27.62-82274.48-629.13-43730.34-879.98-24219.48-1036.08-13808.46</f>
        <v>-391165.82999999996</v>
      </c>
      <c r="T63" s="287">
        <f>-7227.02-(6948.62)*25</f>
        <v>-180942.52</v>
      </c>
      <c r="U63" s="287">
        <f t="shared" ref="U63:V63" si="32">-200000</f>
        <v>-200000</v>
      </c>
      <c r="V63" s="287">
        <f t="shared" si="32"/>
        <v>-200000</v>
      </c>
      <c r="W63" s="287">
        <f>-(5247.39+6762.86)*25</f>
        <v>-300256.25</v>
      </c>
      <c r="X63" s="287">
        <f t="shared" ref="X63:AB63" si="33">-200000</f>
        <v>-200000</v>
      </c>
      <c r="Y63" s="287">
        <f t="shared" si="33"/>
        <v>-200000</v>
      </c>
      <c r="Z63" s="287">
        <f t="shared" si="33"/>
        <v>-200000</v>
      </c>
      <c r="AA63" s="287">
        <f t="shared" si="33"/>
        <v>-200000</v>
      </c>
      <c r="AB63" s="287">
        <f t="shared" si="33"/>
        <v>-200000</v>
      </c>
      <c r="AC63" s="287"/>
      <c r="AD63" s="287"/>
      <c r="AE63" s="287"/>
      <c r="AF63" s="287"/>
      <c r="AG63" s="286"/>
      <c r="AH63" s="286"/>
      <c r="AI63" s="286"/>
      <c r="AJ63" s="286"/>
      <c r="AK63" s="286"/>
      <c r="AL63" s="286"/>
      <c r="AM63" s="286"/>
      <c r="AN63" s="286"/>
      <c r="AO63" s="286">
        <f>$AB$63</f>
        <v>-200000</v>
      </c>
      <c r="AP63" s="286">
        <f t="shared" ref="AP63:AZ63" si="34">$AB$63</f>
        <v>-200000</v>
      </c>
      <c r="AQ63" s="286">
        <f t="shared" si="34"/>
        <v>-200000</v>
      </c>
      <c r="AR63" s="286">
        <f t="shared" si="34"/>
        <v>-200000</v>
      </c>
      <c r="AS63" s="286">
        <f t="shared" si="34"/>
        <v>-200000</v>
      </c>
      <c r="AT63" s="286">
        <f t="shared" si="34"/>
        <v>-200000</v>
      </c>
      <c r="AU63" s="286">
        <f t="shared" si="34"/>
        <v>-200000</v>
      </c>
      <c r="AV63" s="286">
        <f t="shared" si="34"/>
        <v>-200000</v>
      </c>
      <c r="AW63" s="286">
        <f t="shared" si="34"/>
        <v>-200000</v>
      </c>
      <c r="AX63" s="286">
        <f t="shared" si="34"/>
        <v>-200000</v>
      </c>
      <c r="AY63" s="286">
        <f t="shared" si="34"/>
        <v>-200000</v>
      </c>
      <c r="AZ63" s="286">
        <f t="shared" si="34"/>
        <v>-200000</v>
      </c>
      <c r="BA63" s="286"/>
      <c r="BB63" s="286"/>
      <c r="BC63" s="286"/>
      <c r="BD63" s="286"/>
      <c r="BE63" s="286"/>
      <c r="BF63" s="286"/>
      <c r="BG63" s="286"/>
      <c r="BH63" s="286"/>
      <c r="BI63" s="286"/>
      <c r="BJ63" s="286"/>
      <c r="BK63" s="286"/>
      <c r="BL63" s="286"/>
      <c r="BM63" s="288"/>
      <c r="BN63" s="288"/>
      <c r="BO63" s="288"/>
      <c r="BP63" s="288"/>
      <c r="BQ63" s="288"/>
      <c r="BR63" s="288"/>
      <c r="BS63" s="288"/>
      <c r="BT63" s="288"/>
      <c r="BU63" s="288"/>
      <c r="BV63" s="288"/>
      <c r="BW63" s="288"/>
      <c r="BX63" s="288"/>
      <c r="BY63" s="289">
        <f t="shared" si="29"/>
        <v>-5537455.9450000003</v>
      </c>
      <c r="BZ63" s="771"/>
      <c r="CA63" s="226"/>
      <c r="CB63" s="252"/>
      <c r="CC63" s="771"/>
      <c r="CD63" s="226"/>
      <c r="CE63" s="226"/>
    </row>
    <row r="64" spans="1:83" ht="16">
      <c r="A64" s="603"/>
      <c r="B64" s="787"/>
      <c r="C64" s="248" t="s">
        <v>303</v>
      </c>
      <c r="D64" s="249"/>
      <c r="E64" s="250">
        <f t="shared" ref="E64:BY64" si="35">SUM(E65:E87)</f>
        <v>0</v>
      </c>
      <c r="F64" s="250">
        <f t="shared" si="35"/>
        <v>0</v>
      </c>
      <c r="G64" s="250">
        <f t="shared" si="35"/>
        <v>0</v>
      </c>
      <c r="H64" s="250">
        <f t="shared" si="35"/>
        <v>0</v>
      </c>
      <c r="I64" s="250">
        <f t="shared" si="35"/>
        <v>0</v>
      </c>
      <c r="J64" s="250">
        <f t="shared" si="35"/>
        <v>0</v>
      </c>
      <c r="K64" s="250">
        <f t="shared" si="35"/>
        <v>0</v>
      </c>
      <c r="L64" s="250">
        <f t="shared" si="35"/>
        <v>0</v>
      </c>
      <c r="M64" s="250">
        <f t="shared" si="35"/>
        <v>0</v>
      </c>
      <c r="N64" s="250">
        <f t="shared" si="35"/>
        <v>0</v>
      </c>
      <c r="O64" s="250">
        <f t="shared" si="35"/>
        <v>0</v>
      </c>
      <c r="P64" s="250">
        <f t="shared" si="35"/>
        <v>0</v>
      </c>
      <c r="Q64" s="250">
        <f t="shared" si="35"/>
        <v>0</v>
      </c>
      <c r="R64" s="250">
        <f t="shared" si="35"/>
        <v>0</v>
      </c>
      <c r="S64" s="250">
        <f t="shared" si="35"/>
        <v>-57959</v>
      </c>
      <c r="T64" s="250">
        <f t="shared" si="35"/>
        <v>-81554</v>
      </c>
      <c r="U64" s="250">
        <f t="shared" si="35"/>
        <v>-105146.234</v>
      </c>
      <c r="V64" s="250">
        <f t="shared" si="35"/>
        <v>-55146.233999999989</v>
      </c>
      <c r="W64" s="250">
        <f t="shared" si="35"/>
        <v>0</v>
      </c>
      <c r="X64" s="250">
        <f t="shared" si="35"/>
        <v>0</v>
      </c>
      <c r="Y64" s="250">
        <f t="shared" si="35"/>
        <v>0</v>
      </c>
      <c r="Z64" s="250">
        <f t="shared" si="35"/>
        <v>-97718.69249999999</v>
      </c>
      <c r="AA64" s="250">
        <f t="shared" si="35"/>
        <v>-97718.69249999999</v>
      </c>
      <c r="AB64" s="250">
        <f t="shared" si="35"/>
        <v>-909797.49225357117</v>
      </c>
      <c r="AC64" s="250">
        <f t="shared" si="35"/>
        <v>0</v>
      </c>
      <c r="AD64" s="250">
        <f t="shared" si="35"/>
        <v>0</v>
      </c>
      <c r="AE64" s="250">
        <f t="shared" si="35"/>
        <v>0</v>
      </c>
      <c r="AF64" s="250">
        <f t="shared" si="35"/>
        <v>0</v>
      </c>
      <c r="AG64" s="250">
        <f t="shared" si="35"/>
        <v>0</v>
      </c>
      <c r="AH64" s="250">
        <f t="shared" si="35"/>
        <v>0</v>
      </c>
      <c r="AI64" s="250">
        <f t="shared" si="35"/>
        <v>0</v>
      </c>
      <c r="AJ64" s="250">
        <f t="shared" si="35"/>
        <v>0</v>
      </c>
      <c r="AK64" s="250">
        <f t="shared" si="35"/>
        <v>0</v>
      </c>
      <c r="AL64" s="250">
        <f t="shared" si="35"/>
        <v>0</v>
      </c>
      <c r="AM64" s="250">
        <f t="shared" si="35"/>
        <v>0</v>
      </c>
      <c r="AN64" s="250">
        <f t="shared" si="35"/>
        <v>0</v>
      </c>
      <c r="AO64" s="250">
        <f t="shared" si="35"/>
        <v>-80759.25</v>
      </c>
      <c r="AP64" s="250">
        <f t="shared" si="35"/>
        <v>-80759.25</v>
      </c>
      <c r="AQ64" s="250">
        <f t="shared" si="35"/>
        <v>-80759.25</v>
      </c>
      <c r="AR64" s="250">
        <f t="shared" si="35"/>
        <v>-80759.25</v>
      </c>
      <c r="AS64" s="250">
        <f t="shared" si="35"/>
        <v>-80759.25</v>
      </c>
      <c r="AT64" s="250">
        <f t="shared" si="35"/>
        <v>-80759.25</v>
      </c>
      <c r="AU64" s="250">
        <f t="shared" si="35"/>
        <v>-80759.25</v>
      </c>
      <c r="AV64" s="250">
        <f t="shared" si="35"/>
        <v>-80759.25</v>
      </c>
      <c r="AW64" s="250">
        <f t="shared" si="35"/>
        <v>-80759.25</v>
      </c>
      <c r="AX64" s="250">
        <f t="shared" si="35"/>
        <v>-80759.25</v>
      </c>
      <c r="AY64" s="250">
        <f t="shared" si="35"/>
        <v>-80759.25</v>
      </c>
      <c r="AZ64" s="250">
        <f t="shared" si="35"/>
        <v>-80759.25</v>
      </c>
      <c r="BA64" s="250">
        <f t="shared" si="35"/>
        <v>0</v>
      </c>
      <c r="BB64" s="250">
        <f t="shared" si="35"/>
        <v>0</v>
      </c>
      <c r="BC64" s="250">
        <f t="shared" si="35"/>
        <v>0</v>
      </c>
      <c r="BD64" s="250">
        <f t="shared" si="35"/>
        <v>0</v>
      </c>
      <c r="BE64" s="250">
        <f t="shared" si="35"/>
        <v>0</v>
      </c>
      <c r="BF64" s="250">
        <f t="shared" si="35"/>
        <v>0</v>
      </c>
      <c r="BG64" s="250">
        <f t="shared" si="35"/>
        <v>0</v>
      </c>
      <c r="BH64" s="250">
        <f t="shared" si="35"/>
        <v>0</v>
      </c>
      <c r="BI64" s="250">
        <f t="shared" si="35"/>
        <v>0</v>
      </c>
      <c r="BJ64" s="250">
        <f t="shared" si="35"/>
        <v>0</v>
      </c>
      <c r="BK64" s="250">
        <f t="shared" si="35"/>
        <v>0</v>
      </c>
      <c r="BL64" s="250">
        <f t="shared" si="35"/>
        <v>0</v>
      </c>
      <c r="BM64" s="250">
        <f t="shared" si="35"/>
        <v>0</v>
      </c>
      <c r="BN64" s="250">
        <f t="shared" si="35"/>
        <v>0</v>
      </c>
      <c r="BO64" s="250">
        <f t="shared" si="35"/>
        <v>0</v>
      </c>
      <c r="BP64" s="250">
        <f t="shared" si="35"/>
        <v>0</v>
      </c>
      <c r="BQ64" s="250">
        <f t="shared" si="35"/>
        <v>0</v>
      </c>
      <c r="BR64" s="250">
        <f t="shared" si="35"/>
        <v>0</v>
      </c>
      <c r="BS64" s="250">
        <f t="shared" si="35"/>
        <v>0</v>
      </c>
      <c r="BT64" s="250">
        <f t="shared" si="35"/>
        <v>0</v>
      </c>
      <c r="BU64" s="250">
        <f t="shared" si="35"/>
        <v>0</v>
      </c>
      <c r="BV64" s="250">
        <f t="shared" si="35"/>
        <v>0</v>
      </c>
      <c r="BW64" s="250">
        <f t="shared" si="35"/>
        <v>0</v>
      </c>
      <c r="BX64" s="250">
        <f t="shared" si="35"/>
        <v>0</v>
      </c>
      <c r="BY64" s="251">
        <f t="shared" si="35"/>
        <v>-2374151.3452535709</v>
      </c>
      <c r="BZ64" s="771"/>
      <c r="CA64" s="226"/>
      <c r="CB64" s="252"/>
      <c r="CC64" s="771"/>
      <c r="CD64" s="226"/>
      <c r="CE64" s="711">
        <f>AZ64/1.21</f>
        <v>-66743.181818181823</v>
      </c>
    </row>
    <row r="65" spans="1:83" ht="16" outlineLevel="1">
      <c r="A65" s="603"/>
      <c r="B65" s="787"/>
      <c r="C65" s="290" t="s">
        <v>304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91">
        <f t="shared" ref="BY65:BY87" si="36">SUM(E65:BX65)</f>
        <v>0</v>
      </c>
      <c r="BZ65" s="771"/>
      <c r="CA65" s="226"/>
      <c r="CB65" s="252"/>
      <c r="CC65" s="771"/>
      <c r="CD65" s="226"/>
      <c r="CE65" s="711">
        <f>AZ64-CE64</f>
        <v>-14016.068181818177</v>
      </c>
    </row>
    <row r="66" spans="1:83" ht="16" outlineLevel="1">
      <c r="A66" s="603"/>
      <c r="B66" s="787"/>
      <c r="C66" s="292" t="s">
        <v>305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91">
        <f t="shared" si="36"/>
        <v>0</v>
      </c>
      <c r="BZ66" s="771"/>
      <c r="CA66" s="226"/>
      <c r="CB66" s="252"/>
      <c r="CC66" s="771"/>
      <c r="CD66" s="226"/>
      <c r="CE66" s="226"/>
    </row>
    <row r="67" spans="1:83" ht="16" outlineLevel="1">
      <c r="A67" s="603"/>
      <c r="B67" s="787"/>
      <c r="C67" s="292" t="s">
        <v>306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91">
        <f t="shared" si="36"/>
        <v>0</v>
      </c>
      <c r="BZ67" s="771"/>
      <c r="CA67" s="226"/>
      <c r="CB67" s="252"/>
      <c r="CC67" s="771"/>
      <c r="CD67" s="226"/>
      <c r="CE67" s="226"/>
    </row>
    <row r="68" spans="1:83" ht="16" outlineLevel="1">
      <c r="A68" s="603"/>
      <c r="B68" s="787"/>
      <c r="C68" s="292" t="s">
        <v>307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91">
        <f t="shared" si="36"/>
        <v>0</v>
      </c>
      <c r="BZ68" s="771"/>
      <c r="CA68" s="226"/>
      <c r="CB68" s="252"/>
      <c r="CC68" s="771"/>
      <c r="CD68" s="226"/>
      <c r="CE68" s="226"/>
    </row>
    <row r="69" spans="1:83" ht="16" outlineLevel="1">
      <c r="A69" s="603"/>
      <c r="B69" s="787"/>
      <c r="C69" s="292" t="s">
        <v>308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91">
        <f t="shared" si="36"/>
        <v>0</v>
      </c>
      <c r="BZ69" s="771"/>
      <c r="CA69" s="226"/>
      <c r="CB69" s="252"/>
      <c r="CC69" s="771"/>
      <c r="CD69" s="226"/>
      <c r="CE69" s="226"/>
    </row>
    <row r="70" spans="1:83" ht="16" outlineLevel="1">
      <c r="A70" s="603"/>
      <c r="B70" s="787"/>
      <c r="C70" s="292" t="s">
        <v>309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91">
        <f t="shared" si="36"/>
        <v>0</v>
      </c>
      <c r="BZ70" s="771"/>
      <c r="CA70" s="226"/>
      <c r="CB70" s="252"/>
      <c r="CC70" s="771"/>
      <c r="CD70" s="226"/>
      <c r="CE70" s="226"/>
    </row>
    <row r="71" spans="1:83" ht="16" outlineLevel="1">
      <c r="A71" s="603"/>
      <c r="B71" s="787"/>
      <c r="C71" s="292" t="s">
        <v>310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91">
        <f t="shared" si="36"/>
        <v>0</v>
      </c>
      <c r="BZ71" s="771"/>
      <c r="CA71" s="226"/>
      <c r="CB71" s="252"/>
      <c r="CC71" s="771"/>
      <c r="CD71" s="226"/>
      <c r="CE71" s="226"/>
    </row>
    <row r="72" spans="1:83" ht="16" outlineLevel="1">
      <c r="A72" s="603"/>
      <c r="B72" s="787"/>
      <c r="C72" s="292" t="s">
        <v>311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91">
        <f t="shared" si="36"/>
        <v>0</v>
      </c>
      <c r="BZ72" s="771"/>
      <c r="CA72" s="226"/>
      <c r="CB72" s="252"/>
      <c r="CC72" s="771"/>
      <c r="CD72" s="226"/>
      <c r="CE72" s="226"/>
    </row>
    <row r="73" spans="1:83" ht="16" outlineLevel="1">
      <c r="A73" s="603"/>
      <c r="B73" s="787"/>
      <c r="C73" s="292" t="s">
        <v>312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63">
        <f>-50000</f>
        <v>-50000</v>
      </c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91">
        <f t="shared" si="36"/>
        <v>-50000</v>
      </c>
      <c r="BZ73" s="771"/>
      <c r="CA73" s="226"/>
      <c r="CB73" s="252"/>
      <c r="CC73" s="771"/>
      <c r="CD73" s="226"/>
      <c r="CE73" s="226"/>
    </row>
    <row r="74" spans="1:83" ht="16" outlineLevel="1">
      <c r="A74" s="603"/>
      <c r="B74" s="787"/>
      <c r="C74" s="292" t="s">
        <v>313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91">
        <f t="shared" si="36"/>
        <v>0</v>
      </c>
      <c r="BZ74" s="771"/>
      <c r="CA74" s="226"/>
      <c r="CB74" s="252"/>
      <c r="CC74" s="771"/>
      <c r="CD74" s="226"/>
      <c r="CE74" s="226"/>
    </row>
    <row r="75" spans="1:83" ht="16" outlineLevel="1">
      <c r="A75" s="603"/>
      <c r="B75" s="787"/>
      <c r="C75" s="292" t="s">
        <v>314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91">
        <f t="shared" si="36"/>
        <v>0</v>
      </c>
      <c r="BZ75" s="771"/>
      <c r="CA75" s="226"/>
      <c r="CB75" s="252"/>
      <c r="CC75" s="771"/>
      <c r="CD75" s="226"/>
      <c r="CE75" s="226"/>
    </row>
    <row r="76" spans="1:83" ht="16" outlineLevel="1">
      <c r="A76" s="603"/>
      <c r="B76" s="787"/>
      <c r="C76" s="292" t="s">
        <v>315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91">
        <f t="shared" si="36"/>
        <v>0</v>
      </c>
      <c r="BZ76" s="771"/>
      <c r="CA76" s="226"/>
      <c r="CB76" s="252"/>
      <c r="CC76" s="771"/>
      <c r="CD76" s="226"/>
      <c r="CE76" s="226"/>
    </row>
    <row r="77" spans="1:83" ht="16" outlineLevel="1">
      <c r="A77" s="603"/>
      <c r="B77" s="787"/>
      <c r="C77" s="292" t="s">
        <v>316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91">
        <f t="shared" si="36"/>
        <v>0</v>
      </c>
      <c r="BZ77" s="771"/>
      <c r="CA77" s="226"/>
      <c r="CB77" s="252"/>
      <c r="CC77" s="771"/>
      <c r="CD77" s="226"/>
      <c r="CE77" s="226"/>
    </row>
    <row r="78" spans="1:83" ht="16" outlineLevel="1">
      <c r="A78" s="603"/>
      <c r="B78" s="787"/>
      <c r="C78" s="292" t="s">
        <v>317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91">
        <f t="shared" si="36"/>
        <v>0</v>
      </c>
      <c r="BZ78" s="771"/>
      <c r="CA78" s="226"/>
      <c r="CB78" s="252"/>
      <c r="CC78" s="771"/>
      <c r="CD78" s="226"/>
      <c r="CE78" s="226"/>
    </row>
    <row r="79" spans="1:83" ht="16" outlineLevel="1">
      <c r="A79" s="603"/>
      <c r="B79" s="787"/>
      <c r="C79" s="292" t="s">
        <v>318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91">
        <f t="shared" si="36"/>
        <v>0</v>
      </c>
      <c r="BZ79" s="771"/>
      <c r="CA79" s="226"/>
      <c r="CB79" s="252"/>
      <c r="CC79" s="771"/>
      <c r="CD79" s="226"/>
      <c r="CE79" s="226"/>
    </row>
    <row r="80" spans="1:83" ht="16" outlineLevel="1">
      <c r="A80" s="603"/>
      <c r="B80" s="787"/>
      <c r="C80" s="292" t="s">
        <v>319</v>
      </c>
      <c r="D80" s="254" t="s">
        <v>270</v>
      </c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  <c r="BX80" s="256"/>
      <c r="BY80" s="291">
        <f t="shared" si="36"/>
        <v>0</v>
      </c>
      <c r="BZ80" s="771"/>
      <c r="CA80" s="226"/>
      <c r="CB80" s="252"/>
      <c r="CC80" s="771"/>
      <c r="CD80" s="226"/>
      <c r="CE80" s="226"/>
    </row>
    <row r="81" spans="1:81" ht="16" outlineLevel="1">
      <c r="A81" s="603"/>
      <c r="B81" s="787"/>
      <c r="C81" s="292" t="s">
        <v>320</v>
      </c>
      <c r="D81" s="254" t="s">
        <v>270</v>
      </c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>
        <f>-57959</f>
        <v>-57959</v>
      </c>
      <c r="T81" s="256">
        <f>-81554</f>
        <v>-81554</v>
      </c>
      <c r="U81" s="256">
        <f>-39*Businessplan_prodej!$J$8*1.21</f>
        <v>-55146.233999999989</v>
      </c>
      <c r="V81" s="256">
        <f>-39*Businessplan_prodej!$J$8*1.21</f>
        <v>-55146.233999999989</v>
      </c>
      <c r="W81" s="256"/>
      <c r="X81" s="256"/>
      <c r="Y81" s="256"/>
      <c r="Z81" s="256">
        <f>-39*Businessplan_prodej!$J$17*1.21</f>
        <v>-97718.69249999999</v>
      </c>
      <c r="AA81" s="256">
        <f>-39*Businessplan_prodej!$J$17*1.21</f>
        <v>-97718.69249999999</v>
      </c>
      <c r="AB81" s="256">
        <f>-39*Businessplan_prodej!$J$17*1.21</f>
        <v>-97718.69249999999</v>
      </c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>
        <f>-39*Businessplan_prodej!$J$17</f>
        <v>-80759.25</v>
      </c>
      <c r="AP81" s="256">
        <f>-39*Businessplan_prodej!$J$17</f>
        <v>-80759.25</v>
      </c>
      <c r="AQ81" s="256">
        <f>-39*Businessplan_prodej!$J$17</f>
        <v>-80759.25</v>
      </c>
      <c r="AR81" s="256">
        <f>-39*Businessplan_prodej!$J$17</f>
        <v>-80759.25</v>
      </c>
      <c r="AS81" s="256">
        <f>-39*Businessplan_prodej!$J$17</f>
        <v>-80759.25</v>
      </c>
      <c r="AT81" s="256">
        <f>-39*Businessplan_prodej!$J$17</f>
        <v>-80759.25</v>
      </c>
      <c r="AU81" s="256">
        <f>-39*Businessplan_prodej!$J$17</f>
        <v>-80759.25</v>
      </c>
      <c r="AV81" s="256">
        <f>-39*Businessplan_prodej!$J$17</f>
        <v>-80759.25</v>
      </c>
      <c r="AW81" s="256">
        <f>-39*Businessplan_prodej!$J$17</f>
        <v>-80759.25</v>
      </c>
      <c r="AX81" s="256">
        <f>-39*Businessplan_prodej!$J$17</f>
        <v>-80759.25</v>
      </c>
      <c r="AY81" s="256">
        <f>-39*Businessplan_prodej!$J$17</f>
        <v>-80759.25</v>
      </c>
      <c r="AZ81" s="256">
        <f>-39*Businessplan_prodej!$J$17</f>
        <v>-80759.25</v>
      </c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6"/>
      <c r="BR81" s="256"/>
      <c r="BS81" s="256"/>
      <c r="BT81" s="256"/>
      <c r="BU81" s="256"/>
      <c r="BV81" s="256"/>
      <c r="BW81" s="256"/>
      <c r="BX81" s="256"/>
      <c r="BY81" s="291">
        <f t="shared" si="36"/>
        <v>-1512072.5455</v>
      </c>
      <c r="BZ81" s="771"/>
      <c r="CA81" s="226"/>
      <c r="CB81" s="252"/>
      <c r="CC81" s="771"/>
    </row>
    <row r="82" spans="1:81" ht="16" outlineLevel="1">
      <c r="A82" s="603"/>
      <c r="B82" s="787"/>
      <c r="C82" s="292" t="s">
        <v>321</v>
      </c>
      <c r="D82" s="254" t="s">
        <v>270</v>
      </c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6"/>
      <c r="AC82" s="256"/>
      <c r="AD82" s="256"/>
      <c r="AE82" s="256"/>
      <c r="AF82" s="256"/>
      <c r="AG82" s="256"/>
      <c r="AH82" s="256"/>
      <c r="AI82" s="256"/>
      <c r="AJ82" s="256"/>
      <c r="AK82" s="256"/>
      <c r="AL82" s="256"/>
      <c r="AM82" s="256"/>
      <c r="AN82" s="256"/>
      <c r="AO82" s="256"/>
      <c r="AP82" s="256"/>
      <c r="AQ82" s="256"/>
      <c r="AR82" s="256"/>
      <c r="AS82" s="256"/>
      <c r="AT82" s="256"/>
      <c r="AU82" s="256"/>
      <c r="AV82" s="256"/>
      <c r="AW82" s="256"/>
      <c r="AX82" s="256"/>
      <c r="AY82" s="256"/>
      <c r="AZ82" s="256"/>
      <c r="BA82" s="256"/>
      <c r="BB82" s="256"/>
      <c r="BC82" s="256"/>
      <c r="BD82" s="256"/>
      <c r="BE82" s="256"/>
      <c r="BF82" s="256"/>
      <c r="BG82" s="256"/>
      <c r="BH82" s="256"/>
      <c r="BI82" s="256"/>
      <c r="BJ82" s="256"/>
      <c r="BK82" s="256"/>
      <c r="BL82" s="256"/>
      <c r="BM82" s="256"/>
      <c r="BN82" s="256"/>
      <c r="BO82" s="256"/>
      <c r="BP82" s="256"/>
      <c r="BQ82" s="256"/>
      <c r="BR82" s="256"/>
      <c r="BS82" s="256"/>
      <c r="BT82" s="256"/>
      <c r="BU82" s="256"/>
      <c r="BV82" s="256"/>
      <c r="BW82" s="256"/>
      <c r="BX82" s="256"/>
      <c r="BY82" s="291">
        <f t="shared" si="36"/>
        <v>0</v>
      </c>
      <c r="BZ82" s="771"/>
      <c r="CA82" s="226"/>
      <c r="CB82" s="252"/>
      <c r="CC82" s="771"/>
    </row>
    <row r="83" spans="1:81" ht="16" outlineLevel="1">
      <c r="A83" s="603"/>
      <c r="B83" s="787"/>
      <c r="C83" s="293" t="s">
        <v>224</v>
      </c>
      <c r="D83" s="254" t="s">
        <v>270</v>
      </c>
      <c r="E83" s="256"/>
      <c r="F83" s="255"/>
      <c r="G83" s="255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6"/>
      <c r="V83" s="256"/>
      <c r="W83" s="256"/>
      <c r="X83" s="256"/>
      <c r="Y83" s="256"/>
      <c r="Z83" s="256"/>
      <c r="AA83" s="256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91">
        <f t="shared" si="36"/>
        <v>0</v>
      </c>
      <c r="BZ83" s="771"/>
      <c r="CA83" s="226"/>
      <c r="CB83" s="252"/>
      <c r="CC83" s="771"/>
    </row>
    <row r="84" spans="1:81" ht="16" outlineLevel="1">
      <c r="A84" s="603"/>
      <c r="B84" s="787"/>
      <c r="C84" s="292" t="s">
        <v>225</v>
      </c>
      <c r="D84" s="254" t="s">
        <v>270</v>
      </c>
      <c r="E84" s="256"/>
      <c r="F84" s="255"/>
      <c r="G84" s="255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5"/>
      <c r="V84" s="255"/>
      <c r="W84" s="255"/>
      <c r="X84" s="255"/>
      <c r="Y84" s="255"/>
      <c r="Z84" s="255"/>
      <c r="AA84" s="255"/>
      <c r="AB84" s="255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5"/>
      <c r="BD84" s="255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91">
        <f t="shared" si="36"/>
        <v>0</v>
      </c>
      <c r="BZ84" s="771"/>
      <c r="CA84" s="226"/>
      <c r="CB84" s="252"/>
      <c r="CC84" s="771"/>
    </row>
    <row r="85" spans="1:81" ht="16" outlineLevel="1">
      <c r="A85" s="603"/>
      <c r="B85" s="787"/>
      <c r="C85" s="292" t="s">
        <v>236</v>
      </c>
      <c r="D85" s="254" t="s">
        <v>270</v>
      </c>
      <c r="E85" s="256"/>
      <c r="F85" s="255"/>
      <c r="G85" s="255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P85" s="255"/>
      <c r="AQ85" s="255"/>
      <c r="AR85" s="255"/>
      <c r="AS85" s="255"/>
      <c r="AT85" s="255"/>
      <c r="AU85" s="255"/>
      <c r="AV85" s="255"/>
      <c r="AW85" s="255"/>
      <c r="AX85" s="255"/>
      <c r="AY85" s="255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91">
        <f t="shared" si="36"/>
        <v>0</v>
      </c>
      <c r="BZ85" s="771"/>
      <c r="CA85" s="226"/>
      <c r="CB85" s="252"/>
      <c r="CC85" s="771"/>
    </row>
    <row r="86" spans="1:81" ht="16" outlineLevel="1">
      <c r="A86" s="603"/>
      <c r="B86" s="787"/>
      <c r="C86" s="292" t="s">
        <v>237</v>
      </c>
      <c r="D86" s="254" t="s">
        <v>270</v>
      </c>
      <c r="E86" s="256"/>
      <c r="F86" s="255"/>
      <c r="G86" s="255"/>
      <c r="H86" s="256"/>
      <c r="I86" s="256"/>
      <c r="J86" s="256"/>
      <c r="K86" s="256"/>
      <c r="L86" s="256"/>
      <c r="M86" s="256"/>
      <c r="N86" s="256"/>
      <c r="O86" s="256"/>
      <c r="P86" s="256"/>
      <c r="Q86" s="256"/>
      <c r="R86" s="256"/>
      <c r="S86" s="256"/>
      <c r="T86" s="256"/>
      <c r="U86" s="255"/>
      <c r="V86" s="255"/>
      <c r="W86" s="255"/>
      <c r="X86" s="255"/>
      <c r="Y86" s="255"/>
      <c r="Z86" s="255"/>
      <c r="AA86" s="255"/>
      <c r="AB86" s="255"/>
      <c r="AC86" s="255"/>
      <c r="AD86" s="255"/>
      <c r="AE86" s="255"/>
      <c r="AF86" s="255"/>
      <c r="AG86" s="255"/>
      <c r="AH86" s="255"/>
      <c r="AI86" s="255"/>
      <c r="AJ86" s="255"/>
      <c r="AK86" s="255"/>
      <c r="AL86" s="255"/>
      <c r="AM86" s="255"/>
      <c r="AN86" s="255"/>
      <c r="AO86" s="255"/>
      <c r="AP86" s="255"/>
      <c r="AQ86" s="255"/>
      <c r="AR86" s="255"/>
      <c r="AS86" s="255"/>
      <c r="AT86" s="255"/>
      <c r="AU86" s="255"/>
      <c r="AV86" s="255"/>
      <c r="AW86" s="255"/>
      <c r="AX86" s="255"/>
      <c r="AY86" s="255"/>
      <c r="AZ86" s="255"/>
      <c r="BA86" s="255"/>
      <c r="BB86" s="255"/>
      <c r="BC86" s="255"/>
      <c r="BD86" s="255"/>
      <c r="BE86" s="255"/>
      <c r="BF86" s="255"/>
      <c r="BG86" s="255"/>
      <c r="BH86" s="255"/>
      <c r="BI86" s="255"/>
      <c r="BJ86" s="255"/>
      <c r="BK86" s="255"/>
      <c r="BL86" s="255"/>
      <c r="BM86" s="255"/>
      <c r="BN86" s="255"/>
      <c r="BO86" s="255"/>
      <c r="BP86" s="255"/>
      <c r="BQ86" s="255"/>
      <c r="BR86" s="255"/>
      <c r="BS86" s="255"/>
      <c r="BT86" s="255"/>
      <c r="BU86" s="255"/>
      <c r="BV86" s="255"/>
      <c r="BW86" s="255"/>
      <c r="BX86" s="255"/>
      <c r="BY86" s="291">
        <f t="shared" si="36"/>
        <v>0</v>
      </c>
      <c r="BZ86" s="771"/>
      <c r="CA86" s="226"/>
      <c r="CB86" s="252"/>
      <c r="CC86" s="771"/>
    </row>
    <row r="87" spans="1:81" ht="16" outlineLevel="1">
      <c r="A87" s="603"/>
      <c r="B87" s="787"/>
      <c r="C87" s="294" t="s">
        <v>322</v>
      </c>
      <c r="D87" s="258" t="s">
        <v>270</v>
      </c>
      <c r="E87" s="295"/>
      <c r="F87" s="295"/>
      <c r="G87" s="295"/>
      <c r="H87" s="295"/>
      <c r="I87" s="295"/>
      <c r="J87" s="295"/>
      <c r="K87" s="295"/>
      <c r="L87" s="295"/>
      <c r="M87" s="295"/>
      <c r="N87" s="295"/>
      <c r="O87" s="295"/>
      <c r="P87" s="295"/>
      <c r="Q87" s="295"/>
      <c r="R87" s="295"/>
      <c r="S87" s="295"/>
      <c r="T87" s="295"/>
      <c r="U87" s="295"/>
      <c r="V87" s="295"/>
      <c r="W87" s="295"/>
      <c r="X87" s="295"/>
      <c r="Y87" s="295"/>
      <c r="Z87" s="295"/>
      <c r="AA87" s="295"/>
      <c r="AB87" s="295">
        <f>Businessplan_prodej!$N$21*1.21</f>
        <v>-812078.79975357116</v>
      </c>
      <c r="AC87" s="295"/>
      <c r="AD87" s="295"/>
      <c r="AE87" s="295"/>
      <c r="AF87" s="295"/>
      <c r="AG87" s="295"/>
      <c r="AH87" s="295"/>
      <c r="AI87" s="295"/>
      <c r="AJ87" s="295"/>
      <c r="AK87" s="295"/>
      <c r="AL87" s="295"/>
      <c r="AM87" s="295"/>
      <c r="AN87" s="295"/>
      <c r="AO87" s="295"/>
      <c r="AP87" s="295"/>
      <c r="AQ87" s="295"/>
      <c r="AR87" s="295"/>
      <c r="AS87" s="295"/>
      <c r="AT87" s="295"/>
      <c r="AU87" s="295"/>
      <c r="AV87" s="295"/>
      <c r="AW87" s="295"/>
      <c r="AX87" s="295"/>
      <c r="AY87" s="295"/>
      <c r="AZ87" s="295"/>
      <c r="BA87" s="295"/>
      <c r="BB87" s="295"/>
      <c r="BC87" s="295"/>
      <c r="BD87" s="295"/>
      <c r="BE87" s="295"/>
      <c r="BF87" s="295"/>
      <c r="BG87" s="295"/>
      <c r="BH87" s="295"/>
      <c r="BI87" s="295"/>
      <c r="BJ87" s="295"/>
      <c r="BK87" s="295"/>
      <c r="BL87" s="295"/>
      <c r="BM87" s="295"/>
      <c r="BN87" s="295"/>
      <c r="BO87" s="295"/>
      <c r="BP87" s="295"/>
      <c r="BQ87" s="295"/>
      <c r="BR87" s="295"/>
      <c r="BS87" s="295"/>
      <c r="BT87" s="295"/>
      <c r="BU87" s="295"/>
      <c r="BV87" s="295"/>
      <c r="BW87" s="295"/>
      <c r="BX87" s="295"/>
      <c r="BY87" s="291">
        <f t="shared" si="36"/>
        <v>-812078.79975357116</v>
      </c>
      <c r="BZ87" s="771"/>
      <c r="CA87" s="226"/>
      <c r="CB87" s="252"/>
      <c r="CC87" s="771"/>
    </row>
    <row r="88" spans="1:81" ht="16" collapsed="1">
      <c r="A88" s="603"/>
      <c r="B88" s="787"/>
      <c r="C88" s="248" t="s">
        <v>323</v>
      </c>
      <c r="D88" s="249"/>
      <c r="E88" s="250">
        <f t="shared" ref="E88:BY88" si="37">SUM(E89:E90)</f>
        <v>0</v>
      </c>
      <c r="F88" s="250">
        <f t="shared" si="37"/>
        <v>0</v>
      </c>
      <c r="G88" s="250">
        <f t="shared" si="37"/>
        <v>0</v>
      </c>
      <c r="H88" s="250">
        <f t="shared" si="37"/>
        <v>0</v>
      </c>
      <c r="I88" s="250">
        <f t="shared" si="37"/>
        <v>0</v>
      </c>
      <c r="J88" s="250">
        <f t="shared" si="37"/>
        <v>0</v>
      </c>
      <c r="K88" s="250">
        <f t="shared" si="37"/>
        <v>0</v>
      </c>
      <c r="L88" s="250">
        <f t="shared" si="37"/>
        <v>0</v>
      </c>
      <c r="M88" s="250">
        <f t="shared" si="37"/>
        <v>0</v>
      </c>
      <c r="N88" s="250">
        <f t="shared" si="37"/>
        <v>0</v>
      </c>
      <c r="O88" s="250">
        <f t="shared" si="37"/>
        <v>0</v>
      </c>
      <c r="P88" s="250">
        <f t="shared" si="37"/>
        <v>0</v>
      </c>
      <c r="Q88" s="250">
        <f t="shared" si="37"/>
        <v>0</v>
      </c>
      <c r="R88" s="250">
        <f t="shared" si="37"/>
        <v>0</v>
      </c>
      <c r="S88" s="250">
        <f t="shared" si="37"/>
        <v>0</v>
      </c>
      <c r="T88" s="250">
        <f t="shared" si="37"/>
        <v>0</v>
      </c>
      <c r="U88" s="250">
        <f t="shared" si="37"/>
        <v>0</v>
      </c>
      <c r="V88" s="250">
        <f t="shared" si="37"/>
        <v>0</v>
      </c>
      <c r="W88" s="250">
        <f t="shared" si="37"/>
        <v>0</v>
      </c>
      <c r="X88" s="250">
        <f t="shared" si="37"/>
        <v>0</v>
      </c>
      <c r="Y88" s="250">
        <f t="shared" si="37"/>
        <v>0</v>
      </c>
      <c r="Z88" s="250">
        <f t="shared" si="37"/>
        <v>0</v>
      </c>
      <c r="AA88" s="250">
        <f t="shared" si="37"/>
        <v>0</v>
      </c>
      <c r="AB88" s="250">
        <f t="shared" si="37"/>
        <v>0</v>
      </c>
      <c r="AC88" s="250">
        <f t="shared" si="37"/>
        <v>0</v>
      </c>
      <c r="AD88" s="250">
        <f t="shared" si="37"/>
        <v>0</v>
      </c>
      <c r="AE88" s="250">
        <f t="shared" si="37"/>
        <v>0</v>
      </c>
      <c r="AF88" s="250">
        <f t="shared" si="37"/>
        <v>0</v>
      </c>
      <c r="AG88" s="250">
        <f t="shared" si="37"/>
        <v>0</v>
      </c>
      <c r="AH88" s="250">
        <f t="shared" si="37"/>
        <v>0</v>
      </c>
      <c r="AI88" s="250">
        <f t="shared" si="37"/>
        <v>0</v>
      </c>
      <c r="AJ88" s="250">
        <f t="shared" si="37"/>
        <v>0</v>
      </c>
      <c r="AK88" s="250">
        <f t="shared" si="37"/>
        <v>0</v>
      </c>
      <c r="AL88" s="250">
        <f t="shared" si="37"/>
        <v>0</v>
      </c>
      <c r="AM88" s="250">
        <f t="shared" si="37"/>
        <v>0</v>
      </c>
      <c r="AN88" s="250">
        <f t="shared" si="37"/>
        <v>0</v>
      </c>
      <c r="AO88" s="250">
        <f t="shared" si="37"/>
        <v>0</v>
      </c>
      <c r="AP88" s="250">
        <f t="shared" si="37"/>
        <v>0</v>
      </c>
      <c r="AQ88" s="250">
        <f t="shared" si="37"/>
        <v>0</v>
      </c>
      <c r="AR88" s="250">
        <f t="shared" si="37"/>
        <v>0</v>
      </c>
      <c r="AS88" s="250">
        <f t="shared" si="37"/>
        <v>0</v>
      </c>
      <c r="AT88" s="250">
        <f t="shared" si="37"/>
        <v>0</v>
      </c>
      <c r="AU88" s="250">
        <f t="shared" si="37"/>
        <v>0</v>
      </c>
      <c r="AV88" s="250">
        <f t="shared" si="37"/>
        <v>0</v>
      </c>
      <c r="AW88" s="250">
        <f t="shared" si="37"/>
        <v>0</v>
      </c>
      <c r="AX88" s="250">
        <f t="shared" si="37"/>
        <v>0</v>
      </c>
      <c r="AY88" s="250">
        <f t="shared" si="37"/>
        <v>0</v>
      </c>
      <c r="AZ88" s="250">
        <f t="shared" si="37"/>
        <v>0</v>
      </c>
      <c r="BA88" s="250">
        <f t="shared" si="37"/>
        <v>0</v>
      </c>
      <c r="BB88" s="250">
        <f t="shared" si="37"/>
        <v>0</v>
      </c>
      <c r="BC88" s="250">
        <f t="shared" si="37"/>
        <v>0</v>
      </c>
      <c r="BD88" s="250">
        <f t="shared" si="37"/>
        <v>0</v>
      </c>
      <c r="BE88" s="250">
        <f t="shared" si="37"/>
        <v>0</v>
      </c>
      <c r="BF88" s="250">
        <f t="shared" si="37"/>
        <v>0</v>
      </c>
      <c r="BG88" s="250">
        <f t="shared" si="37"/>
        <v>0</v>
      </c>
      <c r="BH88" s="250">
        <f t="shared" si="37"/>
        <v>0</v>
      </c>
      <c r="BI88" s="250">
        <f t="shared" si="37"/>
        <v>0</v>
      </c>
      <c r="BJ88" s="250">
        <f t="shared" si="37"/>
        <v>0</v>
      </c>
      <c r="BK88" s="250">
        <f t="shared" si="37"/>
        <v>0</v>
      </c>
      <c r="BL88" s="250">
        <f t="shared" si="37"/>
        <v>0</v>
      </c>
      <c r="BM88" s="250">
        <f t="shared" si="37"/>
        <v>0</v>
      </c>
      <c r="BN88" s="250">
        <f t="shared" si="37"/>
        <v>0</v>
      </c>
      <c r="BO88" s="250">
        <f t="shared" si="37"/>
        <v>0</v>
      </c>
      <c r="BP88" s="250">
        <f t="shared" si="37"/>
        <v>0</v>
      </c>
      <c r="BQ88" s="250">
        <f t="shared" si="37"/>
        <v>0</v>
      </c>
      <c r="BR88" s="250">
        <f t="shared" si="37"/>
        <v>0</v>
      </c>
      <c r="BS88" s="250">
        <f t="shared" si="37"/>
        <v>0</v>
      </c>
      <c r="BT88" s="250">
        <f t="shared" si="37"/>
        <v>0</v>
      </c>
      <c r="BU88" s="250">
        <f t="shared" si="37"/>
        <v>0</v>
      </c>
      <c r="BV88" s="250">
        <f t="shared" si="37"/>
        <v>0</v>
      </c>
      <c r="BW88" s="250">
        <f t="shared" si="37"/>
        <v>0</v>
      </c>
      <c r="BX88" s="250">
        <f t="shared" si="37"/>
        <v>0</v>
      </c>
      <c r="BY88" s="251">
        <f t="shared" si="37"/>
        <v>0</v>
      </c>
      <c r="BZ88" s="771"/>
      <c r="CA88" s="226"/>
      <c r="CB88" s="252"/>
      <c r="CC88" s="771"/>
    </row>
    <row r="89" spans="1:81" ht="16" hidden="1" outlineLevel="1">
      <c r="A89" s="603"/>
      <c r="B89" s="787"/>
      <c r="C89" s="290" t="s">
        <v>324</v>
      </c>
      <c r="D89" s="254" t="s">
        <v>270</v>
      </c>
      <c r="E89" s="260"/>
      <c r="F89" s="260"/>
      <c r="G89" s="260"/>
      <c r="H89" s="260"/>
      <c r="I89" s="260"/>
      <c r="J89" s="260"/>
      <c r="K89" s="260"/>
      <c r="L89" s="260"/>
      <c r="M89" s="260"/>
      <c r="N89" s="260"/>
      <c r="O89" s="260"/>
      <c r="P89" s="260"/>
      <c r="Q89" s="260"/>
      <c r="R89" s="260"/>
      <c r="S89" s="260"/>
      <c r="T89" s="260"/>
      <c r="U89" s="260"/>
      <c r="V89" s="260"/>
      <c r="W89" s="260"/>
      <c r="X89" s="260"/>
      <c r="Y89" s="260"/>
      <c r="Z89" s="260"/>
      <c r="AA89" s="260"/>
      <c r="AB89" s="260"/>
      <c r="AC89" s="260"/>
      <c r="AD89" s="260"/>
      <c r="AE89" s="260"/>
      <c r="AF89" s="260"/>
      <c r="AG89" s="260"/>
      <c r="AH89" s="260"/>
      <c r="AI89" s="260"/>
      <c r="AJ89" s="260"/>
      <c r="AK89" s="260"/>
      <c r="AL89" s="260"/>
      <c r="AM89" s="260"/>
      <c r="AN89" s="260"/>
      <c r="AO89" s="260"/>
      <c r="AP89" s="260"/>
      <c r="AQ89" s="260"/>
      <c r="AR89" s="260"/>
      <c r="AS89" s="260"/>
      <c r="AT89" s="260"/>
      <c r="AU89" s="260"/>
      <c r="AV89" s="260"/>
      <c r="AW89" s="260"/>
      <c r="AX89" s="260"/>
      <c r="AY89" s="260"/>
      <c r="AZ89" s="260"/>
      <c r="BA89" s="260"/>
      <c r="BB89" s="260"/>
      <c r="BC89" s="260"/>
      <c r="BD89" s="260"/>
      <c r="BE89" s="260"/>
      <c r="BF89" s="260"/>
      <c r="BG89" s="260"/>
      <c r="BH89" s="260"/>
      <c r="BI89" s="260"/>
      <c r="BJ89" s="260"/>
      <c r="BK89" s="260"/>
      <c r="BL89" s="260"/>
      <c r="BM89" s="260"/>
      <c r="BN89" s="260"/>
      <c r="BO89" s="260"/>
      <c r="BP89" s="260"/>
      <c r="BQ89" s="260"/>
      <c r="BR89" s="260"/>
      <c r="BS89" s="260"/>
      <c r="BT89" s="260"/>
      <c r="BU89" s="260"/>
      <c r="BV89" s="260"/>
      <c r="BW89" s="260"/>
      <c r="BX89" s="260"/>
      <c r="BY89" s="296">
        <f t="shared" ref="BY89:BY90" si="38">SUM(E89:BX89)</f>
        <v>0</v>
      </c>
      <c r="BZ89" s="771"/>
      <c r="CA89" s="226"/>
      <c r="CB89" s="252"/>
      <c r="CC89" s="771"/>
    </row>
    <row r="90" spans="1:81" ht="16" hidden="1" outlineLevel="1">
      <c r="A90" s="603"/>
      <c r="B90" s="787"/>
      <c r="C90" s="294" t="s">
        <v>325</v>
      </c>
      <c r="D90" s="258" t="s">
        <v>270</v>
      </c>
      <c r="E90" s="287"/>
      <c r="F90" s="288"/>
      <c r="G90" s="288"/>
      <c r="H90" s="288"/>
      <c r="I90" s="288"/>
      <c r="J90" s="288"/>
      <c r="K90" s="288"/>
      <c r="L90" s="288"/>
      <c r="M90" s="288"/>
      <c r="N90" s="288"/>
      <c r="O90" s="288"/>
      <c r="P90" s="288"/>
      <c r="Q90" s="288"/>
      <c r="R90" s="288"/>
      <c r="S90" s="288"/>
      <c r="T90" s="288"/>
      <c r="U90" s="288"/>
      <c r="V90" s="288"/>
      <c r="W90" s="288"/>
      <c r="X90" s="288"/>
      <c r="Y90" s="288"/>
      <c r="Z90" s="288"/>
      <c r="AA90" s="288"/>
      <c r="AB90" s="288"/>
      <c r="AC90" s="288"/>
      <c r="AD90" s="288"/>
      <c r="AE90" s="288"/>
      <c r="AF90" s="288"/>
      <c r="AG90" s="288"/>
      <c r="AH90" s="288"/>
      <c r="AI90" s="288"/>
      <c r="AJ90" s="288"/>
      <c r="AK90" s="288"/>
      <c r="AL90" s="288"/>
      <c r="AM90" s="288"/>
      <c r="AN90" s="288"/>
      <c r="AO90" s="288"/>
      <c r="AP90" s="288"/>
      <c r="AQ90" s="288"/>
      <c r="AR90" s="288"/>
      <c r="AS90" s="288"/>
      <c r="AT90" s="288"/>
      <c r="AU90" s="288"/>
      <c r="AV90" s="288"/>
      <c r="AW90" s="288"/>
      <c r="AX90" s="288"/>
      <c r="AY90" s="288"/>
      <c r="AZ90" s="288"/>
      <c r="BA90" s="288"/>
      <c r="BB90" s="288"/>
      <c r="BC90" s="288"/>
      <c r="BD90" s="288"/>
      <c r="BE90" s="288"/>
      <c r="BF90" s="288"/>
      <c r="BG90" s="288"/>
      <c r="BH90" s="288"/>
      <c r="BI90" s="288"/>
      <c r="BJ90" s="288"/>
      <c r="BK90" s="288"/>
      <c r="BL90" s="288"/>
      <c r="BM90" s="288"/>
      <c r="BN90" s="288"/>
      <c r="BO90" s="288"/>
      <c r="BP90" s="288"/>
      <c r="BQ90" s="288"/>
      <c r="BR90" s="288"/>
      <c r="BS90" s="288"/>
      <c r="BT90" s="288"/>
      <c r="BU90" s="288"/>
      <c r="BV90" s="288"/>
      <c r="BW90" s="288"/>
      <c r="BX90" s="288"/>
      <c r="BY90" s="297">
        <f t="shared" si="38"/>
        <v>0</v>
      </c>
      <c r="BZ90" s="774"/>
      <c r="CA90" s="226"/>
      <c r="CB90" s="252"/>
      <c r="CC90" s="774"/>
    </row>
    <row r="91" spans="1:81">
      <c r="A91" s="603"/>
      <c r="B91" s="787"/>
      <c r="C91" s="248" t="s">
        <v>326</v>
      </c>
      <c r="D91" s="249"/>
      <c r="E91" s="250">
        <f t="shared" ref="E91:BX91" si="39">SUM(E92:E98)</f>
        <v>0</v>
      </c>
      <c r="F91" s="250">
        <f t="shared" si="39"/>
        <v>0</v>
      </c>
      <c r="G91" s="250">
        <f t="shared" si="39"/>
        <v>0</v>
      </c>
      <c r="H91" s="250">
        <f t="shared" si="39"/>
        <v>0</v>
      </c>
      <c r="I91" s="250">
        <f t="shared" si="39"/>
        <v>0</v>
      </c>
      <c r="J91" s="250">
        <f t="shared" si="39"/>
        <v>0</v>
      </c>
      <c r="K91" s="250">
        <f t="shared" si="39"/>
        <v>0</v>
      </c>
      <c r="L91" s="250">
        <f t="shared" si="39"/>
        <v>0</v>
      </c>
      <c r="M91" s="250">
        <f t="shared" si="39"/>
        <v>0</v>
      </c>
      <c r="N91" s="250">
        <f t="shared" si="39"/>
        <v>0</v>
      </c>
      <c r="O91" s="250">
        <f t="shared" si="39"/>
        <v>0</v>
      </c>
      <c r="P91" s="250">
        <f t="shared" si="39"/>
        <v>0</v>
      </c>
      <c r="Q91" s="250">
        <f t="shared" si="39"/>
        <v>-7000000</v>
      </c>
      <c r="R91" s="250">
        <f t="shared" si="39"/>
        <v>0</v>
      </c>
      <c r="S91" s="250">
        <f t="shared" si="39"/>
        <v>0</v>
      </c>
      <c r="T91" s="250">
        <f t="shared" si="39"/>
        <v>-63000</v>
      </c>
      <c r="U91" s="250">
        <f t="shared" si="39"/>
        <v>-65000</v>
      </c>
      <c r="V91" s="250">
        <f t="shared" si="39"/>
        <v>0</v>
      </c>
      <c r="W91" s="250">
        <f t="shared" si="39"/>
        <v>-130000</v>
      </c>
      <c r="X91" s="250">
        <f t="shared" si="39"/>
        <v>-65000</v>
      </c>
      <c r="Y91" s="250">
        <f t="shared" si="39"/>
        <v>-65000</v>
      </c>
      <c r="Z91" s="250">
        <f t="shared" si="39"/>
        <v>-116668.9258435084</v>
      </c>
      <c r="AA91" s="250">
        <f t="shared" si="39"/>
        <v>-104686.2257435084</v>
      </c>
      <c r="AB91" s="250">
        <f t="shared" si="39"/>
        <v>-101058058.56531298</v>
      </c>
      <c r="AC91" s="250">
        <f t="shared" si="39"/>
        <v>0</v>
      </c>
      <c r="AD91" s="250">
        <f t="shared" si="39"/>
        <v>0</v>
      </c>
      <c r="AE91" s="250">
        <f t="shared" si="39"/>
        <v>0</v>
      </c>
      <c r="AF91" s="250">
        <f t="shared" si="39"/>
        <v>0</v>
      </c>
      <c r="AG91" s="250">
        <f t="shared" si="39"/>
        <v>0</v>
      </c>
      <c r="AH91" s="250">
        <f t="shared" si="39"/>
        <v>0</v>
      </c>
      <c r="AI91" s="250">
        <f t="shared" si="39"/>
        <v>0</v>
      </c>
      <c r="AJ91" s="250">
        <f t="shared" si="39"/>
        <v>0</v>
      </c>
      <c r="AK91" s="250">
        <f t="shared" si="39"/>
        <v>0</v>
      </c>
      <c r="AL91" s="250">
        <f t="shared" si="39"/>
        <v>0</v>
      </c>
      <c r="AM91" s="250">
        <f t="shared" si="39"/>
        <v>0</v>
      </c>
      <c r="AN91" s="250">
        <f t="shared" si="39"/>
        <v>0</v>
      </c>
      <c r="AO91" s="250">
        <f t="shared" si="39"/>
        <v>-177244</v>
      </c>
      <c r="AP91" s="250">
        <f t="shared" si="39"/>
        <v>-177244</v>
      </c>
      <c r="AQ91" s="250">
        <f t="shared" si="39"/>
        <v>-177244</v>
      </c>
      <c r="AR91" s="250">
        <f t="shared" si="39"/>
        <v>-177244</v>
      </c>
      <c r="AS91" s="250">
        <f t="shared" si="39"/>
        <v>-177244</v>
      </c>
      <c r="AT91" s="250">
        <f t="shared" si="39"/>
        <v>-177244</v>
      </c>
      <c r="AU91" s="250">
        <f t="shared" si="39"/>
        <v>-177244</v>
      </c>
      <c r="AV91" s="250">
        <f t="shared" si="39"/>
        <v>-177244</v>
      </c>
      <c r="AW91" s="250">
        <f t="shared" si="39"/>
        <v>-177244</v>
      </c>
      <c r="AX91" s="250">
        <f t="shared" si="39"/>
        <v>-177244</v>
      </c>
      <c r="AY91" s="250">
        <f t="shared" si="39"/>
        <v>-177244</v>
      </c>
      <c r="AZ91" s="250">
        <f t="shared" si="39"/>
        <v>-177244</v>
      </c>
      <c r="BA91" s="250">
        <f t="shared" si="39"/>
        <v>0</v>
      </c>
      <c r="BB91" s="250">
        <f t="shared" si="39"/>
        <v>0</v>
      </c>
      <c r="BC91" s="250">
        <f t="shared" si="39"/>
        <v>0</v>
      </c>
      <c r="BD91" s="250">
        <f t="shared" si="39"/>
        <v>0</v>
      </c>
      <c r="BE91" s="250">
        <f t="shared" si="39"/>
        <v>0</v>
      </c>
      <c r="BF91" s="250">
        <f t="shared" si="39"/>
        <v>0</v>
      </c>
      <c r="BG91" s="250">
        <f t="shared" si="39"/>
        <v>0</v>
      </c>
      <c r="BH91" s="250">
        <f t="shared" si="39"/>
        <v>0</v>
      </c>
      <c r="BI91" s="250">
        <f t="shared" si="39"/>
        <v>0</v>
      </c>
      <c r="BJ91" s="250">
        <f t="shared" si="39"/>
        <v>0</v>
      </c>
      <c r="BK91" s="250">
        <f t="shared" si="39"/>
        <v>0</v>
      </c>
      <c r="BL91" s="250">
        <f t="shared" si="39"/>
        <v>0</v>
      </c>
      <c r="BM91" s="250">
        <f t="shared" si="39"/>
        <v>0</v>
      </c>
      <c r="BN91" s="250">
        <f t="shared" si="39"/>
        <v>0</v>
      </c>
      <c r="BO91" s="250">
        <f t="shared" si="39"/>
        <v>0</v>
      </c>
      <c r="BP91" s="250">
        <f t="shared" si="39"/>
        <v>0</v>
      </c>
      <c r="BQ91" s="250">
        <f t="shared" si="39"/>
        <v>0</v>
      </c>
      <c r="BR91" s="250">
        <f t="shared" si="39"/>
        <v>0</v>
      </c>
      <c r="BS91" s="250">
        <f t="shared" si="39"/>
        <v>0</v>
      </c>
      <c r="BT91" s="250">
        <f t="shared" si="39"/>
        <v>0</v>
      </c>
      <c r="BU91" s="250">
        <f t="shared" si="39"/>
        <v>0</v>
      </c>
      <c r="BV91" s="250">
        <f t="shared" si="39"/>
        <v>0</v>
      </c>
      <c r="BW91" s="250">
        <f t="shared" si="39"/>
        <v>0</v>
      </c>
      <c r="BX91" s="250">
        <f t="shared" si="39"/>
        <v>0</v>
      </c>
      <c r="BY91" s="779">
        <f>BZ18</f>
        <v>-125660584.83831191</v>
      </c>
      <c r="BZ91" s="768"/>
      <c r="CA91" s="226"/>
      <c r="CB91" s="226"/>
      <c r="CC91" s="226"/>
    </row>
    <row r="92" spans="1:81" outlineLevel="1">
      <c r="A92" s="603"/>
      <c r="B92" s="787"/>
      <c r="C92" s="253" t="s">
        <v>327</v>
      </c>
      <c r="D92" s="254" t="s">
        <v>270</v>
      </c>
      <c r="E92" s="255"/>
      <c r="F92" s="255"/>
      <c r="G92" s="255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5"/>
      <c r="V92" s="255"/>
      <c r="W92" s="255"/>
      <c r="X92" s="255"/>
      <c r="Y92" s="255"/>
      <c r="Z92" s="255"/>
      <c r="AA92" s="256"/>
      <c r="AB92" s="256">
        <f>-$BY$5-SUM($L$92:AA92)</f>
        <v>-16365002</v>
      </c>
      <c r="AC92" s="255"/>
      <c r="AD92" s="255"/>
      <c r="AE92" s="255"/>
      <c r="AF92" s="256"/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6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96">
        <f t="shared" ref="BY92:BY98" si="40">SUM(E92:BX92)</f>
        <v>-16365002</v>
      </c>
      <c r="BZ92" s="777">
        <f>SUM(BY92:BY98)</f>
        <v>-110794341.71690001</v>
      </c>
      <c r="CA92" s="226"/>
      <c r="CB92" s="226"/>
      <c r="CC92" s="226"/>
    </row>
    <row r="93" spans="1:81" outlineLevel="1">
      <c r="A93" s="253" t="s">
        <v>328</v>
      </c>
      <c r="B93" s="787"/>
      <c r="C93" s="253" t="s">
        <v>329</v>
      </c>
      <c r="D93" s="254" t="s">
        <v>270</v>
      </c>
      <c r="E93" s="255"/>
      <c r="F93" s="255"/>
      <c r="G93" s="255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5"/>
      <c r="V93" s="255"/>
      <c r="W93" s="255"/>
      <c r="X93" s="255"/>
      <c r="Y93" s="255"/>
      <c r="Z93" s="255"/>
      <c r="AA93" s="256"/>
      <c r="AB93" s="256">
        <f>-$BY$6-SUM($E$93:AA93)</f>
        <v>-13485000</v>
      </c>
      <c r="AC93" s="255"/>
      <c r="AD93" s="255"/>
      <c r="AE93" s="255"/>
      <c r="AF93" s="256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5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91">
        <f t="shared" si="40"/>
        <v>-13485000</v>
      </c>
      <c r="BZ93" s="771"/>
      <c r="CA93" s="226"/>
      <c r="CB93" s="226"/>
      <c r="CC93" s="226"/>
    </row>
    <row r="94" spans="1:81" outlineLevel="1">
      <c r="A94" s="253" t="s">
        <v>330</v>
      </c>
      <c r="B94" s="787"/>
      <c r="C94" s="293" t="s">
        <v>328</v>
      </c>
      <c r="D94" s="254" t="s">
        <v>270</v>
      </c>
      <c r="E94" s="255"/>
      <c r="F94" s="255"/>
      <c r="G94" s="255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5"/>
      <c r="V94" s="255"/>
      <c r="W94" s="255"/>
      <c r="X94" s="255"/>
      <c r="Y94" s="255"/>
      <c r="Z94" s="255"/>
      <c r="AA94" s="256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91">
        <f t="shared" si="40"/>
        <v>0</v>
      </c>
      <c r="BZ94" s="771"/>
      <c r="CA94" s="226"/>
      <c r="CB94" s="226"/>
      <c r="CC94" s="226"/>
    </row>
    <row r="95" spans="1:81" outlineLevel="1">
      <c r="A95" s="603"/>
      <c r="B95" s="787"/>
      <c r="C95" s="292" t="s">
        <v>330</v>
      </c>
      <c r="D95" s="254" t="s">
        <v>270</v>
      </c>
      <c r="E95" s="255"/>
      <c r="F95" s="255"/>
      <c r="G95" s="255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5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64"/>
      <c r="BY95" s="291">
        <f t="shared" si="40"/>
        <v>0</v>
      </c>
      <c r="BZ95" s="771"/>
      <c r="CA95" s="226"/>
      <c r="CB95" s="226"/>
      <c r="CC95" s="226"/>
    </row>
    <row r="96" spans="1:81" outlineLevel="1">
      <c r="A96" s="603"/>
      <c r="B96" s="787"/>
      <c r="C96" s="253" t="s">
        <v>331</v>
      </c>
      <c r="D96" s="254" t="s">
        <v>270</v>
      </c>
      <c r="E96" s="255"/>
      <c r="F96" s="255"/>
      <c r="G96" s="255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5"/>
      <c r="V96" s="255"/>
      <c r="W96" s="255"/>
      <c r="X96" s="255"/>
      <c r="Y96" s="255"/>
      <c r="Z96" s="255"/>
      <c r="AA96" s="255"/>
      <c r="AB96" s="255"/>
      <c r="AC96" s="255"/>
      <c r="AD96" s="255"/>
      <c r="AE96" s="255"/>
      <c r="AF96" s="255"/>
      <c r="AG96" s="255"/>
      <c r="AH96" s="255"/>
      <c r="AI96" s="255"/>
      <c r="AJ96" s="255"/>
      <c r="AK96" s="255"/>
      <c r="AL96" s="255"/>
      <c r="AM96" s="255"/>
      <c r="AN96" s="255"/>
      <c r="AO96" s="255"/>
      <c r="AP96" s="255"/>
      <c r="AQ96" s="255"/>
      <c r="AR96" s="255"/>
      <c r="AS96" s="255"/>
      <c r="AT96" s="255"/>
      <c r="AU96" s="255"/>
      <c r="AV96" s="255"/>
      <c r="AW96" s="255"/>
      <c r="AX96" s="255"/>
      <c r="AY96" s="255"/>
      <c r="AZ96" s="255"/>
      <c r="BA96" s="255"/>
      <c r="BB96" s="255"/>
      <c r="BC96" s="256"/>
      <c r="BD96" s="255"/>
      <c r="BE96" s="255"/>
      <c r="BF96" s="255"/>
      <c r="BG96" s="255"/>
      <c r="BH96" s="255"/>
      <c r="BI96" s="255"/>
      <c r="BJ96" s="255"/>
      <c r="BK96" s="255"/>
      <c r="BL96" s="255"/>
      <c r="BM96" s="255"/>
      <c r="BN96" s="255"/>
      <c r="BO96" s="255"/>
      <c r="BP96" s="255"/>
      <c r="BQ96" s="255"/>
      <c r="BR96" s="255"/>
      <c r="BS96" s="255"/>
      <c r="BT96" s="255"/>
      <c r="BU96" s="255"/>
      <c r="BV96" s="255"/>
      <c r="BW96" s="255"/>
      <c r="BX96" s="264"/>
      <c r="BY96" s="291">
        <f t="shared" si="40"/>
        <v>0</v>
      </c>
      <c r="BZ96" s="771"/>
      <c r="CA96" s="226"/>
      <c r="CB96" s="226"/>
      <c r="CC96" s="226"/>
    </row>
    <row r="97" spans="1:81" outlineLevel="1">
      <c r="A97" s="603"/>
      <c r="B97" s="787"/>
      <c r="C97" s="253" t="s">
        <v>332</v>
      </c>
      <c r="D97" s="254" t="s">
        <v>270</v>
      </c>
      <c r="E97" s="255"/>
      <c r="F97" s="255"/>
      <c r="G97" s="255"/>
      <c r="H97" s="256"/>
      <c r="I97" s="256"/>
      <c r="J97" s="256"/>
      <c r="K97" s="256"/>
      <c r="L97" s="256"/>
      <c r="M97" s="256"/>
      <c r="N97" s="256"/>
      <c r="O97" s="256"/>
      <c r="P97" s="256"/>
      <c r="Q97" s="256"/>
      <c r="R97" s="256"/>
      <c r="S97" s="256"/>
      <c r="T97" s="256"/>
      <c r="U97" s="255"/>
      <c r="V97" s="255"/>
      <c r="W97" s="255"/>
      <c r="X97" s="255"/>
      <c r="Y97" s="255"/>
      <c r="Z97" s="255">
        <f>(PMT($D$62/12,25*12,$BY10)-Z62)</f>
        <v>-51668.925843508405</v>
      </c>
      <c r="AA97" s="255">
        <f t="shared" ref="AA97" si="41">(PMT($D$62/12,25*12,$BY10)-AA62)</f>
        <v>-39686.225743508403</v>
      </c>
      <c r="AB97" s="255">
        <f>-$BY$10-$BY$9-SUM($E$97:AA97)</f>
        <v>-27403625.235312983</v>
      </c>
      <c r="AC97" s="255"/>
      <c r="AD97" s="255"/>
      <c r="AE97" s="255"/>
      <c r="AF97" s="255"/>
      <c r="AG97" s="255"/>
      <c r="AH97" s="255"/>
      <c r="AI97" s="255"/>
      <c r="AJ97" s="255"/>
      <c r="AK97" s="255"/>
      <c r="AL97" s="255"/>
      <c r="AM97" s="255"/>
      <c r="AN97" s="255"/>
      <c r="AO97" s="255">
        <f>-4500*Rentroll!$G$73</f>
        <v>-109260</v>
      </c>
      <c r="AP97" s="255">
        <f>-4500*Rentroll!$G$73</f>
        <v>-109260</v>
      </c>
      <c r="AQ97" s="255">
        <f>-4500*Rentroll!$G$73</f>
        <v>-109260</v>
      </c>
      <c r="AR97" s="255">
        <f>-4500*Rentroll!$G$73</f>
        <v>-109260</v>
      </c>
      <c r="AS97" s="255">
        <f>-4500*Rentroll!$G$73</f>
        <v>-109260</v>
      </c>
      <c r="AT97" s="255">
        <f>-4500*Rentroll!$G$73</f>
        <v>-109260</v>
      </c>
      <c r="AU97" s="255">
        <f>-4500*Rentroll!$G$73</f>
        <v>-109260</v>
      </c>
      <c r="AV97" s="255">
        <f>-4500*Rentroll!$G$73</f>
        <v>-109260</v>
      </c>
      <c r="AW97" s="255">
        <f>-4500*Rentroll!$G$73</f>
        <v>-109260</v>
      </c>
      <c r="AX97" s="255">
        <f>-4500*Rentroll!$G$73</f>
        <v>-109260</v>
      </c>
      <c r="AY97" s="255">
        <f>-4500*Rentroll!$G$73</f>
        <v>-109260</v>
      </c>
      <c r="AZ97" s="255">
        <f>-4500*Rentroll!$G$73</f>
        <v>-109260</v>
      </c>
      <c r="BA97" s="255"/>
      <c r="BB97" s="255"/>
      <c r="BC97" s="256"/>
      <c r="BD97" s="255"/>
      <c r="BE97" s="255"/>
      <c r="BF97" s="255"/>
      <c r="BG97" s="255"/>
      <c r="BH97" s="255"/>
      <c r="BI97" s="255"/>
      <c r="BJ97" s="255"/>
      <c r="BK97" s="255"/>
      <c r="BL97" s="255"/>
      <c r="BM97" s="255"/>
      <c r="BN97" s="255"/>
      <c r="BO97" s="255"/>
      <c r="BP97" s="255"/>
      <c r="BQ97" s="255"/>
      <c r="BR97" s="255"/>
      <c r="BS97" s="255"/>
      <c r="BT97" s="255"/>
      <c r="BU97" s="255"/>
      <c r="BV97" s="255"/>
      <c r="BW97" s="255"/>
      <c r="BX97" s="264"/>
      <c r="BY97" s="298">
        <f t="shared" si="40"/>
        <v>-28806100.3869</v>
      </c>
      <c r="BZ97" s="771"/>
      <c r="CA97" s="226"/>
      <c r="CB97" s="226"/>
      <c r="CC97" s="226"/>
    </row>
    <row r="98" spans="1:81" outlineLevel="1">
      <c r="A98" s="603"/>
      <c r="B98" s="781"/>
      <c r="C98" s="284" t="s">
        <v>333</v>
      </c>
      <c r="D98" s="299" t="s">
        <v>270</v>
      </c>
      <c r="E98" s="286"/>
      <c r="F98" s="286"/>
      <c r="G98" s="286"/>
      <c r="H98" s="287"/>
      <c r="I98" s="287"/>
      <c r="J98" s="287"/>
      <c r="K98" s="287"/>
      <c r="L98" s="287"/>
      <c r="M98" s="287"/>
      <c r="N98" s="287"/>
      <c r="O98" s="287"/>
      <c r="P98" s="287"/>
      <c r="Q98" s="287">
        <f>-7000000</f>
        <v>-7000000</v>
      </c>
      <c r="R98" s="287"/>
      <c r="S98" s="287"/>
      <c r="T98" s="287">
        <f>-2500*25.2</f>
        <v>-63000</v>
      </c>
      <c r="U98" s="287">
        <f>-2500*26</f>
        <v>-65000</v>
      </c>
      <c r="V98" s="287"/>
      <c r="W98" s="287">
        <f>-2500*2*26</f>
        <v>-130000</v>
      </c>
      <c r="X98" s="287">
        <f t="shared" ref="X98:AA98" si="42">-2500*26</f>
        <v>-65000</v>
      </c>
      <c r="Y98" s="287">
        <f t="shared" si="42"/>
        <v>-65000</v>
      </c>
      <c r="Z98" s="287">
        <f t="shared" si="42"/>
        <v>-65000</v>
      </c>
      <c r="AA98" s="287">
        <f t="shared" si="42"/>
        <v>-65000</v>
      </c>
      <c r="AB98" s="287">
        <f>-$BY$11-SUM($P$98:AA98)</f>
        <v>-43804431.330000006</v>
      </c>
      <c r="AC98" s="287"/>
      <c r="AD98" s="287"/>
      <c r="AE98" s="287"/>
      <c r="AF98" s="287"/>
      <c r="AG98" s="286"/>
      <c r="AH98" s="286"/>
      <c r="AI98" s="286"/>
      <c r="AJ98" s="286"/>
      <c r="AK98" s="286"/>
      <c r="AL98" s="286"/>
      <c r="AM98" s="286"/>
      <c r="AN98" s="286"/>
      <c r="AO98" s="286">
        <f>-2800*Rentroll!$G$73</f>
        <v>-67984</v>
      </c>
      <c r="AP98" s="286">
        <f>-2800*Rentroll!$G$73</f>
        <v>-67984</v>
      </c>
      <c r="AQ98" s="286">
        <f>-2800*Rentroll!$G$73</f>
        <v>-67984</v>
      </c>
      <c r="AR98" s="286">
        <f>-2800*Rentroll!$G$73</f>
        <v>-67984</v>
      </c>
      <c r="AS98" s="286">
        <f>-2800*Rentroll!$G$73</f>
        <v>-67984</v>
      </c>
      <c r="AT98" s="286">
        <f>-2800*Rentroll!$G$73</f>
        <v>-67984</v>
      </c>
      <c r="AU98" s="286">
        <f>-2800*Rentroll!$G$73</f>
        <v>-67984</v>
      </c>
      <c r="AV98" s="286">
        <f>-2800*Rentroll!$G$73</f>
        <v>-67984</v>
      </c>
      <c r="AW98" s="286">
        <f>-2800*Rentroll!$G$73</f>
        <v>-67984</v>
      </c>
      <c r="AX98" s="286">
        <f>-2800*Rentroll!$G$73</f>
        <v>-67984</v>
      </c>
      <c r="AY98" s="286">
        <f>-2800*Rentroll!$G$73</f>
        <v>-67984</v>
      </c>
      <c r="AZ98" s="286">
        <f>-2800*Rentroll!$G$73</f>
        <v>-67984</v>
      </c>
      <c r="BA98" s="286"/>
      <c r="BB98" s="286"/>
      <c r="BC98" s="286"/>
      <c r="BD98" s="286"/>
      <c r="BE98" s="286"/>
      <c r="BF98" s="286"/>
      <c r="BG98" s="286"/>
      <c r="BH98" s="286"/>
      <c r="BI98" s="286"/>
      <c r="BJ98" s="286"/>
      <c r="BK98" s="286"/>
      <c r="BL98" s="286"/>
      <c r="BM98" s="286"/>
      <c r="BN98" s="286"/>
      <c r="BO98" s="286"/>
      <c r="BP98" s="286"/>
      <c r="BQ98" s="286"/>
      <c r="BR98" s="286"/>
      <c r="BS98" s="286"/>
      <c r="BT98" s="286"/>
      <c r="BU98" s="286"/>
      <c r="BV98" s="286"/>
      <c r="BW98" s="286"/>
      <c r="BX98" s="288"/>
      <c r="BY98" s="268">
        <f t="shared" si="40"/>
        <v>-52138239.330000006</v>
      </c>
      <c r="BZ98" s="776"/>
      <c r="CA98" s="226"/>
      <c r="CB98" s="226"/>
      <c r="CC98" s="226"/>
    </row>
    <row r="99" spans="1:81" ht="16">
      <c r="A99" s="603"/>
      <c r="B99" s="790" t="s">
        <v>334</v>
      </c>
      <c r="C99" s="774"/>
      <c r="D99" s="300" t="s">
        <v>270</v>
      </c>
      <c r="E99" s="301">
        <f t="shared" ref="E99:BX99" si="43">(E18+E24+E27+E35+E38+E50+E56+E64+E88+E91)</f>
        <v>0</v>
      </c>
      <c r="F99" s="301">
        <f t="shared" si="43"/>
        <v>0</v>
      </c>
      <c r="G99" s="301">
        <f t="shared" si="43"/>
        <v>0</v>
      </c>
      <c r="H99" s="301">
        <f t="shared" si="43"/>
        <v>-10737799.354999999</v>
      </c>
      <c r="I99" s="301">
        <f t="shared" si="43"/>
        <v>-1867696.1950000001</v>
      </c>
      <c r="J99" s="301">
        <f t="shared" si="43"/>
        <v>-1817623.665</v>
      </c>
      <c r="K99" s="301">
        <f t="shared" si="43"/>
        <v>-902873.87700000009</v>
      </c>
      <c r="L99" s="301">
        <f t="shared" si="43"/>
        <v>-5038194.0799999991</v>
      </c>
      <c r="M99" s="301">
        <f t="shared" si="43"/>
        <v>-10761502.959999999</v>
      </c>
      <c r="N99" s="301">
        <f t="shared" si="43"/>
        <v>-20069846.199999999</v>
      </c>
      <c r="O99" s="301">
        <f t="shared" si="43"/>
        <v>-9758870.4799999986</v>
      </c>
      <c r="P99" s="301">
        <f t="shared" si="43"/>
        <v>-12889323.373000002</v>
      </c>
      <c r="Q99" s="301">
        <f t="shared" si="43"/>
        <v>-10518924.400999999</v>
      </c>
      <c r="R99" s="301">
        <f t="shared" si="43"/>
        <v>-2286096.8900000006</v>
      </c>
      <c r="S99" s="301">
        <f t="shared" si="43"/>
        <v>-485789.16999999993</v>
      </c>
      <c r="T99" s="301">
        <f t="shared" si="43"/>
        <v>-484122.77599999995</v>
      </c>
      <c r="U99" s="301">
        <f t="shared" si="43"/>
        <v>-940489.04399999999</v>
      </c>
      <c r="V99" s="301">
        <f t="shared" si="43"/>
        <v>-7994926.9161999999</v>
      </c>
      <c r="W99" s="301">
        <f t="shared" si="43"/>
        <v>-7254674.8799999999</v>
      </c>
      <c r="X99" s="301">
        <f t="shared" si="43"/>
        <v>-7753258.0698999995</v>
      </c>
      <c r="Y99" s="301">
        <f t="shared" si="43"/>
        <v>-5259307.5698999995</v>
      </c>
      <c r="Z99" s="301">
        <f t="shared" si="43"/>
        <v>-4115331.3790685083</v>
      </c>
      <c r="AA99" s="301">
        <f t="shared" si="43"/>
        <v>-4212249.6882435083</v>
      </c>
      <c r="AB99" s="301">
        <f t="shared" si="43"/>
        <v>-103862386.58589989</v>
      </c>
      <c r="AC99" s="301">
        <f t="shared" si="43"/>
        <v>0</v>
      </c>
      <c r="AD99" s="301">
        <f t="shared" si="43"/>
        <v>0</v>
      </c>
      <c r="AE99" s="301">
        <f t="shared" si="43"/>
        <v>0</v>
      </c>
      <c r="AF99" s="301">
        <f t="shared" si="43"/>
        <v>0</v>
      </c>
      <c r="AG99" s="301">
        <f t="shared" si="43"/>
        <v>0</v>
      </c>
      <c r="AH99" s="301">
        <f t="shared" si="43"/>
        <v>0</v>
      </c>
      <c r="AI99" s="301">
        <f t="shared" si="43"/>
        <v>0</v>
      </c>
      <c r="AJ99" s="301">
        <f t="shared" si="43"/>
        <v>0</v>
      </c>
      <c r="AK99" s="301">
        <f t="shared" si="43"/>
        <v>0</v>
      </c>
      <c r="AL99" s="301">
        <f t="shared" si="43"/>
        <v>0</v>
      </c>
      <c r="AM99" s="301">
        <f t="shared" si="43"/>
        <v>0</v>
      </c>
      <c r="AN99" s="301">
        <f t="shared" si="43"/>
        <v>0</v>
      </c>
      <c r="AO99" s="301">
        <f t="shared" si="43"/>
        <v>-620303.25</v>
      </c>
      <c r="AP99" s="301">
        <f t="shared" si="43"/>
        <v>-620303.25</v>
      </c>
      <c r="AQ99" s="301">
        <f t="shared" si="43"/>
        <v>-620303.25</v>
      </c>
      <c r="AR99" s="301">
        <f t="shared" si="43"/>
        <v>-620303.25</v>
      </c>
      <c r="AS99" s="301">
        <f t="shared" si="43"/>
        <v>-620303.25</v>
      </c>
      <c r="AT99" s="301">
        <f t="shared" si="43"/>
        <v>-620303.25</v>
      </c>
      <c r="AU99" s="301">
        <f t="shared" si="43"/>
        <v>-620303.25</v>
      </c>
      <c r="AV99" s="301">
        <f t="shared" si="43"/>
        <v>-620303.25</v>
      </c>
      <c r="AW99" s="301">
        <f t="shared" si="43"/>
        <v>-620303.25</v>
      </c>
      <c r="AX99" s="301">
        <f t="shared" si="43"/>
        <v>-620303.25</v>
      </c>
      <c r="AY99" s="301">
        <f t="shared" si="43"/>
        <v>-620303.25</v>
      </c>
      <c r="AZ99" s="301">
        <f t="shared" si="43"/>
        <v>-620303.25</v>
      </c>
      <c r="BA99" s="301">
        <f t="shared" si="43"/>
        <v>0</v>
      </c>
      <c r="BB99" s="301">
        <f t="shared" si="43"/>
        <v>0</v>
      </c>
      <c r="BC99" s="301">
        <f t="shared" si="43"/>
        <v>0</v>
      </c>
      <c r="BD99" s="301">
        <f t="shared" si="43"/>
        <v>0</v>
      </c>
      <c r="BE99" s="301">
        <f t="shared" si="43"/>
        <v>0</v>
      </c>
      <c r="BF99" s="301">
        <f t="shared" si="43"/>
        <v>0</v>
      </c>
      <c r="BG99" s="301">
        <f t="shared" si="43"/>
        <v>0</v>
      </c>
      <c r="BH99" s="301">
        <f t="shared" si="43"/>
        <v>0</v>
      </c>
      <c r="BI99" s="301">
        <f t="shared" si="43"/>
        <v>0</v>
      </c>
      <c r="BJ99" s="301">
        <f t="shared" si="43"/>
        <v>0</v>
      </c>
      <c r="BK99" s="301">
        <f t="shared" si="43"/>
        <v>0</v>
      </c>
      <c r="BL99" s="301">
        <f t="shared" si="43"/>
        <v>0</v>
      </c>
      <c r="BM99" s="301">
        <f t="shared" si="43"/>
        <v>0</v>
      </c>
      <c r="BN99" s="301">
        <f t="shared" si="43"/>
        <v>0</v>
      </c>
      <c r="BO99" s="301">
        <f t="shared" si="43"/>
        <v>0</v>
      </c>
      <c r="BP99" s="301">
        <f t="shared" si="43"/>
        <v>0</v>
      </c>
      <c r="BQ99" s="301">
        <f t="shared" si="43"/>
        <v>0</v>
      </c>
      <c r="BR99" s="301">
        <f t="shared" si="43"/>
        <v>0</v>
      </c>
      <c r="BS99" s="301">
        <f t="shared" si="43"/>
        <v>0</v>
      </c>
      <c r="BT99" s="301">
        <f t="shared" si="43"/>
        <v>0</v>
      </c>
      <c r="BU99" s="301">
        <f t="shared" si="43"/>
        <v>0</v>
      </c>
      <c r="BV99" s="301">
        <f t="shared" si="43"/>
        <v>0</v>
      </c>
      <c r="BW99" s="301">
        <f t="shared" si="43"/>
        <v>0</v>
      </c>
      <c r="BX99" s="301">
        <f t="shared" si="43"/>
        <v>0</v>
      </c>
      <c r="BY99" s="780">
        <f>BZ92</f>
        <v>-110794341.71690001</v>
      </c>
      <c r="BZ99" s="781"/>
      <c r="CA99" s="226"/>
      <c r="CB99" s="226"/>
      <c r="CC99" s="226"/>
    </row>
    <row r="100" spans="1:81" ht="16">
      <c r="A100" s="603"/>
      <c r="B100" s="605"/>
      <c r="C100" s="605"/>
      <c r="D100" s="302"/>
      <c r="E100" s="303"/>
      <c r="F100" s="303"/>
      <c r="G100" s="303"/>
      <c r="H100" s="303">
        <f>H99</f>
        <v>-10737799.354999999</v>
      </c>
      <c r="I100" s="303">
        <f t="shared" ref="I100:AF100" si="44">H100+I99</f>
        <v>-12605495.549999999</v>
      </c>
      <c r="J100" s="303">
        <f t="shared" si="44"/>
        <v>-14423119.215</v>
      </c>
      <c r="K100" s="303">
        <f t="shared" si="44"/>
        <v>-15325993.092</v>
      </c>
      <c r="L100" s="303">
        <f t="shared" si="44"/>
        <v>-20364187.171999998</v>
      </c>
      <c r="M100" s="303">
        <f t="shared" si="44"/>
        <v>-31125690.131999999</v>
      </c>
      <c r="N100" s="303">
        <f t="shared" si="44"/>
        <v>-51195536.332000002</v>
      </c>
      <c r="O100" s="303">
        <f t="shared" si="44"/>
        <v>-60954406.811999999</v>
      </c>
      <c r="P100" s="303">
        <f t="shared" si="44"/>
        <v>-73843730.185000002</v>
      </c>
      <c r="Q100" s="303">
        <f t="shared" si="44"/>
        <v>-84362654.585999995</v>
      </c>
      <c r="R100" s="303">
        <f t="shared" si="44"/>
        <v>-86648751.475999996</v>
      </c>
      <c r="S100" s="303">
        <f t="shared" si="44"/>
        <v>-87134540.645999998</v>
      </c>
      <c r="T100" s="303">
        <f t="shared" si="44"/>
        <v>-87618663.421999991</v>
      </c>
      <c r="U100" s="303">
        <f t="shared" si="44"/>
        <v>-88559152.465999991</v>
      </c>
      <c r="V100" s="303">
        <f t="shared" si="44"/>
        <v>-96554079.382199988</v>
      </c>
      <c r="W100" s="303">
        <f t="shared" si="44"/>
        <v>-103808754.26219998</v>
      </c>
      <c r="X100" s="303">
        <f t="shared" si="44"/>
        <v>-111562012.33209999</v>
      </c>
      <c r="Y100" s="303">
        <f t="shared" si="44"/>
        <v>-116821319.902</v>
      </c>
      <c r="Z100" s="303">
        <f t="shared" si="44"/>
        <v>-120936651.2810685</v>
      </c>
      <c r="AA100" s="303">
        <f t="shared" si="44"/>
        <v>-125148900.96931201</v>
      </c>
      <c r="AB100" s="303">
        <f t="shared" si="44"/>
        <v>-229011287.5552119</v>
      </c>
      <c r="AC100" s="303">
        <f t="shared" si="44"/>
        <v>-229011287.5552119</v>
      </c>
      <c r="AD100" s="303">
        <f t="shared" si="44"/>
        <v>-229011287.5552119</v>
      </c>
      <c r="AE100" s="303">
        <f t="shared" si="44"/>
        <v>-229011287.5552119</v>
      </c>
      <c r="AF100" s="303">
        <f t="shared" si="44"/>
        <v>-229011287.5552119</v>
      </c>
      <c r="AG100" s="304"/>
      <c r="AH100" s="304"/>
      <c r="AI100" s="304"/>
      <c r="AJ100" s="304"/>
      <c r="AK100" s="304"/>
      <c r="AL100" s="304"/>
      <c r="AM100" s="304"/>
      <c r="AN100" s="304"/>
      <c r="AO100" s="303"/>
      <c r="AP100" s="304"/>
      <c r="AQ100" s="304"/>
      <c r="AR100" s="304"/>
      <c r="AS100" s="303"/>
      <c r="AT100" s="303"/>
      <c r="AU100" s="303"/>
      <c r="AV100" s="303"/>
      <c r="AW100" s="303"/>
      <c r="AX100" s="303"/>
      <c r="AY100" s="303"/>
      <c r="AZ100" s="303"/>
      <c r="BA100" s="303"/>
      <c r="BB100" s="303"/>
      <c r="BC100" s="303"/>
      <c r="BD100" s="303"/>
      <c r="BE100" s="303"/>
      <c r="BF100" s="303"/>
      <c r="BG100" s="303"/>
      <c r="BH100" s="303"/>
      <c r="BI100" s="303"/>
      <c r="BJ100" s="303"/>
      <c r="BK100" s="303"/>
      <c r="BL100" s="305"/>
      <c r="BM100" s="305"/>
      <c r="BN100" s="305"/>
      <c r="BO100" s="305"/>
      <c r="BP100" s="305"/>
      <c r="BQ100" s="305"/>
      <c r="BR100" s="305"/>
      <c r="BS100" s="305"/>
      <c r="BT100" s="305"/>
      <c r="BU100" s="305"/>
      <c r="BV100" s="305"/>
      <c r="BW100" s="305"/>
      <c r="BX100" s="305"/>
      <c r="BY100" s="306"/>
      <c r="BZ100" s="306"/>
      <c r="CA100" s="226"/>
      <c r="CB100" s="226"/>
      <c r="CC100" s="226"/>
    </row>
    <row r="101" spans="1:81" ht="16">
      <c r="A101" s="603"/>
      <c r="B101" s="791" t="s">
        <v>335</v>
      </c>
      <c r="C101" s="774"/>
      <c r="D101" s="307"/>
      <c r="E101" s="303">
        <f t="shared" ref="E101:BX101" si="45">E17+E99</f>
        <v>0</v>
      </c>
      <c r="F101" s="303">
        <f t="shared" si="45"/>
        <v>0</v>
      </c>
      <c r="G101" s="303">
        <f t="shared" si="45"/>
        <v>0</v>
      </c>
      <c r="H101" s="303">
        <f t="shared" si="45"/>
        <v>5627202.6450000014</v>
      </c>
      <c r="I101" s="303">
        <f t="shared" si="45"/>
        <v>-1861469.1950000001</v>
      </c>
      <c r="J101" s="303">
        <f t="shared" si="45"/>
        <v>-1803035.665</v>
      </c>
      <c r="K101" s="303">
        <f t="shared" si="45"/>
        <v>439594.12299999991</v>
      </c>
      <c r="L101" s="303">
        <f t="shared" si="45"/>
        <v>-3040677.0799999991</v>
      </c>
      <c r="M101" s="304">
        <f t="shared" si="45"/>
        <v>57291.090000001714</v>
      </c>
      <c r="N101" s="303">
        <f t="shared" si="45"/>
        <v>-75913.25</v>
      </c>
      <c r="O101" s="304">
        <f t="shared" si="45"/>
        <v>32310.750000001863</v>
      </c>
      <c r="P101" s="304">
        <f t="shared" si="45"/>
        <v>72433.306999998167</v>
      </c>
      <c r="Q101" s="304">
        <f t="shared" si="45"/>
        <v>1568038.199000001</v>
      </c>
      <c r="R101" s="304">
        <f t="shared" si="45"/>
        <v>-573213.6400000006</v>
      </c>
      <c r="S101" s="304">
        <f t="shared" si="45"/>
        <v>775131.82000000007</v>
      </c>
      <c r="T101" s="304">
        <f t="shared" si="45"/>
        <v>13861.492000000086</v>
      </c>
      <c r="U101" s="304">
        <f t="shared" si="45"/>
        <v>-458498.58545950428</v>
      </c>
      <c r="V101" s="304">
        <f t="shared" si="45"/>
        <v>-1326797.4822000004</v>
      </c>
      <c r="W101" s="304">
        <f t="shared" si="45"/>
        <v>44821.839999999851</v>
      </c>
      <c r="X101" s="304">
        <f t="shared" si="45"/>
        <v>57876.290988429449</v>
      </c>
      <c r="Y101" s="304">
        <f t="shared" si="45"/>
        <v>-94132.294375206344</v>
      </c>
      <c r="Z101" s="304">
        <f t="shared" si="45"/>
        <v>1956079.9459604169</v>
      </c>
      <c r="AA101" s="304">
        <f t="shared" si="45"/>
        <v>-553544.64523541648</v>
      </c>
      <c r="AB101" s="304">
        <f t="shared" si="45"/>
        <v>31436361.198986471</v>
      </c>
      <c r="AC101" s="304">
        <f t="shared" si="45"/>
        <v>0</v>
      </c>
      <c r="AD101" s="304">
        <f t="shared" si="45"/>
        <v>0</v>
      </c>
      <c r="AE101" s="304">
        <f t="shared" si="45"/>
        <v>0</v>
      </c>
      <c r="AF101" s="304">
        <f t="shared" si="45"/>
        <v>0</v>
      </c>
      <c r="AG101" s="304">
        <f t="shared" si="45"/>
        <v>0</v>
      </c>
      <c r="AH101" s="304">
        <f t="shared" si="45"/>
        <v>0</v>
      </c>
      <c r="AI101" s="304">
        <f t="shared" si="45"/>
        <v>0</v>
      </c>
      <c r="AJ101" s="304">
        <f t="shared" si="45"/>
        <v>0</v>
      </c>
      <c r="AK101" s="304">
        <f t="shared" si="45"/>
        <v>0</v>
      </c>
      <c r="AL101" s="304">
        <f t="shared" si="45"/>
        <v>0</v>
      </c>
      <c r="AM101" s="304">
        <f t="shared" si="45"/>
        <v>0</v>
      </c>
      <c r="AN101" s="304">
        <f t="shared" si="45"/>
        <v>0</v>
      </c>
      <c r="AO101" s="303">
        <f t="shared" si="45"/>
        <v>201044.07130000007</v>
      </c>
      <c r="AP101" s="304">
        <f t="shared" si="45"/>
        <v>201044.07130000007</v>
      </c>
      <c r="AQ101" s="304">
        <f t="shared" si="45"/>
        <v>224303.51380000007</v>
      </c>
      <c r="AR101" s="304">
        <f t="shared" si="45"/>
        <v>224303.51380000007</v>
      </c>
      <c r="AS101" s="303">
        <f t="shared" si="45"/>
        <v>224303.51380000007</v>
      </c>
      <c r="AT101" s="303">
        <f t="shared" si="45"/>
        <v>224303.51380000007</v>
      </c>
      <c r="AU101" s="303">
        <f t="shared" si="45"/>
        <v>224303.51380000007</v>
      </c>
      <c r="AV101" s="303">
        <f t="shared" si="45"/>
        <v>224303.51380000007</v>
      </c>
      <c r="AW101" s="303">
        <f t="shared" si="45"/>
        <v>224303.51380000007</v>
      </c>
      <c r="AX101" s="303">
        <f t="shared" si="45"/>
        <v>224303.51380000007</v>
      </c>
      <c r="AY101" s="303">
        <f t="shared" si="45"/>
        <v>224303.51380000007</v>
      </c>
      <c r="AZ101" s="303">
        <f t="shared" si="45"/>
        <v>224303.51380000007</v>
      </c>
      <c r="BA101" s="303">
        <f t="shared" si="45"/>
        <v>0</v>
      </c>
      <c r="BB101" s="303">
        <f t="shared" si="45"/>
        <v>0</v>
      </c>
      <c r="BC101" s="303">
        <f t="shared" si="45"/>
        <v>0</v>
      </c>
      <c r="BD101" s="303">
        <f t="shared" si="45"/>
        <v>0</v>
      </c>
      <c r="BE101" s="303">
        <f t="shared" si="45"/>
        <v>0</v>
      </c>
      <c r="BF101" s="303">
        <f t="shared" si="45"/>
        <v>0</v>
      </c>
      <c r="BG101" s="303">
        <f t="shared" si="45"/>
        <v>0</v>
      </c>
      <c r="BH101" s="303">
        <f t="shared" si="45"/>
        <v>0</v>
      </c>
      <c r="BI101" s="303">
        <f t="shared" si="45"/>
        <v>0</v>
      </c>
      <c r="BJ101" s="303">
        <f t="shared" si="45"/>
        <v>0</v>
      </c>
      <c r="BK101" s="303">
        <f t="shared" si="45"/>
        <v>0</v>
      </c>
      <c r="BL101" s="308">
        <f t="shared" si="45"/>
        <v>0</v>
      </c>
      <c r="BM101" s="308">
        <f t="shared" si="45"/>
        <v>0</v>
      </c>
      <c r="BN101" s="308">
        <f t="shared" si="45"/>
        <v>0</v>
      </c>
      <c r="BO101" s="308">
        <f t="shared" si="45"/>
        <v>0</v>
      </c>
      <c r="BP101" s="308">
        <f t="shared" si="45"/>
        <v>0</v>
      </c>
      <c r="BQ101" s="308">
        <f t="shared" si="45"/>
        <v>0</v>
      </c>
      <c r="BR101" s="308">
        <f t="shared" si="45"/>
        <v>0</v>
      </c>
      <c r="BS101" s="308">
        <f t="shared" si="45"/>
        <v>0</v>
      </c>
      <c r="BT101" s="308">
        <f t="shared" si="45"/>
        <v>0</v>
      </c>
      <c r="BU101" s="308">
        <f t="shared" si="45"/>
        <v>0</v>
      </c>
      <c r="BV101" s="308">
        <f t="shared" si="45"/>
        <v>0</v>
      </c>
      <c r="BW101" s="308">
        <f t="shared" si="45"/>
        <v>0</v>
      </c>
      <c r="BX101" s="308">
        <f t="shared" si="45"/>
        <v>0</v>
      </c>
      <c r="BY101" s="782">
        <f>BY17+BY91+BY99</f>
        <v>34706249.720265254</v>
      </c>
      <c r="BZ101" s="783"/>
      <c r="CA101" s="226"/>
      <c r="CB101" s="226"/>
      <c r="CC101" s="226"/>
    </row>
    <row r="102" spans="1:81">
      <c r="A102" s="603"/>
      <c r="B102" s="792" t="s">
        <v>336</v>
      </c>
      <c r="C102" s="774"/>
      <c r="D102" s="309"/>
      <c r="E102" s="310">
        <f>E101</f>
        <v>0</v>
      </c>
      <c r="F102" s="310">
        <f>F101+E102</f>
        <v>0</v>
      </c>
      <c r="G102" s="310">
        <f>655760.63+24.98*24.5-16.85*22</f>
        <v>656001.94000000006</v>
      </c>
      <c r="H102" s="310">
        <f>H101+G102-66</f>
        <v>6283138.5850000018</v>
      </c>
      <c r="I102" s="310">
        <f t="shared" ref="I102:U102" si="46">I101+H102</f>
        <v>4421669.3900000015</v>
      </c>
      <c r="J102" s="310">
        <f t="shared" si="46"/>
        <v>2618633.7250000015</v>
      </c>
      <c r="K102" s="310">
        <f t="shared" si="46"/>
        <v>3058227.8480000012</v>
      </c>
      <c r="L102" s="310">
        <f t="shared" si="46"/>
        <v>17550.768000002019</v>
      </c>
      <c r="M102" s="310">
        <f t="shared" si="46"/>
        <v>74841.858000003733</v>
      </c>
      <c r="N102" s="310">
        <f t="shared" si="46"/>
        <v>-1071.3919999962673</v>
      </c>
      <c r="O102" s="310">
        <f t="shared" si="46"/>
        <v>31239.358000005595</v>
      </c>
      <c r="P102" s="310">
        <f t="shared" si="46"/>
        <v>103672.66500000376</v>
      </c>
      <c r="Q102" s="310">
        <f t="shared" si="46"/>
        <v>1671710.8640000047</v>
      </c>
      <c r="R102" s="310">
        <f t="shared" si="46"/>
        <v>1098497.2240000041</v>
      </c>
      <c r="S102" s="310">
        <f t="shared" si="46"/>
        <v>1873629.0440000042</v>
      </c>
      <c r="T102" s="310">
        <f t="shared" si="46"/>
        <v>1887490.5360000043</v>
      </c>
      <c r="U102" s="310">
        <f t="shared" si="46"/>
        <v>1428991.9505405</v>
      </c>
      <c r="V102" s="338">
        <f>U106+V101</f>
        <v>492567.61779999966</v>
      </c>
      <c r="W102" s="310">
        <f t="shared" ref="W102:BX102" si="47">W101+V102</f>
        <v>537389.45779999951</v>
      </c>
      <c r="X102" s="310">
        <f t="shared" si="47"/>
        <v>595265.74878842896</v>
      </c>
      <c r="Y102" s="310">
        <f t="shared" si="47"/>
        <v>501133.45441322261</v>
      </c>
      <c r="Z102" s="310">
        <f t="shared" si="47"/>
        <v>2457213.4003736395</v>
      </c>
      <c r="AA102" s="310">
        <f t="shared" si="47"/>
        <v>1903668.7551382231</v>
      </c>
      <c r="AB102" s="310">
        <f t="shared" si="47"/>
        <v>33340029.954124693</v>
      </c>
      <c r="AC102" s="706">
        <f t="shared" si="47"/>
        <v>33340029.954124693</v>
      </c>
      <c r="AD102" s="310">
        <f t="shared" si="47"/>
        <v>33340029.954124693</v>
      </c>
      <c r="AE102" s="310">
        <f t="shared" si="47"/>
        <v>33340029.954124693</v>
      </c>
      <c r="AF102" s="310">
        <f t="shared" si="47"/>
        <v>33340029.954124693</v>
      </c>
      <c r="AG102" s="310">
        <f t="shared" si="47"/>
        <v>33340029.954124693</v>
      </c>
      <c r="AH102" s="310">
        <f t="shared" si="47"/>
        <v>33340029.954124693</v>
      </c>
      <c r="AI102" s="310">
        <f t="shared" si="47"/>
        <v>33340029.954124693</v>
      </c>
      <c r="AJ102" s="310">
        <f t="shared" si="47"/>
        <v>33340029.954124693</v>
      </c>
      <c r="AK102" s="310">
        <f t="shared" si="47"/>
        <v>33340029.954124693</v>
      </c>
      <c r="AL102" s="310">
        <f t="shared" si="47"/>
        <v>33340029.954124693</v>
      </c>
      <c r="AM102" s="310">
        <f t="shared" si="47"/>
        <v>33340029.954124693</v>
      </c>
      <c r="AN102" s="310">
        <f t="shared" si="47"/>
        <v>33340029.954124693</v>
      </c>
      <c r="AO102" s="707">
        <f>AO101</f>
        <v>201044.07130000007</v>
      </c>
      <c r="AP102" s="310">
        <f t="shared" si="47"/>
        <v>402088.14260000014</v>
      </c>
      <c r="AQ102" s="310">
        <f t="shared" si="47"/>
        <v>626391.65640000021</v>
      </c>
      <c r="AR102" s="310">
        <f t="shared" si="47"/>
        <v>850695.17020000028</v>
      </c>
      <c r="AS102" s="310">
        <f t="shared" si="47"/>
        <v>1074998.6840000004</v>
      </c>
      <c r="AT102" s="310">
        <f t="shared" si="47"/>
        <v>1299302.1978000004</v>
      </c>
      <c r="AU102" s="310">
        <f t="shared" si="47"/>
        <v>1523605.7116000005</v>
      </c>
      <c r="AV102" s="310">
        <f t="shared" si="47"/>
        <v>1747909.2254000006</v>
      </c>
      <c r="AW102" s="310">
        <f t="shared" si="47"/>
        <v>1972212.7392000007</v>
      </c>
      <c r="AX102" s="310">
        <f t="shared" si="47"/>
        <v>2196516.2530000005</v>
      </c>
      <c r="AY102" s="310">
        <f t="shared" si="47"/>
        <v>2420819.7668000003</v>
      </c>
      <c r="AZ102" s="310">
        <f t="shared" si="47"/>
        <v>2645123.2806000002</v>
      </c>
      <c r="BA102" s="310">
        <f t="shared" si="47"/>
        <v>2645123.2806000002</v>
      </c>
      <c r="BB102" s="310">
        <f t="shared" si="47"/>
        <v>2645123.2806000002</v>
      </c>
      <c r="BC102" s="310">
        <f t="shared" si="47"/>
        <v>2645123.2806000002</v>
      </c>
      <c r="BD102" s="310">
        <f t="shared" si="47"/>
        <v>2645123.2806000002</v>
      </c>
      <c r="BE102" s="310">
        <f t="shared" si="47"/>
        <v>2645123.2806000002</v>
      </c>
      <c r="BF102" s="310">
        <f t="shared" si="47"/>
        <v>2645123.2806000002</v>
      </c>
      <c r="BG102" s="310">
        <f t="shared" si="47"/>
        <v>2645123.2806000002</v>
      </c>
      <c r="BH102" s="310">
        <f t="shared" si="47"/>
        <v>2645123.2806000002</v>
      </c>
      <c r="BI102" s="310">
        <f t="shared" si="47"/>
        <v>2645123.2806000002</v>
      </c>
      <c r="BJ102" s="310">
        <f t="shared" si="47"/>
        <v>2645123.2806000002</v>
      </c>
      <c r="BK102" s="310">
        <f t="shared" si="47"/>
        <v>2645123.2806000002</v>
      </c>
      <c r="BL102" s="310">
        <f t="shared" si="47"/>
        <v>2645123.2806000002</v>
      </c>
      <c r="BM102" s="310">
        <f t="shared" si="47"/>
        <v>2645123.2806000002</v>
      </c>
      <c r="BN102" s="310">
        <f t="shared" si="47"/>
        <v>2645123.2806000002</v>
      </c>
      <c r="BO102" s="310">
        <f t="shared" si="47"/>
        <v>2645123.2806000002</v>
      </c>
      <c r="BP102" s="310">
        <f t="shared" si="47"/>
        <v>2645123.2806000002</v>
      </c>
      <c r="BQ102" s="310">
        <f t="shared" si="47"/>
        <v>2645123.2806000002</v>
      </c>
      <c r="BR102" s="310">
        <f t="shared" si="47"/>
        <v>2645123.2806000002</v>
      </c>
      <c r="BS102" s="310">
        <f t="shared" si="47"/>
        <v>2645123.2806000002</v>
      </c>
      <c r="BT102" s="310">
        <f t="shared" si="47"/>
        <v>2645123.2806000002</v>
      </c>
      <c r="BU102" s="310">
        <f t="shared" si="47"/>
        <v>2645123.2806000002</v>
      </c>
      <c r="BV102" s="310">
        <f t="shared" si="47"/>
        <v>2645123.2806000002</v>
      </c>
      <c r="BW102" s="310">
        <f t="shared" si="47"/>
        <v>2645123.2806000002</v>
      </c>
      <c r="BX102" s="310">
        <f t="shared" si="47"/>
        <v>2645123.2806000002</v>
      </c>
      <c r="BY102" s="226"/>
      <c r="BZ102" s="226"/>
      <c r="CA102" s="226"/>
      <c r="CB102" s="226"/>
      <c r="CC102" s="226"/>
    </row>
    <row r="103" spans="1:81">
      <c r="A103" s="226"/>
      <c r="B103" s="226"/>
      <c r="C103" s="226"/>
      <c r="D103" s="226"/>
      <c r="E103" s="226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>
        <f>-1074</f>
        <v>-1074</v>
      </c>
      <c r="S103" s="226">
        <v>14170</v>
      </c>
      <c r="T103" s="226">
        <v>280679</v>
      </c>
      <c r="U103" s="226">
        <v>47680</v>
      </c>
      <c r="V103" s="226"/>
      <c r="W103" s="226">
        <v>131357</v>
      </c>
      <c r="X103" s="226"/>
      <c r="Y103" s="226"/>
      <c r="Z103" s="226"/>
      <c r="AA103" s="226"/>
      <c r="AB103" s="226"/>
      <c r="AC103" s="226"/>
      <c r="AD103" s="226"/>
      <c r="AE103" s="226"/>
      <c r="AF103" s="226"/>
      <c r="AG103" s="226"/>
      <c r="AH103" s="226"/>
      <c r="AI103" s="226"/>
      <c r="AJ103" s="226"/>
      <c r="AK103" s="226"/>
      <c r="AL103" s="226"/>
      <c r="AM103" s="226"/>
      <c r="AN103" s="226"/>
      <c r="AO103" s="226"/>
      <c r="AP103" s="226"/>
      <c r="AQ103" s="226"/>
      <c r="AR103" s="226"/>
      <c r="AS103" s="226"/>
      <c r="AT103" s="226"/>
      <c r="AU103" s="226"/>
      <c r="AV103" s="226"/>
      <c r="AW103" s="226"/>
      <c r="AX103" s="226"/>
      <c r="AY103" s="226"/>
      <c r="AZ103" s="226"/>
      <c r="BA103" s="226"/>
      <c r="BB103" s="226"/>
      <c r="BC103" s="226"/>
      <c r="BD103" s="226"/>
      <c r="BE103" s="226"/>
      <c r="BF103" s="226"/>
      <c r="BG103" s="226"/>
      <c r="BH103" s="226"/>
      <c r="BI103" s="226"/>
      <c r="BJ103" s="226"/>
      <c r="BK103" s="226"/>
      <c r="BL103" s="226"/>
      <c r="BM103" s="226"/>
      <c r="BN103" s="226"/>
      <c r="BO103" s="226"/>
      <c r="BP103" s="226"/>
      <c r="BQ103" s="226"/>
      <c r="BR103" s="226"/>
      <c r="BS103" s="226"/>
      <c r="BT103" s="226"/>
      <c r="BU103" s="226"/>
      <c r="BV103" s="226"/>
      <c r="BW103" s="226"/>
      <c r="BX103" s="226"/>
      <c r="BY103" s="311"/>
      <c r="BZ103" s="226"/>
      <c r="CA103" s="226"/>
      <c r="CB103" s="226"/>
      <c r="CC103" s="226"/>
    </row>
    <row r="104" spans="1:81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>
        <f>43811*25</f>
        <v>1095275</v>
      </c>
      <c r="S104" s="226">
        <f>74188.99*25</f>
        <v>1854724.7500000002</v>
      </c>
      <c r="T104" s="226">
        <f>63759.4*25</f>
        <v>1593985</v>
      </c>
      <c r="U104" s="226">
        <f>70837*25</f>
        <v>1770925</v>
      </c>
      <c r="V104" s="226"/>
      <c r="W104" s="226">
        <f>14131*25</f>
        <v>353275</v>
      </c>
      <c r="X104" s="226"/>
      <c r="Y104" s="226"/>
      <c r="Z104" s="226"/>
      <c r="AA104" s="339" t="str">
        <f>IF(AA102-Rentroll!J2*3&gt;0,"OK","FALSE")</f>
        <v>OK</v>
      </c>
      <c r="AB104" s="226" t="s">
        <v>419</v>
      </c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714">
        <f>AZ102/29850000</f>
        <v>8.8613845246231157E-2</v>
      </c>
      <c r="AU104" s="226"/>
      <c r="AV104" s="226"/>
      <c r="AW104" s="226">
        <f>AZ102*0.8</f>
        <v>2116098.6244800002</v>
      </c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6"/>
      <c r="BN104" s="226"/>
      <c r="BO104" s="226"/>
      <c r="BP104" s="226"/>
      <c r="BQ104" s="226"/>
      <c r="BR104" s="226"/>
      <c r="BS104" s="226"/>
      <c r="BT104" s="226"/>
      <c r="BU104" s="226"/>
      <c r="BV104" s="226"/>
      <c r="BW104" s="226"/>
      <c r="BX104" s="226"/>
      <c r="BY104" s="311"/>
      <c r="BZ104" s="226"/>
      <c r="CA104" s="226"/>
      <c r="CB104" s="226"/>
      <c r="CC104" s="226"/>
    </row>
    <row r="105" spans="1:81">
      <c r="A105" s="226"/>
      <c r="B105" s="226"/>
      <c r="C105" s="226"/>
      <c r="D105" s="226"/>
      <c r="E105" s="226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>
        <f>18.71*22</f>
        <v>411.62</v>
      </c>
      <c r="S105" s="226">
        <f>1.38*22</f>
        <v>30.36</v>
      </c>
      <c r="T105" s="226">
        <f>-16.88*22</f>
        <v>-371.35999999999996</v>
      </c>
      <c r="U105" s="226">
        <f>34.55*22</f>
        <v>760.09999999999991</v>
      </c>
      <c r="V105" s="226"/>
      <c r="W105" s="226"/>
      <c r="X105" s="226"/>
      <c r="Y105" s="226"/>
      <c r="Z105" s="226"/>
      <c r="AA105" s="339" t="str">
        <f>IF(SUM(V6:AA6)&lt;5750000,"OK","FALSE")</f>
        <v>OK</v>
      </c>
      <c r="AB105" s="226" t="s">
        <v>420</v>
      </c>
      <c r="AC105" s="226"/>
      <c r="AD105" s="226"/>
      <c r="AE105" s="226"/>
      <c r="AF105" s="226"/>
      <c r="AG105" s="226"/>
      <c r="AH105" s="226"/>
      <c r="AI105" s="226"/>
      <c r="AJ105" s="226"/>
      <c r="AK105" s="226"/>
      <c r="AL105" s="226"/>
      <c r="AM105" s="226"/>
      <c r="AN105" s="226"/>
      <c r="AO105" s="226"/>
      <c r="AP105" s="226"/>
      <c r="AQ105" s="226"/>
      <c r="AR105" s="226"/>
      <c r="AS105" s="226"/>
      <c r="AT105" s="226"/>
      <c r="AU105" s="226"/>
      <c r="AV105" s="226"/>
      <c r="AW105" s="226"/>
      <c r="AX105" s="226"/>
      <c r="AY105" s="226"/>
      <c r="AZ105" s="226"/>
      <c r="BA105" s="226"/>
      <c r="BB105" s="226"/>
      <c r="BC105" s="226"/>
      <c r="BD105" s="226"/>
      <c r="BE105" s="226"/>
      <c r="BF105" s="226"/>
      <c r="BG105" s="226"/>
      <c r="BH105" s="226"/>
      <c r="BI105" s="226"/>
      <c r="BJ105" s="226"/>
      <c r="BK105" s="226"/>
      <c r="BL105" s="226"/>
      <c r="BM105" s="226"/>
      <c r="BN105" s="226"/>
      <c r="BO105" s="226"/>
      <c r="BP105" s="226"/>
      <c r="BQ105" s="226"/>
      <c r="BR105" s="226"/>
      <c r="BS105" s="226"/>
      <c r="BT105" s="226"/>
      <c r="BU105" s="226"/>
      <c r="BV105" s="226"/>
      <c r="BW105" s="226"/>
      <c r="BX105" s="226"/>
      <c r="BY105" s="311"/>
      <c r="BZ105" s="226"/>
      <c r="CA105" s="226"/>
      <c r="CB105" s="226"/>
      <c r="CC105" s="226"/>
    </row>
    <row r="106" spans="1:81">
      <c r="A106" s="226"/>
      <c r="B106" s="226"/>
      <c r="C106" s="226"/>
      <c r="D106" s="226"/>
      <c r="E106" s="226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>
        <f>SUM(U103:U105)</f>
        <v>1819365.1</v>
      </c>
      <c r="V106" s="226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AY106" s="226"/>
      <c r="AZ106" s="226"/>
      <c r="BA106" s="226"/>
      <c r="BB106" s="226"/>
      <c r="BC106" s="226"/>
      <c r="BD106" s="226"/>
      <c r="BE106" s="226"/>
      <c r="BF106" s="226"/>
      <c r="BG106" s="226"/>
      <c r="BH106" s="226"/>
      <c r="BI106" s="226"/>
      <c r="BJ106" s="226"/>
      <c r="BK106" s="226"/>
      <c r="BL106" s="226"/>
      <c r="BM106" s="226"/>
      <c r="BN106" s="226"/>
      <c r="BO106" s="226"/>
      <c r="BP106" s="226"/>
      <c r="BQ106" s="226"/>
      <c r="BR106" s="226"/>
      <c r="BS106" s="226"/>
      <c r="BT106" s="226"/>
      <c r="BU106" s="226"/>
      <c r="BV106" s="226"/>
      <c r="BW106" s="226"/>
      <c r="BX106" s="226"/>
      <c r="BY106" s="311"/>
      <c r="BZ106" s="226"/>
      <c r="CA106" s="226"/>
      <c r="CB106" s="226"/>
      <c r="CC106" s="226"/>
    </row>
    <row r="107" spans="1:81">
      <c r="A107" s="226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  <c r="CA107" s="226"/>
      <c r="CB107" s="226"/>
      <c r="CC107" s="226"/>
    </row>
    <row r="108" spans="1:81">
      <c r="A108" s="226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  <c r="AY108" s="226"/>
      <c r="AZ108" s="226"/>
      <c r="BA108" s="226"/>
      <c r="BB108" s="226"/>
      <c r="BC108" s="226"/>
      <c r="BD108" s="226"/>
      <c r="BE108" s="226"/>
      <c r="BF108" s="226"/>
      <c r="BG108" s="226"/>
      <c r="BH108" s="226"/>
      <c r="BI108" s="226"/>
      <c r="BJ108" s="226"/>
      <c r="BK108" s="226"/>
      <c r="BL108" s="226"/>
      <c r="BM108" s="226"/>
      <c r="BN108" s="226"/>
      <c r="BO108" s="226"/>
      <c r="BP108" s="226"/>
      <c r="BQ108" s="226"/>
      <c r="BR108" s="226"/>
      <c r="BS108" s="226"/>
      <c r="BT108" s="226"/>
      <c r="BU108" s="226"/>
      <c r="BV108" s="226"/>
      <c r="BW108" s="226"/>
      <c r="BX108" s="226"/>
      <c r="BY108" s="311"/>
      <c r="BZ108" s="226"/>
      <c r="CA108" s="226"/>
      <c r="CB108" s="226"/>
      <c r="CC108" s="226"/>
    </row>
    <row r="109" spans="1:81" hidden="1">
      <c r="A109" s="226"/>
      <c r="B109" s="226"/>
      <c r="C109" s="226"/>
      <c r="D109" s="312" t="s">
        <v>337</v>
      </c>
      <c r="E109" s="312"/>
      <c r="F109" s="312"/>
      <c r="G109" s="312"/>
      <c r="H109" s="312"/>
      <c r="I109" s="312"/>
      <c r="J109" s="312"/>
      <c r="K109" s="312"/>
      <c r="L109" s="312"/>
      <c r="M109" s="312"/>
      <c r="N109" s="312"/>
      <c r="O109" s="312"/>
      <c r="P109" s="312"/>
      <c r="Q109" s="312"/>
      <c r="R109" s="312"/>
      <c r="S109" s="312"/>
      <c r="T109" s="312"/>
      <c r="U109" s="312"/>
      <c r="V109" s="313"/>
      <c r="W109" s="313"/>
      <c r="X109" s="313"/>
      <c r="Y109" s="313"/>
      <c r="Z109" s="313"/>
      <c r="AA109" s="313"/>
      <c r="AB109" s="313"/>
      <c r="AC109" s="313"/>
      <c r="AD109" s="313"/>
      <c r="AE109" s="313"/>
      <c r="AF109" s="313"/>
      <c r="AG109" s="313"/>
      <c r="AH109" s="313"/>
      <c r="AI109" s="313"/>
      <c r="AJ109" s="313"/>
      <c r="AK109" s="313"/>
      <c r="AL109" s="313"/>
      <c r="AM109" s="313"/>
      <c r="AN109" s="313"/>
      <c r="AO109" s="313"/>
      <c r="AP109" s="313"/>
      <c r="AQ109" s="313"/>
      <c r="AR109" s="313"/>
      <c r="AS109" s="313"/>
      <c r="AT109" s="313"/>
      <c r="AU109" s="313"/>
      <c r="AV109" s="313"/>
      <c r="AW109" s="313"/>
      <c r="AX109" s="313"/>
      <c r="AY109" s="313"/>
      <c r="AZ109" s="313"/>
      <c r="BA109" s="313"/>
      <c r="BB109" s="313"/>
      <c r="BC109" s="313"/>
      <c r="BD109" s="313"/>
      <c r="BE109" s="313"/>
      <c r="BF109" s="313"/>
      <c r="BG109" s="313"/>
      <c r="BH109" s="313"/>
      <c r="BI109" s="313"/>
      <c r="BJ109" s="313"/>
      <c r="BK109" s="313"/>
      <c r="BL109" s="313"/>
      <c r="BM109" s="313"/>
      <c r="BN109" s="313"/>
      <c r="BO109" s="313"/>
      <c r="BP109" s="313"/>
      <c r="BQ109" s="313"/>
      <c r="BR109" s="313"/>
      <c r="BS109" s="313"/>
      <c r="BT109" s="313"/>
      <c r="BU109" s="313"/>
      <c r="BV109" s="313"/>
      <c r="BW109" s="313"/>
      <c r="BX109" s="313"/>
      <c r="BY109" s="311"/>
      <c r="BZ109" s="226"/>
      <c r="CA109" s="226"/>
      <c r="CB109" s="226"/>
      <c r="CC109" s="226"/>
    </row>
    <row r="110" spans="1:81" hidden="1">
      <c r="A110" s="226"/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6"/>
      <c r="BF110" s="226"/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6"/>
      <c r="BQ110" s="226"/>
      <c r="BR110" s="226"/>
      <c r="BS110" s="226"/>
      <c r="BT110" s="226"/>
      <c r="BU110" s="226"/>
      <c r="BV110" s="226"/>
      <c r="BW110" s="226"/>
      <c r="BX110" s="226"/>
      <c r="BY110" s="311"/>
      <c r="BZ110" s="226"/>
      <c r="CA110" s="226"/>
      <c r="CB110" s="226"/>
      <c r="CC110" s="226"/>
    </row>
    <row r="111" spans="1:81" hidden="1">
      <c r="A111" s="226"/>
      <c r="B111" s="226"/>
      <c r="C111" s="314" t="s">
        <v>338</v>
      </c>
      <c r="D111" s="315"/>
      <c r="E111" s="316">
        <f>E119+E137+E169+E185</f>
        <v>0</v>
      </c>
      <c r="F111" s="316">
        <f t="shared" ref="F111:BW111" si="48">F119+F185</f>
        <v>0</v>
      </c>
      <c r="G111" s="316">
        <f t="shared" si="48"/>
        <v>0</v>
      </c>
      <c r="H111" s="316">
        <f t="shared" si="48"/>
        <v>-5341205.5</v>
      </c>
      <c r="I111" s="316">
        <f t="shared" si="48"/>
        <v>0</v>
      </c>
      <c r="J111" s="316">
        <f t="shared" si="48"/>
        <v>0</v>
      </c>
      <c r="K111" s="316">
        <f t="shared" si="48"/>
        <v>-885000</v>
      </c>
      <c r="L111" s="316">
        <f t="shared" si="48"/>
        <v>-1940000</v>
      </c>
      <c r="M111" s="316">
        <f t="shared" si="48"/>
        <v>-4260000</v>
      </c>
      <c r="N111" s="316">
        <f t="shared" si="48"/>
        <v>0</v>
      </c>
      <c r="O111" s="316">
        <f t="shared" si="48"/>
        <v>-320000</v>
      </c>
      <c r="P111" s="316">
        <f t="shared" si="48"/>
        <v>-320000</v>
      </c>
      <c r="Q111" s="316">
        <f t="shared" si="48"/>
        <v>0</v>
      </c>
      <c r="R111" s="316">
        <f t="shared" si="48"/>
        <v>-670000</v>
      </c>
      <c r="S111" s="316">
        <f t="shared" si="48"/>
        <v>0</v>
      </c>
      <c r="T111" s="316">
        <f t="shared" si="48"/>
        <v>5341205.5</v>
      </c>
      <c r="U111" s="316">
        <f t="shared" si="48"/>
        <v>0</v>
      </c>
      <c r="V111" s="316">
        <f t="shared" si="48"/>
        <v>-3090000</v>
      </c>
      <c r="W111" s="316">
        <f t="shared" si="48"/>
        <v>0</v>
      </c>
      <c r="X111" s="316">
        <f t="shared" si="48"/>
        <v>0</v>
      </c>
      <c r="Y111" s="316">
        <f t="shared" si="48"/>
        <v>0</v>
      </c>
      <c r="Z111" s="316">
        <f t="shared" si="48"/>
        <v>-2000000</v>
      </c>
      <c r="AA111" s="316">
        <f t="shared" si="48"/>
        <v>0</v>
      </c>
      <c r="AB111" s="316">
        <f t="shared" si="48"/>
        <v>29850002</v>
      </c>
      <c r="AC111" s="316">
        <f t="shared" si="48"/>
        <v>0</v>
      </c>
      <c r="AD111" s="316">
        <f t="shared" si="48"/>
        <v>0</v>
      </c>
      <c r="AE111" s="316">
        <f t="shared" si="48"/>
        <v>0</v>
      </c>
      <c r="AF111" s="316">
        <f t="shared" si="48"/>
        <v>0</v>
      </c>
      <c r="AG111" s="316">
        <f t="shared" si="48"/>
        <v>0</v>
      </c>
      <c r="AH111" s="316">
        <f t="shared" si="48"/>
        <v>0</v>
      </c>
      <c r="AI111" s="316">
        <f t="shared" si="48"/>
        <v>0</v>
      </c>
      <c r="AJ111" s="316">
        <f t="shared" si="48"/>
        <v>0</v>
      </c>
      <c r="AK111" s="316">
        <f t="shared" si="48"/>
        <v>0</v>
      </c>
      <c r="AL111" s="316">
        <f t="shared" si="48"/>
        <v>0</v>
      </c>
      <c r="AM111" s="316">
        <f t="shared" si="48"/>
        <v>0</v>
      </c>
      <c r="AN111" s="316">
        <f t="shared" si="48"/>
        <v>0</v>
      </c>
      <c r="AO111" s="316">
        <f t="shared" si="48"/>
        <v>0</v>
      </c>
      <c r="AP111" s="316">
        <f t="shared" si="48"/>
        <v>0</v>
      </c>
      <c r="AQ111" s="316">
        <f t="shared" si="48"/>
        <v>0</v>
      </c>
      <c r="AR111" s="316">
        <f t="shared" si="48"/>
        <v>0</v>
      </c>
      <c r="AS111" s="316">
        <f t="shared" si="48"/>
        <v>0</v>
      </c>
      <c r="AT111" s="316">
        <f t="shared" si="48"/>
        <v>0</v>
      </c>
      <c r="AU111" s="316">
        <f t="shared" si="48"/>
        <v>0</v>
      </c>
      <c r="AV111" s="316">
        <f t="shared" si="48"/>
        <v>0</v>
      </c>
      <c r="AW111" s="316">
        <f t="shared" si="48"/>
        <v>0</v>
      </c>
      <c r="AX111" s="316">
        <f t="shared" si="48"/>
        <v>0</v>
      </c>
      <c r="AY111" s="316">
        <f t="shared" si="48"/>
        <v>0</v>
      </c>
      <c r="AZ111" s="316">
        <f t="shared" si="48"/>
        <v>0</v>
      </c>
      <c r="BA111" s="316">
        <f t="shared" si="48"/>
        <v>0</v>
      </c>
      <c r="BB111" s="316">
        <f t="shared" si="48"/>
        <v>0</v>
      </c>
      <c r="BC111" s="316">
        <f t="shared" si="48"/>
        <v>0</v>
      </c>
      <c r="BD111" s="316">
        <f t="shared" si="48"/>
        <v>0</v>
      </c>
      <c r="BE111" s="316">
        <f t="shared" si="48"/>
        <v>0</v>
      </c>
      <c r="BF111" s="316">
        <f t="shared" si="48"/>
        <v>0</v>
      </c>
      <c r="BG111" s="316">
        <f t="shared" si="48"/>
        <v>0</v>
      </c>
      <c r="BH111" s="316">
        <f t="shared" si="48"/>
        <v>0</v>
      </c>
      <c r="BI111" s="316">
        <f t="shared" si="48"/>
        <v>0</v>
      </c>
      <c r="BJ111" s="316">
        <f t="shared" si="48"/>
        <v>0</v>
      </c>
      <c r="BK111" s="316">
        <f t="shared" si="48"/>
        <v>0</v>
      </c>
      <c r="BL111" s="316">
        <f t="shared" si="48"/>
        <v>0</v>
      </c>
      <c r="BM111" s="316">
        <f t="shared" si="48"/>
        <v>0</v>
      </c>
      <c r="BN111" s="316">
        <f t="shared" si="48"/>
        <v>0</v>
      </c>
      <c r="BO111" s="316">
        <f t="shared" si="48"/>
        <v>0</v>
      </c>
      <c r="BP111" s="316">
        <f t="shared" si="48"/>
        <v>0</v>
      </c>
      <c r="BQ111" s="316">
        <f t="shared" si="48"/>
        <v>0</v>
      </c>
      <c r="BR111" s="316">
        <f t="shared" si="48"/>
        <v>0</v>
      </c>
      <c r="BS111" s="316">
        <f t="shared" si="48"/>
        <v>0</v>
      </c>
      <c r="BT111" s="316">
        <f t="shared" si="48"/>
        <v>0</v>
      </c>
      <c r="BU111" s="316">
        <f t="shared" si="48"/>
        <v>0</v>
      </c>
      <c r="BV111" s="316">
        <f t="shared" si="48"/>
        <v>0</v>
      </c>
      <c r="BW111" s="316">
        <f t="shared" si="48"/>
        <v>0</v>
      </c>
      <c r="BX111" s="316">
        <f>BX119+BX185+BX102</f>
        <v>2645123.2806000002</v>
      </c>
      <c r="BY111" s="311"/>
      <c r="BZ111" s="226"/>
      <c r="CA111" s="226"/>
      <c r="CB111" s="226"/>
      <c r="CC111" s="226"/>
    </row>
    <row r="112" spans="1:81" hidden="1">
      <c r="A112" s="226"/>
      <c r="B112" s="226"/>
      <c r="C112" s="317" t="s">
        <v>339</v>
      </c>
      <c r="D112" s="793">
        <f>IRR(E111:BX111)*12</f>
        <v>0.60214601588543371</v>
      </c>
      <c r="E112" s="768"/>
      <c r="F112" s="226"/>
      <c r="G112" s="226"/>
      <c r="H112" s="226"/>
      <c r="I112" s="226"/>
      <c r="J112" s="226"/>
      <c r="K112" s="226"/>
      <c r="L112" s="226"/>
      <c r="M112" s="226"/>
      <c r="N112" s="226"/>
      <c r="O112" s="226"/>
      <c r="P112" s="226"/>
      <c r="Q112" s="226"/>
      <c r="R112" s="226"/>
      <c r="S112" s="226"/>
      <c r="T112" s="226"/>
      <c r="U112" s="226"/>
      <c r="V112" s="226"/>
      <c r="W112" s="226"/>
      <c r="X112" s="226"/>
      <c r="Y112" s="226"/>
      <c r="Z112" s="226"/>
      <c r="AA112" s="226"/>
      <c r="AB112" s="226"/>
      <c r="AC112" s="226"/>
      <c r="AD112" s="226"/>
      <c r="AE112" s="226"/>
      <c r="AF112" s="226"/>
      <c r="AG112" s="226"/>
      <c r="AH112" s="226"/>
      <c r="AI112" s="226"/>
      <c r="AJ112" s="226"/>
      <c r="AK112" s="226"/>
      <c r="AL112" s="226"/>
      <c r="AM112" s="226"/>
      <c r="AN112" s="226"/>
      <c r="AO112" s="226"/>
      <c r="AP112" s="226"/>
      <c r="AQ112" s="226"/>
      <c r="AR112" s="226"/>
      <c r="AS112" s="226"/>
      <c r="AT112" s="226"/>
      <c r="AU112" s="226"/>
      <c r="AV112" s="226"/>
      <c r="AW112" s="226"/>
      <c r="AX112" s="226"/>
      <c r="AY112" s="226"/>
      <c r="AZ112" s="226"/>
      <c r="BA112" s="226"/>
      <c r="BB112" s="226"/>
      <c r="BC112" s="226"/>
      <c r="BD112" s="226"/>
      <c r="BE112" s="226"/>
      <c r="BF112" s="226"/>
      <c r="BG112" s="226"/>
      <c r="BH112" s="226"/>
      <c r="BI112" s="226"/>
      <c r="BJ112" s="226"/>
      <c r="BK112" s="226"/>
      <c r="BL112" s="226"/>
      <c r="BM112" s="226"/>
      <c r="BN112" s="226"/>
      <c r="BO112" s="226"/>
      <c r="BP112" s="226"/>
      <c r="BQ112" s="226"/>
      <c r="BR112" s="226"/>
      <c r="BS112" s="226"/>
      <c r="BT112" s="226"/>
      <c r="BU112" s="226"/>
      <c r="BV112" s="226"/>
      <c r="BW112" s="226"/>
      <c r="BX112" s="226"/>
      <c r="BY112" s="311"/>
      <c r="BZ112" s="226"/>
      <c r="CA112" s="226"/>
      <c r="CB112" s="226"/>
      <c r="CC112" s="226"/>
    </row>
    <row r="115" spans="3:76" ht="17" hidden="1">
      <c r="C115" s="314" t="s">
        <v>340</v>
      </c>
      <c r="D115" s="794"/>
      <c r="E115" s="767"/>
      <c r="F115" s="767"/>
      <c r="G115" s="767"/>
      <c r="H115" s="767"/>
      <c r="I115" s="767"/>
      <c r="J115" s="767"/>
      <c r="K115" s="767"/>
      <c r="L115" s="767"/>
      <c r="M115" s="767"/>
      <c r="N115" s="767"/>
      <c r="O115" s="767"/>
      <c r="P115" s="767"/>
      <c r="Q115" s="767"/>
      <c r="R115" s="767"/>
      <c r="S115" s="767"/>
      <c r="T115" s="767"/>
      <c r="U115" s="767"/>
      <c r="V115" s="767"/>
      <c r="W115" s="767"/>
      <c r="X115" s="767"/>
      <c r="Y115" s="767"/>
      <c r="Z115" s="767"/>
      <c r="AA115" s="767"/>
      <c r="AB115" s="767"/>
      <c r="AC115" s="767"/>
      <c r="AD115" s="767"/>
      <c r="AE115" s="767"/>
      <c r="AF115" s="767"/>
      <c r="AG115" s="767"/>
      <c r="AH115" s="767"/>
      <c r="AI115" s="767"/>
      <c r="AJ115" s="767"/>
      <c r="AK115" s="767"/>
      <c r="AL115" s="767"/>
      <c r="AM115" s="767"/>
      <c r="AN115" s="767"/>
      <c r="AO115" s="767"/>
      <c r="AP115" s="767"/>
      <c r="AQ115" s="767"/>
      <c r="AR115" s="767"/>
      <c r="AS115" s="767"/>
      <c r="AT115" s="767"/>
      <c r="AU115" s="767"/>
      <c r="AV115" s="767"/>
      <c r="AW115" s="767"/>
      <c r="AX115" s="767"/>
      <c r="AY115" s="767"/>
      <c r="AZ115" s="767"/>
      <c r="BA115" s="767"/>
      <c r="BB115" s="767"/>
      <c r="BC115" s="767"/>
      <c r="BD115" s="767"/>
      <c r="BE115" s="767"/>
      <c r="BF115" s="767"/>
      <c r="BG115" s="767"/>
      <c r="BH115" s="767"/>
      <c r="BI115" s="767"/>
      <c r="BJ115" s="767"/>
      <c r="BK115" s="767"/>
      <c r="BL115" s="767"/>
      <c r="BM115" s="767"/>
      <c r="BN115" s="767"/>
      <c r="BO115" s="767"/>
      <c r="BP115" s="767"/>
      <c r="BQ115" s="767"/>
      <c r="BR115" s="767"/>
      <c r="BS115" s="767"/>
      <c r="BT115" s="767"/>
      <c r="BU115" s="767"/>
      <c r="BV115" s="767"/>
      <c r="BW115" s="768"/>
      <c r="BX115" s="319">
        <f>BX102*C116</f>
        <v>529024.65612000006</v>
      </c>
    </row>
    <row r="116" spans="3:76" ht="19" hidden="1">
      <c r="C116" s="320">
        <v>0.2</v>
      </c>
      <c r="D116" s="226"/>
      <c r="E116" s="226"/>
      <c r="F116" s="226"/>
      <c r="G116" s="226"/>
      <c r="H116" s="226"/>
      <c r="I116" s="226"/>
      <c r="J116" s="226"/>
      <c r="K116" s="226"/>
      <c r="L116" s="226"/>
      <c r="M116" s="226"/>
      <c r="N116" s="226"/>
      <c r="O116" s="226"/>
      <c r="P116" s="226"/>
      <c r="Q116" s="226"/>
      <c r="R116" s="226"/>
      <c r="S116" s="226"/>
      <c r="T116" s="226"/>
      <c r="U116" s="226"/>
      <c r="V116" s="226"/>
      <c r="W116" s="226"/>
      <c r="X116" s="226"/>
      <c r="Y116" s="226"/>
      <c r="Z116" s="226"/>
      <c r="AA116" s="226"/>
      <c r="AB116" s="226"/>
      <c r="AC116" s="226"/>
      <c r="AD116" s="226"/>
      <c r="AE116" s="226"/>
      <c r="AF116" s="226"/>
      <c r="AG116" s="226"/>
      <c r="AH116" s="226"/>
      <c r="AI116" s="226"/>
      <c r="AJ116" s="226"/>
      <c r="AK116" s="226"/>
      <c r="AL116" s="226"/>
      <c r="AM116" s="226"/>
      <c r="AN116" s="226"/>
      <c r="AO116" s="226"/>
      <c r="AP116" s="226"/>
      <c r="AQ116" s="226"/>
      <c r="AR116" s="226"/>
      <c r="AS116" s="226"/>
      <c r="AT116" s="226"/>
      <c r="AU116" s="226"/>
      <c r="AV116" s="226"/>
      <c r="AW116" s="226"/>
      <c r="AX116" s="226"/>
      <c r="AY116" s="226"/>
      <c r="AZ116" s="226"/>
      <c r="BA116" s="226"/>
      <c r="BB116" s="226"/>
      <c r="BC116" s="226"/>
      <c r="BD116" s="226"/>
      <c r="BE116" s="226"/>
      <c r="BF116" s="226"/>
      <c r="BG116" s="226"/>
      <c r="BH116" s="226"/>
      <c r="BI116" s="226"/>
      <c r="BJ116" s="226"/>
      <c r="BK116" s="226"/>
      <c r="BL116" s="226"/>
      <c r="BM116" s="226"/>
      <c r="BN116" s="226"/>
      <c r="BO116" s="226"/>
      <c r="BP116" s="226"/>
      <c r="BQ116" s="226"/>
      <c r="BR116" s="226"/>
      <c r="BS116" s="226"/>
      <c r="BT116" s="226"/>
      <c r="BU116" s="226"/>
      <c r="BV116" s="226"/>
      <c r="BW116" s="226"/>
      <c r="BX116" s="226"/>
    </row>
    <row r="117" spans="3:76" hidden="1">
      <c r="C117" s="226"/>
      <c r="D117" s="226"/>
      <c r="E117" s="226"/>
      <c r="F117" s="226"/>
      <c r="G117" s="226"/>
      <c r="H117" s="226"/>
      <c r="I117" s="226"/>
      <c r="J117" s="226"/>
      <c r="K117" s="226"/>
      <c r="L117" s="226"/>
      <c r="M117" s="226"/>
      <c r="N117" s="226"/>
      <c r="O117" s="226"/>
      <c r="P117" s="226"/>
      <c r="Q117" s="226"/>
      <c r="R117" s="226"/>
      <c r="S117" s="226"/>
      <c r="T117" s="226"/>
      <c r="U117" s="226"/>
      <c r="V117" s="226"/>
      <c r="W117" s="226"/>
      <c r="X117" s="226"/>
      <c r="Y117" s="226"/>
      <c r="Z117" s="226"/>
      <c r="AA117" s="226"/>
      <c r="AB117" s="226"/>
      <c r="AC117" s="226"/>
      <c r="AD117" s="226"/>
      <c r="AE117" s="226"/>
      <c r="AF117" s="226"/>
      <c r="AG117" s="226"/>
      <c r="AH117" s="226"/>
      <c r="AI117" s="226"/>
      <c r="AJ117" s="226"/>
      <c r="AK117" s="226"/>
      <c r="AL117" s="226"/>
      <c r="AM117" s="226"/>
      <c r="AN117" s="226"/>
      <c r="AO117" s="226"/>
      <c r="AP117" s="226"/>
      <c r="AQ117" s="226"/>
      <c r="AR117" s="226"/>
      <c r="AS117" s="226"/>
      <c r="AT117" s="226"/>
      <c r="AU117" s="226"/>
      <c r="AV117" s="226"/>
      <c r="AW117" s="226"/>
      <c r="AX117" s="226"/>
      <c r="AY117" s="226"/>
      <c r="AZ117" s="226"/>
      <c r="BA117" s="226"/>
      <c r="BB117" s="226"/>
      <c r="BC117" s="226"/>
      <c r="BD117" s="226"/>
      <c r="BE117" s="226"/>
      <c r="BF117" s="226"/>
      <c r="BG117" s="226"/>
      <c r="BH117" s="226"/>
      <c r="BI117" s="226"/>
      <c r="BJ117" s="226"/>
      <c r="BK117" s="226"/>
      <c r="BL117" s="226"/>
      <c r="BM117" s="226"/>
      <c r="BN117" s="226"/>
      <c r="BO117" s="226"/>
      <c r="BP117" s="226"/>
      <c r="BQ117" s="226"/>
      <c r="BR117" s="226"/>
      <c r="BS117" s="226"/>
      <c r="BT117" s="226"/>
      <c r="BU117" s="226"/>
      <c r="BV117" s="226"/>
      <c r="BW117" s="226"/>
      <c r="BX117" s="226"/>
    </row>
    <row r="118" spans="3:76">
      <c r="C118" s="321"/>
      <c r="D118" s="321"/>
      <c r="E118" s="321"/>
      <c r="F118" s="321"/>
      <c r="G118" s="321"/>
      <c r="H118" s="321"/>
      <c r="I118" s="321"/>
      <c r="J118" s="321"/>
      <c r="K118" s="321"/>
      <c r="L118" s="321"/>
      <c r="M118" s="321"/>
      <c r="N118" s="321"/>
      <c r="O118" s="321"/>
      <c r="P118" s="321"/>
      <c r="Q118" s="321"/>
      <c r="R118" s="321"/>
      <c r="S118" s="321"/>
      <c r="T118" s="321"/>
      <c r="U118" s="321"/>
      <c r="V118" s="321"/>
      <c r="W118" s="321"/>
      <c r="X118" s="321"/>
      <c r="Y118" s="321"/>
      <c r="Z118" s="321"/>
      <c r="AA118" s="321"/>
      <c r="AB118" s="321"/>
      <c r="AC118" s="321"/>
      <c r="AD118" s="321"/>
      <c r="AE118" s="321"/>
      <c r="AF118" s="321"/>
      <c r="AG118" s="321"/>
      <c r="AH118" s="321"/>
      <c r="AI118" s="321"/>
      <c r="AJ118" s="321"/>
      <c r="AK118" s="321"/>
      <c r="AL118" s="321"/>
      <c r="AM118" s="321"/>
      <c r="AN118" s="321"/>
      <c r="AO118" s="321"/>
      <c r="AP118" s="321"/>
      <c r="AQ118" s="321"/>
      <c r="AR118" s="321"/>
      <c r="AS118" s="321"/>
      <c r="AT118" s="321"/>
      <c r="AU118" s="321"/>
      <c r="AV118" s="321"/>
      <c r="AW118" s="321"/>
      <c r="AX118" s="321"/>
      <c r="AY118" s="321"/>
      <c r="AZ118" s="321"/>
      <c r="BA118" s="321"/>
      <c r="BB118" s="321"/>
      <c r="BC118" s="321"/>
      <c r="BD118" s="321"/>
      <c r="BE118" s="321"/>
      <c r="BF118" s="321"/>
      <c r="BG118" s="321"/>
      <c r="BH118" s="321"/>
      <c r="BI118" s="321"/>
      <c r="BJ118" s="321"/>
      <c r="BK118" s="321"/>
      <c r="BL118" s="321"/>
      <c r="BM118" s="226"/>
      <c r="BN118" s="226"/>
      <c r="BO118" s="226"/>
      <c r="BP118" s="226"/>
      <c r="BQ118" s="226"/>
      <c r="BR118" s="226"/>
      <c r="BS118" s="226"/>
      <c r="BT118" s="226"/>
      <c r="BU118" s="226"/>
      <c r="BV118" s="226"/>
      <c r="BW118" s="226"/>
      <c r="BX118" s="226"/>
    </row>
    <row r="119" spans="3:76">
      <c r="C119" s="314" t="s">
        <v>341</v>
      </c>
      <c r="D119" s="315"/>
      <c r="E119" s="316">
        <f t="shared" ref="E119:G119" si="49">-(E5+E6+E92+E93)</f>
        <v>0</v>
      </c>
      <c r="F119" s="316">
        <f t="shared" si="49"/>
        <v>0</v>
      </c>
      <c r="G119" s="316">
        <f t="shared" si="49"/>
        <v>0</v>
      </c>
      <c r="H119" s="316">
        <f>-(+H6+H92+H93)</f>
        <v>0</v>
      </c>
      <c r="I119" s="316">
        <f t="shared" ref="I119:BM119" si="50">-(I5+I6+I92+I93)</f>
        <v>0</v>
      </c>
      <c r="J119" s="316">
        <f t="shared" si="50"/>
        <v>0</v>
      </c>
      <c r="K119" s="316">
        <f t="shared" si="50"/>
        <v>-885000</v>
      </c>
      <c r="L119" s="316">
        <f t="shared" si="50"/>
        <v>-1940000</v>
      </c>
      <c r="M119" s="316">
        <f t="shared" si="50"/>
        <v>-4260000</v>
      </c>
      <c r="N119" s="316">
        <f t="shared" si="50"/>
        <v>0</v>
      </c>
      <c r="O119" s="316">
        <f t="shared" si="50"/>
        <v>-320000</v>
      </c>
      <c r="P119" s="316">
        <f t="shared" si="50"/>
        <v>-320000</v>
      </c>
      <c r="Q119" s="316">
        <f t="shared" si="50"/>
        <v>0</v>
      </c>
      <c r="R119" s="316">
        <f t="shared" si="50"/>
        <v>-670000</v>
      </c>
      <c r="S119" s="316">
        <f t="shared" si="50"/>
        <v>0</v>
      </c>
      <c r="T119" s="316">
        <f t="shared" si="50"/>
        <v>0</v>
      </c>
      <c r="U119" s="316">
        <f t="shared" si="50"/>
        <v>0</v>
      </c>
      <c r="V119" s="316">
        <f t="shared" si="50"/>
        <v>-3090000</v>
      </c>
      <c r="W119" s="316">
        <f t="shared" si="50"/>
        <v>0</v>
      </c>
      <c r="X119" s="316">
        <f t="shared" si="50"/>
        <v>0</v>
      </c>
      <c r="Y119" s="316">
        <f t="shared" si="50"/>
        <v>0</v>
      </c>
      <c r="Z119" s="316">
        <f t="shared" si="50"/>
        <v>-2000000</v>
      </c>
      <c r="AA119" s="316">
        <f t="shared" si="50"/>
        <v>0</v>
      </c>
      <c r="AB119" s="316">
        <f t="shared" si="50"/>
        <v>29850002</v>
      </c>
      <c r="AC119" s="316">
        <f t="shared" si="50"/>
        <v>0</v>
      </c>
      <c r="AD119" s="316">
        <f t="shared" si="50"/>
        <v>0</v>
      </c>
      <c r="AE119" s="316">
        <f t="shared" si="50"/>
        <v>0</v>
      </c>
      <c r="AF119" s="316">
        <f t="shared" si="50"/>
        <v>0</v>
      </c>
      <c r="AG119" s="316">
        <f t="shared" si="50"/>
        <v>0</v>
      </c>
      <c r="AH119" s="316">
        <f t="shared" si="50"/>
        <v>0</v>
      </c>
      <c r="AI119" s="316">
        <f t="shared" si="50"/>
        <v>0</v>
      </c>
      <c r="AJ119" s="316">
        <f t="shared" si="50"/>
        <v>0</v>
      </c>
      <c r="AK119" s="316">
        <f t="shared" si="50"/>
        <v>0</v>
      </c>
      <c r="AL119" s="316">
        <f t="shared" si="50"/>
        <v>0</v>
      </c>
      <c r="AM119" s="316">
        <f t="shared" si="50"/>
        <v>0</v>
      </c>
      <c r="AN119" s="316">
        <f t="shared" si="50"/>
        <v>0</v>
      </c>
      <c r="AO119" s="316">
        <f t="shared" si="50"/>
        <v>0</v>
      </c>
      <c r="AP119" s="316">
        <f t="shared" si="50"/>
        <v>0</v>
      </c>
      <c r="AQ119" s="316">
        <f t="shared" si="50"/>
        <v>0</v>
      </c>
      <c r="AR119" s="316">
        <f t="shared" si="50"/>
        <v>0</v>
      </c>
      <c r="AS119" s="316">
        <f t="shared" si="50"/>
        <v>0</v>
      </c>
      <c r="AT119" s="316">
        <f t="shared" si="50"/>
        <v>0</v>
      </c>
      <c r="AU119" s="316">
        <f t="shared" si="50"/>
        <v>0</v>
      </c>
      <c r="AV119" s="316">
        <f t="shared" si="50"/>
        <v>0</v>
      </c>
      <c r="AW119" s="316">
        <f t="shared" si="50"/>
        <v>0</v>
      </c>
      <c r="AX119" s="316">
        <f t="shared" si="50"/>
        <v>0</v>
      </c>
      <c r="AY119" s="316">
        <f t="shared" si="50"/>
        <v>0</v>
      </c>
      <c r="AZ119" s="316">
        <f t="shared" si="50"/>
        <v>0</v>
      </c>
      <c r="BA119" s="316">
        <f t="shared" si="50"/>
        <v>0</v>
      </c>
      <c r="BB119" s="316">
        <f t="shared" si="50"/>
        <v>0</v>
      </c>
      <c r="BC119" s="316">
        <f t="shared" si="50"/>
        <v>0</v>
      </c>
      <c r="BD119" s="316">
        <f t="shared" si="50"/>
        <v>0</v>
      </c>
      <c r="BE119" s="316">
        <f t="shared" si="50"/>
        <v>0</v>
      </c>
      <c r="BF119" s="316">
        <f t="shared" si="50"/>
        <v>0</v>
      </c>
      <c r="BG119" s="316">
        <f t="shared" si="50"/>
        <v>0</v>
      </c>
      <c r="BH119" s="316">
        <f t="shared" si="50"/>
        <v>0</v>
      </c>
      <c r="BI119" s="316">
        <f t="shared" si="50"/>
        <v>0</v>
      </c>
      <c r="BJ119" s="316">
        <f t="shared" si="50"/>
        <v>0</v>
      </c>
      <c r="BK119" s="316">
        <f t="shared" si="50"/>
        <v>0</v>
      </c>
      <c r="BL119" s="316">
        <f t="shared" si="50"/>
        <v>0</v>
      </c>
      <c r="BM119" s="316">
        <f t="shared" si="50"/>
        <v>0</v>
      </c>
      <c r="BN119" s="316">
        <f t="shared" ref="BN119:BX119" si="51">-(BN5+BN92)</f>
        <v>0</v>
      </c>
      <c r="BO119" s="316">
        <f t="shared" si="51"/>
        <v>0</v>
      </c>
      <c r="BP119" s="316">
        <f t="shared" si="51"/>
        <v>0</v>
      </c>
      <c r="BQ119" s="316">
        <f t="shared" si="51"/>
        <v>0</v>
      </c>
      <c r="BR119" s="316">
        <f t="shared" si="51"/>
        <v>0</v>
      </c>
      <c r="BS119" s="316">
        <f t="shared" si="51"/>
        <v>0</v>
      </c>
      <c r="BT119" s="316">
        <f t="shared" si="51"/>
        <v>0</v>
      </c>
      <c r="BU119" s="316">
        <f t="shared" si="51"/>
        <v>0</v>
      </c>
      <c r="BV119" s="316">
        <f t="shared" si="51"/>
        <v>0</v>
      </c>
      <c r="BW119" s="316">
        <f t="shared" si="51"/>
        <v>0</v>
      </c>
      <c r="BX119" s="316">
        <f t="shared" si="51"/>
        <v>0</v>
      </c>
    </row>
    <row r="120" spans="3:76">
      <c r="C120" s="314" t="s">
        <v>342</v>
      </c>
      <c r="D120" s="323"/>
      <c r="E120" s="315"/>
      <c r="F120" s="315"/>
      <c r="G120" s="315"/>
      <c r="H120" s="315">
        <f>-Businessplan_prodej!F9</f>
        <v>-8333333</v>
      </c>
      <c r="I120" s="315"/>
      <c r="J120" s="315"/>
      <c r="K120" s="315"/>
      <c r="L120" s="315"/>
      <c r="M120" s="315"/>
      <c r="N120" s="315"/>
      <c r="O120" s="315">
        <f>-2640840</f>
        <v>-2640840</v>
      </c>
      <c r="P120" s="315"/>
      <c r="Q120" s="315"/>
      <c r="R120" s="315"/>
      <c r="S120" s="315"/>
      <c r="T120" s="315"/>
      <c r="U120" s="315"/>
      <c r="V120" s="315"/>
      <c r="W120" s="315"/>
      <c r="X120" s="315">
        <f>-1400000</f>
        <v>-1400000</v>
      </c>
      <c r="Y120" s="315"/>
      <c r="Z120" s="315"/>
      <c r="AA120" s="315"/>
      <c r="AB120" s="315"/>
      <c r="AC120" s="315"/>
      <c r="AD120" s="315"/>
      <c r="AE120" s="315"/>
      <c r="AF120" s="315"/>
      <c r="AG120" s="315"/>
      <c r="AH120" s="315"/>
      <c r="AI120" s="315"/>
      <c r="AJ120" s="315"/>
      <c r="AK120" s="315"/>
      <c r="AL120" s="315"/>
      <c r="AM120" s="315"/>
      <c r="AN120" s="315"/>
      <c r="AO120" s="315"/>
      <c r="AP120" s="315"/>
      <c r="AQ120" s="315"/>
      <c r="AR120" s="315"/>
      <c r="AS120" s="315"/>
      <c r="AT120" s="315"/>
      <c r="AU120" s="315"/>
      <c r="AV120" s="315"/>
      <c r="AW120" s="315"/>
      <c r="AX120" s="315"/>
      <c r="AY120" s="315"/>
      <c r="AZ120" s="315"/>
      <c r="BA120" s="315"/>
      <c r="BB120" s="315"/>
      <c r="BC120" s="315"/>
      <c r="BD120" s="315"/>
      <c r="BE120" s="315"/>
      <c r="BF120" s="315"/>
      <c r="BG120" s="315"/>
      <c r="BH120" s="315"/>
      <c r="BI120" s="315"/>
      <c r="BJ120" s="315"/>
      <c r="BK120" s="315"/>
      <c r="BL120" s="315"/>
      <c r="BM120" s="315"/>
      <c r="BN120" s="315"/>
      <c r="BO120" s="315"/>
      <c r="BP120" s="315"/>
      <c r="BQ120" s="315"/>
      <c r="BR120" s="315"/>
      <c r="BS120" s="315"/>
      <c r="BT120" s="315"/>
      <c r="BU120" s="315"/>
      <c r="BV120" s="315"/>
      <c r="BW120" s="315"/>
      <c r="BX120" s="315"/>
    </row>
    <row r="121" spans="3:76">
      <c r="C121" s="314" t="s">
        <v>343</v>
      </c>
      <c r="D121" s="323"/>
      <c r="E121" s="315">
        <f t="shared" ref="E121:S121" si="52">-E57</f>
        <v>0</v>
      </c>
      <c r="F121" s="315">
        <f t="shared" si="52"/>
        <v>0</v>
      </c>
      <c r="G121" s="315">
        <f t="shared" si="52"/>
        <v>0</v>
      </c>
      <c r="H121" s="315">
        <f t="shared" si="52"/>
        <v>0</v>
      </c>
      <c r="I121" s="315">
        <f t="shared" si="52"/>
        <v>0</v>
      </c>
      <c r="J121" s="315">
        <f t="shared" si="52"/>
        <v>0</v>
      </c>
      <c r="K121" s="315">
        <f t="shared" si="52"/>
        <v>0</v>
      </c>
      <c r="L121" s="315">
        <f t="shared" si="52"/>
        <v>0</v>
      </c>
      <c r="M121" s="315">
        <f t="shared" si="52"/>
        <v>0</v>
      </c>
      <c r="N121" s="315">
        <f t="shared" si="52"/>
        <v>0</v>
      </c>
      <c r="O121" s="315">
        <f t="shared" si="52"/>
        <v>0</v>
      </c>
      <c r="P121" s="315">
        <f t="shared" si="52"/>
        <v>0</v>
      </c>
      <c r="Q121" s="315">
        <f t="shared" si="52"/>
        <v>0</v>
      </c>
      <c r="R121" s="315">
        <f t="shared" si="52"/>
        <v>0</v>
      </c>
      <c r="S121" s="315">
        <f t="shared" si="52"/>
        <v>0</v>
      </c>
      <c r="T121" s="315">
        <f>-T57-T58</f>
        <v>0</v>
      </c>
      <c r="U121" s="315">
        <f t="shared" ref="U121:Z121" si="53">-U57</f>
        <v>0</v>
      </c>
      <c r="V121" s="315">
        <f t="shared" si="53"/>
        <v>0</v>
      </c>
      <c r="W121" s="315">
        <f t="shared" si="53"/>
        <v>0</v>
      </c>
      <c r="X121" s="315">
        <f t="shared" si="53"/>
        <v>0</v>
      </c>
      <c r="Y121" s="315">
        <f t="shared" si="53"/>
        <v>0</v>
      </c>
      <c r="Z121" s="315">
        <f t="shared" si="53"/>
        <v>0</v>
      </c>
      <c r="AA121" s="315">
        <f>-AA57-AA58</f>
        <v>0</v>
      </c>
      <c r="AB121" s="315">
        <f t="shared" ref="AB121:AE121" si="54">-AB57</f>
        <v>0</v>
      </c>
      <c r="AC121" s="315">
        <f t="shared" si="54"/>
        <v>0</v>
      </c>
      <c r="AD121" s="315">
        <f t="shared" si="54"/>
        <v>0</v>
      </c>
      <c r="AE121" s="315">
        <f t="shared" si="54"/>
        <v>0</v>
      </c>
      <c r="AF121" s="315">
        <f>-AF57-AF58</f>
        <v>0</v>
      </c>
      <c r="AG121" s="315">
        <f t="shared" ref="AG121:BX121" si="55">-AG57</f>
        <v>0</v>
      </c>
      <c r="AH121" s="315">
        <f t="shared" si="55"/>
        <v>0</v>
      </c>
      <c r="AI121" s="315">
        <f t="shared" si="55"/>
        <v>0</v>
      </c>
      <c r="AJ121" s="315">
        <f t="shared" si="55"/>
        <v>0</v>
      </c>
      <c r="AK121" s="315">
        <f t="shared" si="55"/>
        <v>0</v>
      </c>
      <c r="AL121" s="315">
        <f t="shared" si="55"/>
        <v>0</v>
      </c>
      <c r="AM121" s="315">
        <f t="shared" si="55"/>
        <v>0</v>
      </c>
      <c r="AN121" s="315">
        <f t="shared" si="55"/>
        <v>0</v>
      </c>
      <c r="AO121" s="315">
        <f t="shared" si="55"/>
        <v>0</v>
      </c>
      <c r="AP121" s="315">
        <f t="shared" si="55"/>
        <v>0</v>
      </c>
      <c r="AQ121" s="315">
        <f t="shared" si="55"/>
        <v>0</v>
      </c>
      <c r="AR121" s="315">
        <f t="shared" si="55"/>
        <v>0</v>
      </c>
      <c r="AS121" s="315">
        <f t="shared" si="55"/>
        <v>0</v>
      </c>
      <c r="AT121" s="315">
        <f t="shared" si="55"/>
        <v>0</v>
      </c>
      <c r="AU121" s="315">
        <f t="shared" si="55"/>
        <v>0</v>
      </c>
      <c r="AV121" s="315">
        <f t="shared" si="55"/>
        <v>0</v>
      </c>
      <c r="AW121" s="315">
        <f t="shared" si="55"/>
        <v>0</v>
      </c>
      <c r="AX121" s="315">
        <f t="shared" si="55"/>
        <v>0</v>
      </c>
      <c r="AY121" s="315">
        <f t="shared" si="55"/>
        <v>0</v>
      </c>
      <c r="AZ121" s="315">
        <f t="shared" si="55"/>
        <v>0</v>
      </c>
      <c r="BA121" s="315">
        <f t="shared" si="55"/>
        <v>0</v>
      </c>
      <c r="BB121" s="315">
        <f t="shared" si="55"/>
        <v>0</v>
      </c>
      <c r="BC121" s="315">
        <f t="shared" si="55"/>
        <v>0</v>
      </c>
      <c r="BD121" s="315">
        <f t="shared" si="55"/>
        <v>0</v>
      </c>
      <c r="BE121" s="315">
        <f t="shared" si="55"/>
        <v>0</v>
      </c>
      <c r="BF121" s="315">
        <f t="shared" si="55"/>
        <v>0</v>
      </c>
      <c r="BG121" s="315">
        <f t="shared" si="55"/>
        <v>0</v>
      </c>
      <c r="BH121" s="315">
        <f t="shared" si="55"/>
        <v>0</v>
      </c>
      <c r="BI121" s="315">
        <f t="shared" si="55"/>
        <v>0</v>
      </c>
      <c r="BJ121" s="315">
        <f t="shared" si="55"/>
        <v>0</v>
      </c>
      <c r="BK121" s="315">
        <f t="shared" si="55"/>
        <v>0</v>
      </c>
      <c r="BL121" s="315">
        <f t="shared" si="55"/>
        <v>0</v>
      </c>
      <c r="BM121" s="315">
        <f t="shared" si="55"/>
        <v>0</v>
      </c>
      <c r="BN121" s="315">
        <f t="shared" si="55"/>
        <v>0</v>
      </c>
      <c r="BO121" s="315">
        <f t="shared" si="55"/>
        <v>0</v>
      </c>
      <c r="BP121" s="315">
        <f t="shared" si="55"/>
        <v>0</v>
      </c>
      <c r="BQ121" s="315">
        <f t="shared" si="55"/>
        <v>0</v>
      </c>
      <c r="BR121" s="315">
        <f t="shared" si="55"/>
        <v>0</v>
      </c>
      <c r="BS121" s="315">
        <f t="shared" si="55"/>
        <v>0</v>
      </c>
      <c r="BT121" s="315">
        <f t="shared" si="55"/>
        <v>0</v>
      </c>
      <c r="BU121" s="315">
        <f t="shared" si="55"/>
        <v>0</v>
      </c>
      <c r="BV121" s="315">
        <f t="shared" si="55"/>
        <v>0</v>
      </c>
      <c r="BW121" s="315">
        <f t="shared" si="55"/>
        <v>0</v>
      </c>
      <c r="BX121" s="315">
        <f t="shared" si="55"/>
        <v>0</v>
      </c>
    </row>
    <row r="122" spans="3:76">
      <c r="C122" s="314" t="s">
        <v>344</v>
      </c>
      <c r="D122" s="323"/>
      <c r="E122" s="315"/>
      <c r="F122" s="315"/>
      <c r="G122" s="315"/>
      <c r="H122" s="315">
        <f>-H5</f>
        <v>-16365002</v>
      </c>
      <c r="I122" s="315"/>
      <c r="J122" s="315"/>
      <c r="K122" s="315"/>
      <c r="L122" s="315"/>
      <c r="M122" s="315"/>
      <c r="N122" s="315"/>
      <c r="O122" s="315"/>
      <c r="P122" s="315"/>
      <c r="Q122" s="315"/>
      <c r="R122" s="315"/>
      <c r="S122" s="315"/>
      <c r="T122" s="315"/>
      <c r="U122" s="315"/>
      <c r="V122" s="315"/>
      <c r="W122" s="315"/>
      <c r="X122" s="315"/>
      <c r="Y122" s="315"/>
      <c r="Z122" s="315"/>
      <c r="AA122" s="315"/>
      <c r="AB122" s="315">
        <f>AB102</f>
        <v>33340029.954124693</v>
      </c>
      <c r="AC122" s="315"/>
      <c r="AD122" s="315"/>
      <c r="AE122" s="315"/>
      <c r="AF122" s="315"/>
      <c r="AG122" s="315"/>
      <c r="AH122" s="315"/>
      <c r="AI122" s="315"/>
      <c r="AJ122" s="315"/>
      <c r="AK122" s="315"/>
      <c r="AL122" s="315"/>
      <c r="AM122" s="315"/>
      <c r="AN122" s="315"/>
      <c r="AO122" s="315"/>
      <c r="AP122" s="315"/>
      <c r="AQ122" s="315"/>
      <c r="AR122" s="315"/>
      <c r="AS122" s="315"/>
      <c r="AT122" s="315"/>
      <c r="AU122" s="315"/>
      <c r="AV122" s="315"/>
      <c r="AW122" s="315"/>
      <c r="AX122" s="315"/>
      <c r="AY122" s="315"/>
      <c r="AZ122" s="315"/>
      <c r="BA122" s="315"/>
      <c r="BB122" s="315"/>
      <c r="BC122" s="315"/>
      <c r="BD122" s="315"/>
      <c r="BE122" s="315"/>
      <c r="BF122" s="315"/>
      <c r="BG122" s="315"/>
      <c r="BH122" s="315"/>
      <c r="BI122" s="315"/>
      <c r="BJ122" s="315"/>
      <c r="BK122" s="315"/>
      <c r="BL122" s="315"/>
      <c r="BM122" s="315"/>
      <c r="BN122" s="315"/>
      <c r="BO122" s="315"/>
      <c r="BP122" s="315"/>
      <c r="BQ122" s="315"/>
      <c r="BR122" s="315"/>
      <c r="BS122" s="315"/>
      <c r="BT122" s="315"/>
      <c r="BU122" s="315"/>
      <c r="BV122" s="315"/>
      <c r="BW122" s="315"/>
      <c r="BX122" s="315">
        <f>IF(D112&gt;0.25,(BX102-BX115)*D124,BX102*D124)</f>
        <v>2116098.6244800002</v>
      </c>
    </row>
    <row r="123" spans="3:76">
      <c r="C123" s="314" t="s">
        <v>340</v>
      </c>
      <c r="D123" s="323"/>
      <c r="E123" s="315"/>
      <c r="F123" s="315"/>
      <c r="G123" s="315"/>
      <c r="H123" s="315"/>
      <c r="I123" s="315"/>
      <c r="J123" s="315"/>
      <c r="K123" s="315"/>
      <c r="L123" s="315"/>
      <c r="M123" s="315"/>
      <c r="N123" s="315"/>
      <c r="O123" s="315"/>
      <c r="P123" s="315"/>
      <c r="Q123" s="315"/>
      <c r="R123" s="315"/>
      <c r="S123" s="315"/>
      <c r="T123" s="315"/>
      <c r="U123" s="315"/>
      <c r="V123" s="315"/>
      <c r="W123" s="315"/>
      <c r="X123" s="315"/>
      <c r="Y123" s="315"/>
      <c r="Z123" s="315"/>
      <c r="AA123" s="315"/>
      <c r="AB123" s="315"/>
      <c r="AC123" s="315"/>
      <c r="AD123" s="315"/>
      <c r="AE123" s="315"/>
      <c r="AF123" s="315"/>
      <c r="AG123" s="315"/>
      <c r="AH123" s="315"/>
      <c r="AI123" s="315"/>
      <c r="AJ123" s="315"/>
      <c r="AK123" s="315"/>
      <c r="AL123" s="315"/>
      <c r="AM123" s="315"/>
      <c r="AN123" s="315"/>
      <c r="AO123" s="315"/>
      <c r="AP123" s="315"/>
      <c r="AQ123" s="315"/>
      <c r="AR123" s="315"/>
      <c r="AS123" s="315"/>
      <c r="AT123" s="315"/>
      <c r="AU123" s="315"/>
      <c r="AV123" s="315"/>
      <c r="AW123" s="315"/>
      <c r="AX123" s="315"/>
      <c r="AY123" s="315"/>
      <c r="AZ123" s="315"/>
      <c r="BA123" s="315"/>
      <c r="BB123" s="315"/>
      <c r="BC123" s="315"/>
      <c r="BD123" s="315"/>
      <c r="BE123" s="315"/>
      <c r="BF123" s="315"/>
      <c r="BG123" s="315"/>
      <c r="BH123" s="315"/>
      <c r="BI123" s="315"/>
      <c r="BJ123" s="315"/>
      <c r="BK123" s="315"/>
      <c r="BL123" s="315"/>
      <c r="BM123" s="315"/>
      <c r="BN123" s="315"/>
      <c r="BO123" s="315"/>
      <c r="BP123" s="315"/>
      <c r="BQ123" s="315"/>
      <c r="BR123" s="315"/>
      <c r="BS123" s="315"/>
      <c r="BT123" s="315"/>
      <c r="BU123" s="315"/>
      <c r="BV123" s="315"/>
      <c r="BW123" s="315"/>
      <c r="BX123" s="315">
        <f>IF(D112&gt;0.25,BX115,0)</f>
        <v>529024.65612000006</v>
      </c>
    </row>
    <row r="124" spans="3:76">
      <c r="C124" s="317" t="s">
        <v>345</v>
      </c>
      <c r="D124" s="323">
        <v>1</v>
      </c>
      <c r="E124" s="246"/>
      <c r="F124" s="246"/>
      <c r="G124" s="246"/>
      <c r="H124" s="246"/>
      <c r="I124" s="246"/>
      <c r="J124" s="246"/>
      <c r="K124" s="246"/>
      <c r="L124" s="246"/>
      <c r="M124" s="246"/>
      <c r="N124" s="246"/>
      <c r="O124" s="246"/>
      <c r="P124" s="246"/>
      <c r="Q124" s="246"/>
      <c r="R124" s="246"/>
      <c r="S124" s="246"/>
      <c r="T124" s="246"/>
      <c r="U124" s="246"/>
      <c r="V124" s="246"/>
      <c r="W124" s="246"/>
      <c r="X124" s="246"/>
      <c r="Y124" s="246"/>
      <c r="Z124" s="246"/>
      <c r="AA124" s="246"/>
      <c r="AB124" s="246"/>
      <c r="AC124" s="246"/>
      <c r="AD124" s="246"/>
      <c r="AE124" s="246"/>
      <c r="AF124" s="246"/>
      <c r="AG124" s="246"/>
      <c r="AH124" s="246"/>
      <c r="AI124" s="246"/>
      <c r="AJ124" s="246"/>
      <c r="AK124" s="246"/>
      <c r="AL124" s="246"/>
      <c r="AM124" s="246"/>
      <c r="AN124" s="246"/>
      <c r="AO124" s="246"/>
      <c r="AP124" s="246"/>
      <c r="AQ124" s="246"/>
      <c r="AR124" s="246"/>
      <c r="AS124" s="246"/>
      <c r="AT124" s="246"/>
      <c r="AU124" s="246"/>
      <c r="AV124" s="246"/>
      <c r="AW124" s="246"/>
      <c r="AX124" s="246"/>
      <c r="AY124" s="246"/>
      <c r="AZ124" s="246"/>
      <c r="BA124" s="246"/>
      <c r="BB124" s="246"/>
      <c r="BC124" s="324"/>
      <c r="BD124" s="246"/>
      <c r="BE124" s="246"/>
      <c r="BF124" s="246"/>
      <c r="BG124" s="246"/>
      <c r="BH124" s="246"/>
      <c r="BI124" s="246"/>
      <c r="BJ124" s="246"/>
      <c r="BK124" s="246"/>
      <c r="BL124" s="246"/>
      <c r="BM124" s="246"/>
      <c r="BN124" s="246"/>
      <c r="BO124" s="246"/>
      <c r="BP124" s="246"/>
      <c r="BQ124" s="246"/>
      <c r="BR124" s="246"/>
      <c r="BS124" s="246"/>
      <c r="BT124" s="246"/>
      <c r="BU124" s="246"/>
      <c r="BV124" s="246"/>
      <c r="BW124" s="246"/>
      <c r="BX124" s="246"/>
    </row>
    <row r="125" spans="3:76">
      <c r="C125" s="314" t="s">
        <v>346</v>
      </c>
      <c r="D125" s="318"/>
      <c r="E125" s="325">
        <f t="shared" ref="E125:BW125" si="56">E119+E120+E121+E122+E124</f>
        <v>0</v>
      </c>
      <c r="F125" s="325">
        <f t="shared" si="56"/>
        <v>0</v>
      </c>
      <c r="G125" s="325">
        <f t="shared" si="56"/>
        <v>0</v>
      </c>
      <c r="H125" s="325">
        <f t="shared" si="56"/>
        <v>-24698335</v>
      </c>
      <c r="I125" s="325">
        <f t="shared" si="56"/>
        <v>0</v>
      </c>
      <c r="J125" s="325">
        <f t="shared" si="56"/>
        <v>0</v>
      </c>
      <c r="K125" s="325">
        <f t="shared" si="56"/>
        <v>-885000</v>
      </c>
      <c r="L125" s="325">
        <f t="shared" si="56"/>
        <v>-1940000</v>
      </c>
      <c r="M125" s="325">
        <f t="shared" si="56"/>
        <v>-4260000</v>
      </c>
      <c r="N125" s="325">
        <f t="shared" si="56"/>
        <v>0</v>
      </c>
      <c r="O125" s="325">
        <f t="shared" si="56"/>
        <v>-2960840</v>
      </c>
      <c r="P125" s="325">
        <f t="shared" si="56"/>
        <v>-320000</v>
      </c>
      <c r="Q125" s="325">
        <f t="shared" si="56"/>
        <v>0</v>
      </c>
      <c r="R125" s="325">
        <f t="shared" si="56"/>
        <v>-670000</v>
      </c>
      <c r="S125" s="325">
        <f t="shared" si="56"/>
        <v>0</v>
      </c>
      <c r="T125" s="325">
        <f t="shared" si="56"/>
        <v>0</v>
      </c>
      <c r="U125" s="325">
        <f t="shared" si="56"/>
        <v>0</v>
      </c>
      <c r="V125" s="325">
        <f t="shared" si="56"/>
        <v>-3090000</v>
      </c>
      <c r="W125" s="325">
        <f t="shared" si="56"/>
        <v>0</v>
      </c>
      <c r="X125" s="325">
        <f t="shared" si="56"/>
        <v>-1400000</v>
      </c>
      <c r="Y125" s="325">
        <f t="shared" si="56"/>
        <v>0</v>
      </c>
      <c r="Z125" s="325">
        <f t="shared" si="56"/>
        <v>-2000000</v>
      </c>
      <c r="AA125" s="325">
        <f t="shared" si="56"/>
        <v>0</v>
      </c>
      <c r="AB125" s="325">
        <f t="shared" si="56"/>
        <v>63190031.954124689</v>
      </c>
      <c r="AC125" s="325">
        <f t="shared" si="56"/>
        <v>0</v>
      </c>
      <c r="AD125" s="325">
        <f t="shared" si="56"/>
        <v>0</v>
      </c>
      <c r="AE125" s="325">
        <f t="shared" si="56"/>
        <v>0</v>
      </c>
      <c r="AF125" s="325">
        <f t="shared" si="56"/>
        <v>0</v>
      </c>
      <c r="AG125" s="325">
        <f t="shared" si="56"/>
        <v>0</v>
      </c>
      <c r="AH125" s="325">
        <f t="shared" si="56"/>
        <v>0</v>
      </c>
      <c r="AI125" s="325">
        <f t="shared" si="56"/>
        <v>0</v>
      </c>
      <c r="AJ125" s="325">
        <f t="shared" si="56"/>
        <v>0</v>
      </c>
      <c r="AK125" s="325">
        <f t="shared" si="56"/>
        <v>0</v>
      </c>
      <c r="AL125" s="325">
        <f t="shared" si="56"/>
        <v>0</v>
      </c>
      <c r="AM125" s="325">
        <f t="shared" si="56"/>
        <v>0</v>
      </c>
      <c r="AN125" s="325">
        <f t="shared" si="56"/>
        <v>0</v>
      </c>
      <c r="AO125" s="325">
        <f t="shared" si="56"/>
        <v>0</v>
      </c>
      <c r="AP125" s="325">
        <f t="shared" si="56"/>
        <v>0</v>
      </c>
      <c r="AQ125" s="325">
        <f t="shared" si="56"/>
        <v>0</v>
      </c>
      <c r="AR125" s="325">
        <f t="shared" si="56"/>
        <v>0</v>
      </c>
      <c r="AS125" s="325">
        <f t="shared" si="56"/>
        <v>0</v>
      </c>
      <c r="AT125" s="325">
        <f t="shared" si="56"/>
        <v>0</v>
      </c>
      <c r="AU125" s="325">
        <f t="shared" si="56"/>
        <v>0</v>
      </c>
      <c r="AV125" s="325">
        <f t="shared" si="56"/>
        <v>0</v>
      </c>
      <c r="AW125" s="325">
        <f t="shared" si="56"/>
        <v>0</v>
      </c>
      <c r="AX125" s="325">
        <f t="shared" si="56"/>
        <v>0</v>
      </c>
      <c r="AY125" s="325">
        <f t="shared" si="56"/>
        <v>0</v>
      </c>
      <c r="AZ125" s="325">
        <f t="shared" si="56"/>
        <v>0</v>
      </c>
      <c r="BA125" s="325">
        <f t="shared" si="56"/>
        <v>0</v>
      </c>
      <c r="BB125" s="325">
        <f t="shared" si="56"/>
        <v>0</v>
      </c>
      <c r="BC125" s="325">
        <f t="shared" si="56"/>
        <v>0</v>
      </c>
      <c r="BD125" s="325">
        <f t="shared" si="56"/>
        <v>0</v>
      </c>
      <c r="BE125" s="325">
        <f t="shared" si="56"/>
        <v>0</v>
      </c>
      <c r="BF125" s="325">
        <f t="shared" si="56"/>
        <v>0</v>
      </c>
      <c r="BG125" s="325">
        <f t="shared" si="56"/>
        <v>0</v>
      </c>
      <c r="BH125" s="325">
        <f t="shared" si="56"/>
        <v>0</v>
      </c>
      <c r="BI125" s="325">
        <f t="shared" si="56"/>
        <v>0</v>
      </c>
      <c r="BJ125" s="325">
        <f t="shared" si="56"/>
        <v>0</v>
      </c>
      <c r="BK125" s="325">
        <f t="shared" si="56"/>
        <v>0</v>
      </c>
      <c r="BL125" s="325">
        <f t="shared" si="56"/>
        <v>0</v>
      </c>
      <c r="BM125" s="325">
        <f t="shared" si="56"/>
        <v>0</v>
      </c>
      <c r="BN125" s="325">
        <f t="shared" si="56"/>
        <v>0</v>
      </c>
      <c r="BO125" s="325">
        <f t="shared" si="56"/>
        <v>0</v>
      </c>
      <c r="BP125" s="325">
        <f t="shared" si="56"/>
        <v>0</v>
      </c>
      <c r="BQ125" s="325">
        <f t="shared" si="56"/>
        <v>0</v>
      </c>
      <c r="BR125" s="325">
        <f t="shared" si="56"/>
        <v>0</v>
      </c>
      <c r="BS125" s="325">
        <f t="shared" si="56"/>
        <v>0</v>
      </c>
      <c r="BT125" s="325">
        <f t="shared" si="56"/>
        <v>0</v>
      </c>
      <c r="BU125" s="325">
        <f t="shared" si="56"/>
        <v>0</v>
      </c>
      <c r="BV125" s="325">
        <f t="shared" si="56"/>
        <v>0</v>
      </c>
      <c r="BW125" s="325">
        <f t="shared" si="56"/>
        <v>0</v>
      </c>
      <c r="BX125" s="325">
        <f>BX119+BX120+BX121+BX122+BX123+BX124</f>
        <v>2645123.2806000002</v>
      </c>
    </row>
    <row r="126" spans="3:76">
      <c r="C126" s="317" t="s">
        <v>339</v>
      </c>
      <c r="D126" s="326">
        <f>IRR(H125:AF125)*12</f>
        <v>0.2968074558597209</v>
      </c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26"/>
      <c r="W126" s="226"/>
      <c r="X126" s="226"/>
      <c r="Y126" s="226"/>
      <c r="Z126" s="226"/>
      <c r="AA126" s="226"/>
      <c r="AB126" s="226"/>
      <c r="AC126" s="226"/>
      <c r="AD126" s="226"/>
      <c r="AE126" s="226"/>
      <c r="AF126" s="226"/>
      <c r="AG126" s="226"/>
      <c r="AH126" s="226"/>
      <c r="AI126" s="226"/>
      <c r="AJ126" s="226"/>
      <c r="AK126" s="226"/>
      <c r="AL126" s="226"/>
      <c r="AM126" s="226"/>
      <c r="AN126" s="226"/>
      <c r="AO126" s="226"/>
      <c r="AP126" s="226"/>
      <c r="AQ126" s="226"/>
      <c r="AR126" s="226"/>
      <c r="AS126" s="226"/>
      <c r="AT126" s="226"/>
      <c r="AU126" s="226"/>
      <c r="AV126" s="226"/>
      <c r="AW126" s="226"/>
      <c r="AX126" s="226"/>
      <c r="AY126" s="226"/>
      <c r="AZ126" s="226"/>
      <c r="BA126" s="226"/>
      <c r="BB126" s="226"/>
      <c r="BC126" s="226"/>
      <c r="BD126" s="226"/>
      <c r="BE126" s="226"/>
      <c r="BF126" s="226"/>
      <c r="BG126" s="226"/>
      <c r="BH126" s="226"/>
      <c r="BI126" s="226"/>
      <c r="BJ126" s="226"/>
      <c r="BK126" s="226"/>
      <c r="BL126" s="226"/>
      <c r="BM126" s="226"/>
      <c r="BN126" s="226"/>
      <c r="BO126" s="226"/>
      <c r="BP126" s="226"/>
      <c r="BQ126" s="226"/>
      <c r="BR126" s="226"/>
      <c r="BS126" s="226"/>
      <c r="BT126" s="226"/>
      <c r="BU126" s="226"/>
      <c r="BV126" s="226"/>
      <c r="BW126" s="226"/>
      <c r="BX126" s="226"/>
    </row>
    <row r="127" spans="3:76">
      <c r="C127" s="327" t="s">
        <v>347</v>
      </c>
      <c r="D127" s="328">
        <f>SUM(BY5:BY6)</f>
        <v>29850002</v>
      </c>
      <c r="E127" s="226"/>
      <c r="F127" s="226"/>
      <c r="G127" s="226"/>
      <c r="H127" s="226"/>
      <c r="I127" s="226"/>
      <c r="J127" s="226"/>
      <c r="K127" s="226"/>
      <c r="L127" s="22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26"/>
      <c r="X127" s="226"/>
      <c r="Y127" s="226"/>
      <c r="Z127" s="226"/>
      <c r="AA127" s="226"/>
      <c r="AB127" s="226"/>
      <c r="AC127" s="226"/>
      <c r="AD127" s="226"/>
      <c r="AE127" s="226"/>
      <c r="AF127" s="226"/>
      <c r="AG127" s="226"/>
      <c r="AH127" s="226"/>
      <c r="AI127" s="226"/>
      <c r="AJ127" s="226"/>
      <c r="AK127" s="226"/>
      <c r="AL127" s="226"/>
      <c r="AM127" s="226"/>
      <c r="AN127" s="226"/>
      <c r="AO127" s="226"/>
      <c r="AP127" s="226"/>
      <c r="AQ127" s="226"/>
      <c r="AR127" s="226"/>
      <c r="AS127" s="226"/>
      <c r="AT127" s="226"/>
      <c r="AU127" s="226"/>
      <c r="AV127" s="226"/>
      <c r="AW127" s="226"/>
      <c r="AX127" s="226"/>
      <c r="AY127" s="226"/>
      <c r="AZ127" s="226"/>
      <c r="BA127" s="226"/>
      <c r="BB127" s="226"/>
      <c r="BC127" s="226"/>
      <c r="BD127" s="226"/>
      <c r="BE127" s="226"/>
      <c r="BF127" s="226"/>
      <c r="BG127" s="226"/>
      <c r="BH127" s="226"/>
      <c r="BI127" s="226"/>
      <c r="BJ127" s="226"/>
      <c r="BK127" s="226"/>
      <c r="BL127" s="226"/>
      <c r="BM127" s="226"/>
      <c r="BN127" s="226"/>
      <c r="BO127" s="226"/>
      <c r="BP127" s="226"/>
      <c r="BQ127" s="226"/>
      <c r="BR127" s="226"/>
      <c r="BS127" s="226"/>
      <c r="BT127" s="226"/>
      <c r="BU127" s="226"/>
      <c r="BV127" s="226"/>
      <c r="BW127" s="226"/>
      <c r="BX127" s="226"/>
    </row>
    <row r="128" spans="3:76">
      <c r="C128" s="327" t="s">
        <v>348</v>
      </c>
      <c r="D128" s="328">
        <f>-SUM(E120:BM120)</f>
        <v>12374173</v>
      </c>
      <c r="E128" s="226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  <c r="P128" s="226"/>
      <c r="Q128" s="226"/>
      <c r="R128" s="226"/>
      <c r="S128" s="226"/>
      <c r="T128" s="226"/>
      <c r="U128" s="226"/>
      <c r="V128" s="226"/>
      <c r="W128" s="226"/>
      <c r="X128" s="226"/>
      <c r="Y128" s="226"/>
      <c r="Z128" s="226"/>
      <c r="AA128" s="226"/>
      <c r="AB128" s="226">
        <f>AB122+H120+H122</f>
        <v>8641694.9541246928</v>
      </c>
      <c r="AC128" s="226"/>
      <c r="AD128" s="226"/>
      <c r="AE128" s="226"/>
      <c r="AF128" s="226"/>
      <c r="AG128" s="226"/>
      <c r="AH128" s="226"/>
      <c r="AI128" s="226"/>
      <c r="AJ128" s="226"/>
      <c r="AK128" s="226"/>
      <c r="AL128" s="226"/>
      <c r="AM128" s="226"/>
      <c r="AN128" s="226"/>
      <c r="AO128" s="226"/>
      <c r="AP128" s="226"/>
      <c r="AQ128" s="226"/>
      <c r="AR128" s="226"/>
      <c r="AS128" s="226"/>
      <c r="AT128" s="226"/>
      <c r="AU128" s="226"/>
      <c r="AV128" s="226"/>
      <c r="AW128" s="226"/>
      <c r="AX128" s="226"/>
      <c r="AY128" s="226"/>
      <c r="AZ128" s="226"/>
      <c r="BA128" s="226"/>
      <c r="BB128" s="226"/>
      <c r="BC128" s="226"/>
      <c r="BD128" s="226"/>
      <c r="BE128" s="226"/>
      <c r="BF128" s="226"/>
      <c r="BG128" s="226"/>
      <c r="BH128" s="226"/>
      <c r="BI128" s="226"/>
      <c r="BJ128" s="226"/>
      <c r="BK128" s="226"/>
      <c r="BL128" s="226"/>
      <c r="BM128" s="226"/>
      <c r="BN128" s="226"/>
      <c r="BO128" s="226"/>
      <c r="BP128" s="226"/>
      <c r="BQ128" s="226"/>
      <c r="BR128" s="226"/>
      <c r="BS128" s="226"/>
      <c r="BT128" s="226"/>
      <c r="BU128" s="226"/>
      <c r="BV128" s="226"/>
      <c r="BW128" s="226"/>
      <c r="BX128" s="226"/>
    </row>
    <row r="129" spans="3:76">
      <c r="C129" s="317" t="s">
        <v>349</v>
      </c>
      <c r="D129" s="329">
        <f>D127+D128</f>
        <v>42224175</v>
      </c>
      <c r="E129" s="226"/>
      <c r="F129" s="226"/>
      <c r="G129" s="226"/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784"/>
      <c r="T129" s="772"/>
      <c r="U129" s="226"/>
      <c r="V129" s="226"/>
      <c r="W129" s="226"/>
      <c r="X129" s="226"/>
      <c r="Y129" s="226"/>
      <c r="Z129" s="226"/>
      <c r="AA129" s="226"/>
      <c r="AB129" s="226"/>
      <c r="AC129" s="226"/>
      <c r="AD129" s="226"/>
      <c r="AE129" s="226"/>
      <c r="AF129" s="226"/>
      <c r="AG129" s="226"/>
      <c r="AH129" s="226"/>
      <c r="AI129" s="226"/>
      <c r="AJ129" s="226"/>
      <c r="AK129" s="226"/>
      <c r="AL129" s="226"/>
      <c r="AM129" s="226"/>
      <c r="AN129" s="226"/>
      <c r="AO129" s="226"/>
      <c r="AP129" s="226"/>
      <c r="AQ129" s="226"/>
      <c r="AR129" s="226"/>
      <c r="AS129" s="226"/>
      <c r="AT129" s="226"/>
      <c r="AU129" s="226"/>
      <c r="AV129" s="226"/>
      <c r="AW129" s="226"/>
      <c r="AX129" s="226"/>
      <c r="AY129" s="226"/>
      <c r="AZ129" s="226"/>
      <c r="BA129" s="226"/>
      <c r="BB129" s="226"/>
      <c r="BC129" s="226"/>
      <c r="BD129" s="226"/>
      <c r="BE129" s="226"/>
      <c r="BF129" s="226"/>
      <c r="BG129" s="226"/>
      <c r="BH129" s="226"/>
      <c r="BI129" s="226"/>
      <c r="BJ129" s="226"/>
      <c r="BK129" s="226"/>
      <c r="BL129" s="226"/>
      <c r="BM129" s="226"/>
      <c r="BN129" s="226"/>
      <c r="BO129" s="226"/>
      <c r="BP129" s="226"/>
      <c r="BQ129" s="226"/>
      <c r="BR129" s="226"/>
      <c r="BS129" s="226"/>
      <c r="BT129" s="226"/>
      <c r="BU129" s="226"/>
      <c r="BV129" s="226"/>
      <c r="BW129" s="226"/>
      <c r="BX129" s="226"/>
    </row>
    <row r="130" spans="3:76">
      <c r="C130" s="317" t="s">
        <v>350</v>
      </c>
      <c r="D130" s="329">
        <f>AB121+AB122-D128</f>
        <v>20965856.954124693</v>
      </c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26"/>
      <c r="S130" s="784"/>
      <c r="T130" s="772"/>
      <c r="U130" s="226"/>
      <c r="V130" s="226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26"/>
      <c r="AG130" s="226"/>
      <c r="AH130" s="226"/>
      <c r="AI130" s="226"/>
      <c r="AJ130" s="226"/>
      <c r="AK130" s="226"/>
      <c r="AL130" s="226"/>
      <c r="AM130" s="226"/>
      <c r="AN130" s="226"/>
      <c r="AO130" s="226"/>
      <c r="AP130" s="226"/>
      <c r="AQ130" s="226"/>
      <c r="AR130" s="226"/>
      <c r="AS130" s="226"/>
      <c r="AT130" s="226"/>
      <c r="AU130" s="226"/>
      <c r="AV130" s="226"/>
      <c r="AW130" s="226"/>
      <c r="AX130" s="226"/>
      <c r="AY130" s="226"/>
      <c r="AZ130" s="226"/>
      <c r="BA130" s="226"/>
      <c r="BB130" s="226"/>
      <c r="BC130" s="226"/>
      <c r="BD130" s="226"/>
      <c r="BE130" s="226"/>
      <c r="BF130" s="226"/>
      <c r="BG130" s="226"/>
      <c r="BH130" s="226"/>
      <c r="BI130" s="226"/>
      <c r="BJ130" s="226"/>
      <c r="BK130" s="226"/>
      <c r="BL130" s="226"/>
      <c r="BM130" s="226"/>
      <c r="BN130" s="226"/>
      <c r="BO130" s="226"/>
      <c r="BP130" s="226"/>
      <c r="BQ130" s="226"/>
      <c r="BR130" s="226"/>
      <c r="BS130" s="226"/>
      <c r="BT130" s="226"/>
      <c r="BU130" s="226"/>
      <c r="BV130" s="226"/>
      <c r="BW130" s="226"/>
      <c r="BX130" s="226"/>
    </row>
    <row r="131" spans="3:76">
      <c r="C131" s="317" t="s">
        <v>351</v>
      </c>
      <c r="D131" s="326">
        <f>(D130-D128)/D129</f>
        <v>0.20347784069492639</v>
      </c>
      <c r="E131" s="226"/>
      <c r="F131" s="242"/>
      <c r="G131" s="226"/>
      <c r="H131" s="226"/>
      <c r="I131" s="226"/>
      <c r="J131" s="226"/>
      <c r="K131" s="226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6"/>
      <c r="AA131" s="226"/>
      <c r="AB131" s="226"/>
      <c r="AC131" s="226"/>
      <c r="AD131" s="226"/>
      <c r="AE131" s="226"/>
      <c r="AF131" s="226"/>
      <c r="AG131" s="226"/>
      <c r="AH131" s="226"/>
      <c r="AI131" s="226"/>
      <c r="AJ131" s="226"/>
      <c r="AK131" s="226"/>
      <c r="AL131" s="226"/>
      <c r="AM131" s="226"/>
      <c r="AN131" s="226"/>
      <c r="AO131" s="226"/>
      <c r="AP131" s="226"/>
      <c r="AQ131" s="226"/>
      <c r="AR131" s="226"/>
      <c r="AS131" s="226"/>
      <c r="AT131" s="226"/>
      <c r="AU131" s="226"/>
      <c r="AV131" s="226"/>
      <c r="AW131" s="226"/>
      <c r="AX131" s="226"/>
      <c r="AY131" s="226"/>
      <c r="AZ131" s="226"/>
      <c r="BA131" s="226"/>
      <c r="BB131" s="226"/>
      <c r="BC131" s="226"/>
      <c r="BD131" s="226"/>
      <c r="BE131" s="226"/>
      <c r="BF131" s="226"/>
      <c r="BG131" s="226"/>
      <c r="BH131" s="226"/>
      <c r="BI131" s="226"/>
      <c r="BJ131" s="226"/>
      <c r="BK131" s="226"/>
      <c r="BL131" s="226"/>
      <c r="BM131" s="226"/>
      <c r="BN131" s="226"/>
      <c r="BO131" s="226"/>
      <c r="BP131" s="226"/>
      <c r="BQ131" s="226"/>
      <c r="BR131" s="226"/>
      <c r="BS131" s="226"/>
      <c r="BT131" s="226"/>
      <c r="BU131" s="226"/>
      <c r="BV131" s="226"/>
      <c r="BW131" s="226"/>
      <c r="BX131" s="226"/>
    </row>
    <row r="132" spans="3:76">
      <c r="E132" s="226"/>
      <c r="F132" s="226"/>
      <c r="G132" s="226"/>
      <c r="H132" s="226"/>
      <c r="I132" s="226"/>
      <c r="J132" s="226"/>
      <c r="K132" s="226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42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26"/>
      <c r="AG132" s="226"/>
      <c r="AH132" s="226"/>
      <c r="AI132" s="226"/>
      <c r="AJ132" s="226"/>
      <c r="AK132" s="226"/>
      <c r="AL132" s="226"/>
      <c r="AM132" s="226"/>
      <c r="AN132" s="226"/>
      <c r="AO132" s="226"/>
      <c r="AP132" s="226"/>
      <c r="AQ132" s="226"/>
      <c r="AR132" s="226"/>
      <c r="AS132" s="226"/>
      <c r="AT132" s="226"/>
      <c r="AU132" s="226"/>
      <c r="AV132" s="226"/>
      <c r="AW132" s="226"/>
      <c r="AX132" s="226"/>
      <c r="AY132" s="226"/>
      <c r="AZ132" s="226"/>
      <c r="BA132" s="226"/>
      <c r="BB132" s="226"/>
      <c r="BC132" s="226"/>
      <c r="BD132" s="226"/>
      <c r="BE132" s="226"/>
      <c r="BF132" s="226"/>
      <c r="BG132" s="226"/>
      <c r="BH132" s="226"/>
      <c r="BI132" s="226"/>
      <c r="BJ132" s="226"/>
      <c r="BK132" s="226"/>
      <c r="BL132" s="226"/>
      <c r="BM132" s="226"/>
      <c r="BN132" s="226"/>
      <c r="BO132" s="226"/>
      <c r="BP132" s="226"/>
      <c r="BQ132" s="226"/>
      <c r="BR132" s="226"/>
      <c r="BS132" s="226"/>
      <c r="BT132" s="226"/>
      <c r="BU132" s="226"/>
      <c r="BV132" s="226"/>
      <c r="BW132" s="226"/>
      <c r="BX132" s="226"/>
    </row>
    <row r="133" spans="3:76">
      <c r="E133" s="226"/>
      <c r="F133" s="226"/>
      <c r="G133" s="226"/>
      <c r="H133" s="226"/>
      <c r="I133" s="226"/>
      <c r="J133" s="226"/>
      <c r="K133" s="226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6"/>
      <c r="AA133" s="226"/>
      <c r="AB133" s="226"/>
      <c r="AC133" s="226"/>
      <c r="AD133" s="226"/>
      <c r="AE133" s="226"/>
      <c r="AF133" s="226"/>
      <c r="AG133" s="226"/>
      <c r="AH133" s="226"/>
      <c r="AI133" s="226"/>
      <c r="AJ133" s="226"/>
      <c r="AK133" s="226"/>
      <c r="AL133" s="226"/>
      <c r="AM133" s="226"/>
      <c r="AN133" s="226"/>
      <c r="AO133" s="226"/>
      <c r="AP133" s="226"/>
      <c r="AQ133" s="226"/>
      <c r="AR133" s="226"/>
      <c r="AS133" s="226"/>
      <c r="AT133" s="226"/>
      <c r="AU133" s="226"/>
      <c r="AV133" s="226"/>
      <c r="AW133" s="226"/>
      <c r="AX133" s="226"/>
      <c r="AY133" s="226"/>
      <c r="AZ133" s="226"/>
      <c r="BA133" s="226"/>
      <c r="BB133" s="226"/>
      <c r="BC133" s="226"/>
      <c r="BD133" s="226"/>
      <c r="BE133" s="226"/>
      <c r="BF133" s="226"/>
      <c r="BG133" s="226"/>
      <c r="BH133" s="226"/>
      <c r="BI133" s="226"/>
      <c r="BJ133" s="226"/>
      <c r="BK133" s="226"/>
      <c r="BL133" s="226"/>
      <c r="BM133" s="226"/>
      <c r="BN133" s="226"/>
      <c r="BO133" s="226"/>
      <c r="BP133" s="226"/>
      <c r="BQ133" s="226"/>
      <c r="BR133" s="226"/>
      <c r="BS133" s="226"/>
      <c r="BT133" s="226"/>
      <c r="BU133" s="226"/>
      <c r="BV133" s="226"/>
      <c r="BW133" s="226"/>
      <c r="BX133" s="226"/>
    </row>
    <row r="134" spans="3:76" hidden="1">
      <c r="E134" s="226"/>
      <c r="F134" s="226"/>
      <c r="G134" s="226"/>
      <c r="H134" s="226">
        <f t="shared" ref="H134:Z134" si="57">-SUM(H5:H6)</f>
        <v>-16365002</v>
      </c>
      <c r="I134" s="226">
        <f t="shared" si="57"/>
        <v>0</v>
      </c>
      <c r="J134" s="226">
        <f t="shared" si="57"/>
        <v>0</v>
      </c>
      <c r="K134" s="226">
        <f t="shared" si="57"/>
        <v>-885000</v>
      </c>
      <c r="L134" s="226">
        <f t="shared" si="57"/>
        <v>-1940000</v>
      </c>
      <c r="M134" s="226">
        <f t="shared" si="57"/>
        <v>-4260000</v>
      </c>
      <c r="N134" s="226">
        <f t="shared" si="57"/>
        <v>0</v>
      </c>
      <c r="O134" s="226">
        <f t="shared" si="57"/>
        <v>-320000</v>
      </c>
      <c r="P134" s="226">
        <f t="shared" si="57"/>
        <v>-320000</v>
      </c>
      <c r="Q134" s="226">
        <f t="shared" si="57"/>
        <v>0</v>
      </c>
      <c r="R134" s="226">
        <f t="shared" si="57"/>
        <v>-670000</v>
      </c>
      <c r="S134" s="226">
        <f t="shared" si="57"/>
        <v>0</v>
      </c>
      <c r="T134" s="226">
        <f t="shared" si="57"/>
        <v>0</v>
      </c>
      <c r="U134" s="226">
        <f t="shared" si="57"/>
        <v>0</v>
      </c>
      <c r="V134" s="226">
        <f t="shared" si="57"/>
        <v>-3090000</v>
      </c>
      <c r="W134" s="226">
        <f t="shared" si="57"/>
        <v>0</v>
      </c>
      <c r="X134" s="226">
        <f t="shared" si="57"/>
        <v>0</v>
      </c>
      <c r="Y134" s="226">
        <f t="shared" si="57"/>
        <v>0</v>
      </c>
      <c r="Z134" s="226">
        <f t="shared" si="57"/>
        <v>-2000000</v>
      </c>
      <c r="AA134" s="226"/>
      <c r="AB134" s="226">
        <f>AA134+SUM(H134:Z134)</f>
        <v>-29850002</v>
      </c>
      <c r="AC134" s="242">
        <f>AB134/-SUM(H134:Z134)</f>
        <v>-1</v>
      </c>
      <c r="AD134" s="226"/>
      <c r="AE134" s="226"/>
      <c r="AF134" s="226"/>
      <c r="AG134" s="226"/>
      <c r="AH134" s="226"/>
      <c r="AI134" s="226"/>
      <c r="AJ134" s="226"/>
      <c r="AK134" s="226"/>
      <c r="AL134" s="226"/>
      <c r="AM134" s="226"/>
      <c r="AN134" s="226"/>
      <c r="AO134" s="242">
        <f>AC134/20*12</f>
        <v>-0.60000000000000009</v>
      </c>
      <c r="AP134" s="226"/>
      <c r="AQ134" s="226"/>
      <c r="AR134" s="226"/>
      <c r="AS134" s="226"/>
      <c r="AT134" s="226"/>
      <c r="AU134" s="226"/>
      <c r="AV134" s="226"/>
      <c r="AW134" s="226"/>
      <c r="AX134" s="226"/>
      <c r="AY134" s="226"/>
      <c r="AZ134" s="226"/>
      <c r="BA134" s="226"/>
      <c r="BB134" s="226"/>
      <c r="BC134" s="226"/>
      <c r="BD134" s="226"/>
      <c r="BE134" s="226"/>
      <c r="BF134" s="226"/>
      <c r="BG134" s="226"/>
      <c r="BH134" s="226"/>
      <c r="BI134" s="226"/>
      <c r="BJ134" s="226"/>
      <c r="BK134" s="226"/>
      <c r="BL134" s="226"/>
      <c r="BM134" s="226"/>
      <c r="BN134" s="226"/>
      <c r="BO134" s="226"/>
      <c r="BP134" s="226"/>
      <c r="BQ134" s="226"/>
      <c r="BR134" s="226"/>
      <c r="BS134" s="226"/>
      <c r="BT134" s="226"/>
      <c r="BU134" s="226"/>
      <c r="BV134" s="226"/>
      <c r="BW134" s="226"/>
      <c r="BX134" s="226"/>
    </row>
    <row r="135" spans="3:76" hidden="1">
      <c r="E135" s="226"/>
      <c r="F135" s="226"/>
      <c r="G135" s="242" t="e">
        <f>IRR(H134:AA134)*12</f>
        <v>#NUM!</v>
      </c>
      <c r="H135" s="226"/>
      <c r="I135" s="226"/>
      <c r="J135" s="226"/>
      <c r="K135" s="226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226"/>
      <c r="AB135" s="226"/>
      <c r="AC135" s="226"/>
      <c r="AD135" s="226"/>
      <c r="AE135" s="226"/>
      <c r="AF135" s="226"/>
      <c r="AG135" s="226"/>
      <c r="AH135" s="226"/>
      <c r="AI135" s="226"/>
      <c r="AJ135" s="226"/>
      <c r="AK135" s="226"/>
      <c r="AL135" s="226"/>
      <c r="AM135" s="226"/>
      <c r="AN135" s="226"/>
      <c r="AO135" s="226"/>
      <c r="AP135" s="226"/>
      <c r="AQ135" s="226"/>
      <c r="AR135" s="226"/>
      <c r="AS135" s="226"/>
      <c r="AT135" s="226"/>
      <c r="AU135" s="226"/>
      <c r="AV135" s="226"/>
      <c r="AW135" s="226"/>
      <c r="AX135" s="226"/>
      <c r="AY135" s="226"/>
      <c r="AZ135" s="226"/>
      <c r="BA135" s="226"/>
      <c r="BB135" s="226"/>
      <c r="BC135" s="226"/>
      <c r="BD135" s="226"/>
      <c r="BE135" s="226"/>
      <c r="BF135" s="226"/>
      <c r="BG135" s="226"/>
      <c r="BH135" s="226"/>
      <c r="BI135" s="226"/>
      <c r="BJ135" s="226"/>
      <c r="BK135" s="226"/>
      <c r="BL135" s="226"/>
      <c r="BM135" s="226"/>
      <c r="BN135" s="226"/>
      <c r="BO135" s="226"/>
      <c r="BP135" s="226"/>
      <c r="BQ135" s="226"/>
      <c r="BR135" s="226"/>
      <c r="BS135" s="226"/>
      <c r="BT135" s="226"/>
      <c r="BU135" s="226"/>
      <c r="BV135" s="226"/>
      <c r="BW135" s="226"/>
      <c r="BX135" s="226"/>
    </row>
    <row r="136" spans="3:76" hidden="1">
      <c r="E136" s="226"/>
      <c r="F136" s="226"/>
      <c r="G136" s="226"/>
      <c r="H136" s="226"/>
      <c r="I136" s="226"/>
      <c r="J136" s="226"/>
      <c r="K136" s="226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6"/>
      <c r="AA136" s="226"/>
      <c r="AB136" s="226"/>
      <c r="AC136" s="226"/>
      <c r="AD136" s="226"/>
      <c r="AE136" s="226"/>
      <c r="AF136" s="226"/>
      <c r="AG136" s="226"/>
      <c r="AH136" s="226"/>
      <c r="AI136" s="226"/>
      <c r="AJ136" s="226"/>
      <c r="AK136" s="226"/>
      <c r="AL136" s="226"/>
      <c r="AM136" s="226"/>
      <c r="AN136" s="226"/>
      <c r="AO136" s="226"/>
      <c r="AP136" s="226"/>
      <c r="AQ136" s="226"/>
      <c r="AR136" s="226"/>
      <c r="AS136" s="226"/>
      <c r="AT136" s="226"/>
      <c r="AU136" s="226"/>
      <c r="AV136" s="226"/>
      <c r="AW136" s="226"/>
      <c r="AX136" s="226"/>
      <c r="AY136" s="226"/>
      <c r="AZ136" s="226"/>
      <c r="BA136" s="226"/>
      <c r="BB136" s="226"/>
      <c r="BC136" s="226"/>
      <c r="BD136" s="226"/>
      <c r="BE136" s="226"/>
      <c r="BF136" s="226"/>
      <c r="BG136" s="226"/>
      <c r="BH136" s="226"/>
      <c r="BI136" s="226"/>
      <c r="BJ136" s="226"/>
      <c r="BK136" s="226"/>
      <c r="BL136" s="226"/>
      <c r="BM136" s="226"/>
      <c r="BN136" s="226"/>
      <c r="BO136" s="226"/>
      <c r="BP136" s="226"/>
      <c r="BQ136" s="226"/>
      <c r="BR136" s="226"/>
      <c r="BS136" s="226"/>
      <c r="BT136" s="226"/>
      <c r="BU136" s="226"/>
      <c r="BV136" s="226"/>
      <c r="BW136" s="226"/>
      <c r="BX136" s="226"/>
    </row>
    <row r="137" spans="3:76" hidden="1">
      <c r="C137" s="314" t="s">
        <v>352</v>
      </c>
      <c r="D137" s="315"/>
      <c r="E137" s="315">
        <f t="shared" ref="E137:Z137" si="58">-(E6+E93)</f>
        <v>0</v>
      </c>
      <c r="F137" s="315">
        <f t="shared" si="58"/>
        <v>0</v>
      </c>
      <c r="G137" s="315">
        <f t="shared" si="58"/>
        <v>0</v>
      </c>
      <c r="H137" s="315">
        <f t="shared" si="58"/>
        <v>0</v>
      </c>
      <c r="I137" s="315">
        <f t="shared" si="58"/>
        <v>0</v>
      </c>
      <c r="J137" s="315">
        <f t="shared" si="58"/>
        <v>0</v>
      </c>
      <c r="K137" s="315">
        <f t="shared" si="58"/>
        <v>-885000</v>
      </c>
      <c r="L137" s="315">
        <f t="shared" si="58"/>
        <v>-1940000</v>
      </c>
      <c r="M137" s="315">
        <f t="shared" si="58"/>
        <v>-4260000</v>
      </c>
      <c r="N137" s="315">
        <f t="shared" si="58"/>
        <v>0</v>
      </c>
      <c r="O137" s="315">
        <f t="shared" si="58"/>
        <v>-320000</v>
      </c>
      <c r="P137" s="315">
        <f t="shared" si="58"/>
        <v>-320000</v>
      </c>
      <c r="Q137" s="315">
        <f t="shared" si="58"/>
        <v>0</v>
      </c>
      <c r="R137" s="315">
        <f t="shared" si="58"/>
        <v>-670000</v>
      </c>
      <c r="S137" s="315">
        <f t="shared" si="58"/>
        <v>0</v>
      </c>
      <c r="T137" s="315">
        <f t="shared" si="58"/>
        <v>0</v>
      </c>
      <c r="U137" s="315">
        <f t="shared" si="58"/>
        <v>0</v>
      </c>
      <c r="V137" s="315">
        <f t="shared" si="58"/>
        <v>-3090000</v>
      </c>
      <c r="W137" s="315">
        <f t="shared" si="58"/>
        <v>0</v>
      </c>
      <c r="X137" s="315">
        <f t="shared" si="58"/>
        <v>0</v>
      </c>
      <c r="Y137" s="315">
        <f t="shared" si="58"/>
        <v>0</v>
      </c>
      <c r="Z137" s="315">
        <f t="shared" si="58"/>
        <v>-2000000</v>
      </c>
      <c r="AA137" s="315"/>
      <c r="AB137" s="315">
        <f t="shared" ref="AB137:AE137" si="59">-(AB6+AB93)</f>
        <v>13485000</v>
      </c>
      <c r="AC137" s="315">
        <f t="shared" si="59"/>
        <v>0</v>
      </c>
      <c r="AD137" s="315">
        <f t="shared" si="59"/>
        <v>0</v>
      </c>
      <c r="AE137" s="315">
        <f t="shared" si="59"/>
        <v>0</v>
      </c>
      <c r="AF137" s="315"/>
      <c r="AG137" s="315"/>
      <c r="AH137" s="315"/>
      <c r="AI137" s="315"/>
      <c r="AJ137" s="315"/>
      <c r="AK137" s="315">
        <f t="shared" ref="AK137:BX137" si="60">-(AK6+AK93)</f>
        <v>0</v>
      </c>
      <c r="AL137" s="315">
        <f t="shared" si="60"/>
        <v>0</v>
      </c>
      <c r="AM137" s="315">
        <f t="shared" si="60"/>
        <v>0</v>
      </c>
      <c r="AN137" s="315">
        <f t="shared" si="60"/>
        <v>0</v>
      </c>
      <c r="AO137" s="315">
        <f t="shared" si="60"/>
        <v>0</v>
      </c>
      <c r="AP137" s="315">
        <f t="shared" si="60"/>
        <v>0</v>
      </c>
      <c r="AQ137" s="315">
        <f t="shared" si="60"/>
        <v>0</v>
      </c>
      <c r="AR137" s="315">
        <f t="shared" si="60"/>
        <v>0</v>
      </c>
      <c r="AS137" s="315">
        <f t="shared" si="60"/>
        <v>0</v>
      </c>
      <c r="AT137" s="315">
        <f t="shared" si="60"/>
        <v>0</v>
      </c>
      <c r="AU137" s="315">
        <f t="shared" si="60"/>
        <v>0</v>
      </c>
      <c r="AV137" s="315">
        <f t="shared" si="60"/>
        <v>0</v>
      </c>
      <c r="AW137" s="315">
        <f t="shared" si="60"/>
        <v>0</v>
      </c>
      <c r="AX137" s="315">
        <f t="shared" si="60"/>
        <v>0</v>
      </c>
      <c r="AY137" s="315">
        <f t="shared" si="60"/>
        <v>0</v>
      </c>
      <c r="AZ137" s="315">
        <f t="shared" si="60"/>
        <v>0</v>
      </c>
      <c r="BA137" s="315">
        <f t="shared" si="60"/>
        <v>0</v>
      </c>
      <c r="BB137" s="315">
        <f t="shared" si="60"/>
        <v>0</v>
      </c>
      <c r="BC137" s="315">
        <f t="shared" si="60"/>
        <v>0</v>
      </c>
      <c r="BD137" s="315">
        <f t="shared" si="60"/>
        <v>0</v>
      </c>
      <c r="BE137" s="315">
        <f t="shared" si="60"/>
        <v>0</v>
      </c>
      <c r="BF137" s="315">
        <f t="shared" si="60"/>
        <v>0</v>
      </c>
      <c r="BG137" s="315">
        <f t="shared" si="60"/>
        <v>0</v>
      </c>
      <c r="BH137" s="315">
        <f t="shared" si="60"/>
        <v>0</v>
      </c>
      <c r="BI137" s="315">
        <f t="shared" si="60"/>
        <v>0</v>
      </c>
      <c r="BJ137" s="315">
        <f t="shared" si="60"/>
        <v>0</v>
      </c>
      <c r="BK137" s="315">
        <f t="shared" si="60"/>
        <v>0</v>
      </c>
      <c r="BL137" s="315">
        <f t="shared" si="60"/>
        <v>0</v>
      </c>
      <c r="BM137" s="315">
        <f t="shared" si="60"/>
        <v>0</v>
      </c>
      <c r="BN137" s="315">
        <f t="shared" si="60"/>
        <v>0</v>
      </c>
      <c r="BO137" s="315">
        <f t="shared" si="60"/>
        <v>0</v>
      </c>
      <c r="BP137" s="315">
        <f t="shared" si="60"/>
        <v>0</v>
      </c>
      <c r="BQ137" s="315">
        <f t="shared" si="60"/>
        <v>0</v>
      </c>
      <c r="BR137" s="315">
        <f t="shared" si="60"/>
        <v>0</v>
      </c>
      <c r="BS137" s="315">
        <f t="shared" si="60"/>
        <v>0</v>
      </c>
      <c r="BT137" s="315">
        <f t="shared" si="60"/>
        <v>0</v>
      </c>
      <c r="BU137" s="315">
        <f t="shared" si="60"/>
        <v>0</v>
      </c>
      <c r="BV137" s="315">
        <f t="shared" si="60"/>
        <v>0</v>
      </c>
      <c r="BW137" s="315">
        <f t="shared" si="60"/>
        <v>0</v>
      </c>
      <c r="BX137" s="315">
        <f t="shared" si="60"/>
        <v>0</v>
      </c>
    </row>
    <row r="138" spans="3:76" hidden="1">
      <c r="C138" s="314" t="s">
        <v>353</v>
      </c>
      <c r="D138" s="323"/>
      <c r="E138" s="315"/>
      <c r="F138" s="315"/>
      <c r="G138" s="315"/>
      <c r="H138" s="315"/>
      <c r="I138" s="315"/>
      <c r="J138" s="315"/>
      <c r="K138" s="315"/>
      <c r="L138" s="315"/>
      <c r="M138" s="315"/>
      <c r="N138" s="315"/>
      <c r="O138" s="315"/>
      <c r="P138" s="315"/>
      <c r="Q138" s="315"/>
      <c r="R138" s="315"/>
      <c r="S138" s="315"/>
      <c r="T138" s="315"/>
      <c r="U138" s="315"/>
      <c r="V138" s="315"/>
      <c r="W138" s="315"/>
      <c r="X138" s="315"/>
      <c r="Y138" s="315"/>
      <c r="Z138" s="315"/>
      <c r="AA138" s="315"/>
      <c r="AB138" s="315"/>
      <c r="AC138" s="315"/>
      <c r="AD138" s="315"/>
      <c r="AE138" s="315"/>
      <c r="AF138" s="315"/>
      <c r="AG138" s="315"/>
      <c r="AH138" s="315"/>
      <c r="AI138" s="315"/>
      <c r="AJ138" s="315"/>
      <c r="AK138" s="315"/>
      <c r="AL138" s="315"/>
      <c r="AM138" s="315"/>
      <c r="AN138" s="315"/>
      <c r="AO138" s="315"/>
      <c r="AP138" s="315"/>
      <c r="AQ138" s="315"/>
      <c r="AR138" s="315"/>
      <c r="AS138" s="315"/>
      <c r="AT138" s="315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</row>
    <row r="139" spans="3:76" hidden="1">
      <c r="C139" s="314" t="s">
        <v>343</v>
      </c>
      <c r="D139" s="323"/>
      <c r="E139" s="315">
        <f t="shared" ref="E139:Z139" si="61">-E58</f>
        <v>0</v>
      </c>
      <c r="F139" s="315">
        <f t="shared" si="61"/>
        <v>0</v>
      </c>
      <c r="G139" s="315">
        <f t="shared" si="61"/>
        <v>0</v>
      </c>
      <c r="H139" s="315">
        <f t="shared" si="61"/>
        <v>0</v>
      </c>
      <c r="I139" s="315">
        <f t="shared" si="61"/>
        <v>0</v>
      </c>
      <c r="J139" s="315">
        <f t="shared" si="61"/>
        <v>0</v>
      </c>
      <c r="K139" s="315">
        <f t="shared" si="61"/>
        <v>0</v>
      </c>
      <c r="L139" s="315">
        <f t="shared" si="61"/>
        <v>0</v>
      </c>
      <c r="M139" s="315">
        <f t="shared" si="61"/>
        <v>0</v>
      </c>
      <c r="N139" s="315">
        <f t="shared" si="61"/>
        <v>0</v>
      </c>
      <c r="O139" s="315">
        <f t="shared" si="61"/>
        <v>0</v>
      </c>
      <c r="P139" s="315">
        <f t="shared" si="61"/>
        <v>0</v>
      </c>
      <c r="Q139" s="315">
        <f t="shared" si="61"/>
        <v>0</v>
      </c>
      <c r="R139" s="315">
        <f t="shared" si="61"/>
        <v>0</v>
      </c>
      <c r="S139" s="315">
        <f t="shared" si="61"/>
        <v>0</v>
      </c>
      <c r="T139" s="315">
        <f t="shared" si="61"/>
        <v>0</v>
      </c>
      <c r="U139" s="315">
        <f t="shared" si="61"/>
        <v>0</v>
      </c>
      <c r="V139" s="315">
        <f t="shared" si="61"/>
        <v>0</v>
      </c>
      <c r="W139" s="315">
        <f t="shared" si="61"/>
        <v>0</v>
      </c>
      <c r="X139" s="315">
        <f t="shared" si="61"/>
        <v>0</v>
      </c>
      <c r="Y139" s="315">
        <f t="shared" si="61"/>
        <v>0</v>
      </c>
      <c r="Z139" s="315">
        <f t="shared" si="61"/>
        <v>0</v>
      </c>
      <c r="AA139" s="315"/>
      <c r="AB139" s="315">
        <f t="shared" ref="AB139:AE139" si="62">-AB58</f>
        <v>1417258.333333333</v>
      </c>
      <c r="AC139" s="315">
        <f t="shared" si="62"/>
        <v>0</v>
      </c>
      <c r="AD139" s="315">
        <f t="shared" si="62"/>
        <v>0</v>
      </c>
      <c r="AE139" s="315">
        <f t="shared" si="62"/>
        <v>0</v>
      </c>
      <c r="AF139" s="315"/>
      <c r="AG139" s="315"/>
      <c r="AH139" s="315"/>
      <c r="AI139" s="315"/>
      <c r="AJ139" s="315"/>
      <c r="AK139" s="315">
        <f t="shared" ref="AK139:BX139" si="63">-AK58</f>
        <v>0</v>
      </c>
      <c r="AL139" s="315">
        <f t="shared" si="63"/>
        <v>0</v>
      </c>
      <c r="AM139" s="315">
        <f t="shared" si="63"/>
        <v>0</v>
      </c>
      <c r="AN139" s="315">
        <f t="shared" si="63"/>
        <v>0</v>
      </c>
      <c r="AO139" s="315">
        <f t="shared" si="63"/>
        <v>0</v>
      </c>
      <c r="AP139" s="315">
        <f t="shared" si="63"/>
        <v>0</v>
      </c>
      <c r="AQ139" s="315">
        <f t="shared" si="63"/>
        <v>0</v>
      </c>
      <c r="AR139" s="315">
        <f t="shared" si="63"/>
        <v>0</v>
      </c>
      <c r="AS139" s="315">
        <f t="shared" si="63"/>
        <v>0</v>
      </c>
      <c r="AT139" s="315">
        <f t="shared" si="63"/>
        <v>0</v>
      </c>
      <c r="AU139" s="315">
        <f t="shared" si="63"/>
        <v>0</v>
      </c>
      <c r="AV139" s="315">
        <f t="shared" si="63"/>
        <v>0</v>
      </c>
      <c r="AW139" s="315">
        <f t="shared" si="63"/>
        <v>0</v>
      </c>
      <c r="AX139" s="315">
        <f t="shared" si="63"/>
        <v>0</v>
      </c>
      <c r="AY139" s="315">
        <f t="shared" si="63"/>
        <v>0</v>
      </c>
      <c r="AZ139" s="315">
        <f t="shared" si="63"/>
        <v>0</v>
      </c>
      <c r="BA139" s="315">
        <f t="shared" si="63"/>
        <v>0</v>
      </c>
      <c r="BB139" s="315">
        <f t="shared" si="63"/>
        <v>0</v>
      </c>
      <c r="BC139" s="315">
        <f t="shared" si="63"/>
        <v>0</v>
      </c>
      <c r="BD139" s="315">
        <f t="shared" si="63"/>
        <v>0</v>
      </c>
      <c r="BE139" s="315">
        <f t="shared" si="63"/>
        <v>0</v>
      </c>
      <c r="BF139" s="315">
        <f t="shared" si="63"/>
        <v>0</v>
      </c>
      <c r="BG139" s="315">
        <f t="shared" si="63"/>
        <v>0</v>
      </c>
      <c r="BH139" s="315">
        <f t="shared" si="63"/>
        <v>0</v>
      </c>
      <c r="BI139" s="315">
        <f t="shared" si="63"/>
        <v>0</v>
      </c>
      <c r="BJ139" s="315">
        <f t="shared" si="63"/>
        <v>0</v>
      </c>
      <c r="BK139" s="315">
        <f t="shared" si="63"/>
        <v>0</v>
      </c>
      <c r="BL139" s="315">
        <f t="shared" si="63"/>
        <v>0</v>
      </c>
      <c r="BM139" s="315">
        <f t="shared" si="63"/>
        <v>0</v>
      </c>
      <c r="BN139" s="315">
        <f t="shared" si="63"/>
        <v>0</v>
      </c>
      <c r="BO139" s="315">
        <f t="shared" si="63"/>
        <v>0</v>
      </c>
      <c r="BP139" s="315">
        <f t="shared" si="63"/>
        <v>0</v>
      </c>
      <c r="BQ139" s="315">
        <f t="shared" si="63"/>
        <v>0</v>
      </c>
      <c r="BR139" s="315">
        <f t="shared" si="63"/>
        <v>0</v>
      </c>
      <c r="BS139" s="315">
        <f t="shared" si="63"/>
        <v>0</v>
      </c>
      <c r="BT139" s="315">
        <f t="shared" si="63"/>
        <v>0</v>
      </c>
      <c r="BU139" s="315">
        <f t="shared" si="63"/>
        <v>0</v>
      </c>
      <c r="BV139" s="315">
        <f t="shared" si="63"/>
        <v>0</v>
      </c>
      <c r="BW139" s="315">
        <f t="shared" si="63"/>
        <v>0</v>
      </c>
      <c r="BX139" s="315">
        <f t="shared" si="63"/>
        <v>0</v>
      </c>
    </row>
    <row r="140" spans="3:76" hidden="1">
      <c r="C140" s="314" t="s">
        <v>344</v>
      </c>
      <c r="D140" s="323"/>
      <c r="E140" s="315"/>
      <c r="F140" s="315"/>
      <c r="G140" s="315"/>
      <c r="H140" s="315"/>
      <c r="I140" s="315"/>
      <c r="J140" s="315"/>
      <c r="K140" s="315"/>
      <c r="L140" s="315"/>
      <c r="M140" s="315"/>
      <c r="N140" s="315"/>
      <c r="O140" s="315"/>
      <c r="P140" s="315"/>
      <c r="Q140" s="315"/>
      <c r="R140" s="315"/>
      <c r="S140" s="315"/>
      <c r="T140" s="315">
        <f>T102-T156-T172-T188</f>
        <v>-9112509.463999996</v>
      </c>
      <c r="U140" s="315"/>
      <c r="V140" s="315"/>
      <c r="W140" s="315"/>
      <c r="X140" s="315"/>
      <c r="Y140" s="315"/>
      <c r="Z140" s="315"/>
      <c r="AA140" s="315"/>
      <c r="AB140" s="315"/>
      <c r="AC140" s="315"/>
      <c r="AD140" s="315"/>
      <c r="AE140" s="315"/>
      <c r="AF140" s="315"/>
      <c r="AG140" s="315"/>
      <c r="AH140" s="315"/>
      <c r="AI140" s="315"/>
      <c r="AJ140" s="315"/>
      <c r="AK140" s="315"/>
      <c r="AL140" s="315"/>
      <c r="AM140" s="315"/>
      <c r="AN140" s="315"/>
      <c r="AO140" s="315"/>
      <c r="AP140" s="315"/>
      <c r="AQ140" s="315"/>
      <c r="AR140" s="315"/>
      <c r="AS140" s="315"/>
      <c r="AT140" s="315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>
        <f>IF(D112&gt;0.25,(BX102-BX115)*D141,BX102*D141)</f>
        <v>0</v>
      </c>
    </row>
    <row r="141" spans="3:76" hidden="1">
      <c r="C141" s="317" t="s">
        <v>345</v>
      </c>
      <c r="D141" s="323">
        <v>0</v>
      </c>
      <c r="E141" s="246"/>
      <c r="F141" s="246"/>
      <c r="G141" s="246"/>
      <c r="H141" s="246"/>
      <c r="I141" s="246"/>
      <c r="J141" s="246"/>
      <c r="K141" s="246"/>
      <c r="L141" s="246"/>
      <c r="M141" s="246"/>
      <c r="N141" s="246"/>
      <c r="O141" s="246"/>
      <c r="P141" s="246"/>
      <c r="Q141" s="246"/>
      <c r="R141" s="246"/>
      <c r="S141" s="246"/>
      <c r="T141" s="246"/>
      <c r="U141" s="246"/>
      <c r="V141" s="246"/>
      <c r="W141" s="246"/>
      <c r="X141" s="246"/>
      <c r="Y141" s="246"/>
      <c r="Z141" s="246"/>
      <c r="AA141" s="246"/>
      <c r="AB141" s="246"/>
      <c r="AC141" s="246"/>
      <c r="AD141" s="246"/>
      <c r="AE141" s="246"/>
      <c r="AF141" s="246"/>
      <c r="AG141" s="246"/>
      <c r="AH141" s="246"/>
      <c r="AI141" s="246"/>
      <c r="AJ141" s="246"/>
      <c r="AK141" s="246"/>
      <c r="AL141" s="246"/>
      <c r="AM141" s="246"/>
      <c r="AN141" s="246"/>
      <c r="AO141" s="246"/>
      <c r="AP141" s="246"/>
      <c r="AQ141" s="246"/>
      <c r="AR141" s="246"/>
      <c r="AS141" s="246"/>
      <c r="AT141" s="246"/>
      <c r="AU141" s="246"/>
      <c r="AV141" s="246"/>
      <c r="AW141" s="246"/>
      <c r="AX141" s="246"/>
      <c r="AY141" s="246"/>
      <c r="AZ141" s="246"/>
      <c r="BA141" s="246"/>
      <c r="BB141" s="246"/>
      <c r="BC141" s="246"/>
      <c r="BD141" s="246"/>
      <c r="BE141" s="246"/>
      <c r="BF141" s="246"/>
      <c r="BG141" s="246"/>
      <c r="BH141" s="246"/>
      <c r="BI141" s="246"/>
      <c r="BJ141" s="246"/>
      <c r="BK141" s="246"/>
      <c r="BL141" s="246"/>
      <c r="BM141" s="246"/>
      <c r="BN141" s="246"/>
      <c r="BO141" s="246"/>
      <c r="BP141" s="246"/>
      <c r="BQ141" s="246"/>
      <c r="BR141" s="246"/>
      <c r="BS141" s="246"/>
      <c r="BT141" s="246"/>
      <c r="BU141" s="246"/>
      <c r="BV141" s="246"/>
      <c r="BW141" s="246"/>
      <c r="BX141" s="246"/>
    </row>
    <row r="142" spans="3:76" hidden="1">
      <c r="C142" s="314" t="s">
        <v>346</v>
      </c>
      <c r="D142" s="315"/>
      <c r="E142" s="325">
        <f t="shared" ref="E142:Z142" si="64">E137+E138+E139+E140+E141</f>
        <v>0</v>
      </c>
      <c r="F142" s="325">
        <f t="shared" si="64"/>
        <v>0</v>
      </c>
      <c r="G142" s="325">
        <f t="shared" si="64"/>
        <v>0</v>
      </c>
      <c r="H142" s="325">
        <f t="shared" si="64"/>
        <v>0</v>
      </c>
      <c r="I142" s="325">
        <f t="shared" si="64"/>
        <v>0</v>
      </c>
      <c r="J142" s="325">
        <f t="shared" si="64"/>
        <v>0</v>
      </c>
      <c r="K142" s="325">
        <f t="shared" si="64"/>
        <v>-885000</v>
      </c>
      <c r="L142" s="325">
        <f t="shared" si="64"/>
        <v>-1940000</v>
      </c>
      <c r="M142" s="325">
        <f t="shared" si="64"/>
        <v>-4260000</v>
      </c>
      <c r="N142" s="325">
        <f t="shared" si="64"/>
        <v>0</v>
      </c>
      <c r="O142" s="325">
        <f t="shared" si="64"/>
        <v>-320000</v>
      </c>
      <c r="P142" s="325">
        <f t="shared" si="64"/>
        <v>-320000</v>
      </c>
      <c r="Q142" s="325">
        <f t="shared" si="64"/>
        <v>0</v>
      </c>
      <c r="R142" s="325">
        <f t="shared" si="64"/>
        <v>-670000</v>
      </c>
      <c r="S142" s="325">
        <f t="shared" si="64"/>
        <v>0</v>
      </c>
      <c r="T142" s="325">
        <f t="shared" si="64"/>
        <v>-9112509.463999996</v>
      </c>
      <c r="U142" s="325">
        <f t="shared" si="64"/>
        <v>0</v>
      </c>
      <c r="V142" s="325">
        <f t="shared" si="64"/>
        <v>-3090000</v>
      </c>
      <c r="W142" s="325">
        <f t="shared" si="64"/>
        <v>0</v>
      </c>
      <c r="X142" s="325">
        <f t="shared" si="64"/>
        <v>0</v>
      </c>
      <c r="Y142" s="325">
        <f t="shared" si="64"/>
        <v>0</v>
      </c>
      <c r="Z142" s="325">
        <f t="shared" si="64"/>
        <v>-2000000</v>
      </c>
      <c r="AA142" s="325"/>
      <c r="AB142" s="325">
        <f t="shared" ref="AB142:AE142" si="65">AB137+AB138+AB139+AB140+AB141</f>
        <v>14902258.333333332</v>
      </c>
      <c r="AC142" s="325">
        <f t="shared" si="65"/>
        <v>0</v>
      </c>
      <c r="AD142" s="325">
        <f t="shared" si="65"/>
        <v>0</v>
      </c>
      <c r="AE142" s="325">
        <f t="shared" si="65"/>
        <v>0</v>
      </c>
      <c r="AF142" s="325"/>
      <c r="AG142" s="325"/>
      <c r="AH142" s="325"/>
      <c r="AI142" s="325"/>
      <c r="AJ142" s="325"/>
      <c r="AK142" s="325">
        <f t="shared" ref="AK142:BX142" si="66">AK137+AK138+AK139+AK140+AK141</f>
        <v>0</v>
      </c>
      <c r="AL142" s="325">
        <f t="shared" si="66"/>
        <v>0</v>
      </c>
      <c r="AM142" s="325">
        <f t="shared" si="66"/>
        <v>0</v>
      </c>
      <c r="AN142" s="325">
        <f t="shared" si="66"/>
        <v>0</v>
      </c>
      <c r="AO142" s="325">
        <f t="shared" si="66"/>
        <v>0</v>
      </c>
      <c r="AP142" s="325">
        <f t="shared" si="66"/>
        <v>0</v>
      </c>
      <c r="AQ142" s="325">
        <f t="shared" si="66"/>
        <v>0</v>
      </c>
      <c r="AR142" s="325">
        <f t="shared" si="66"/>
        <v>0</v>
      </c>
      <c r="AS142" s="325">
        <f t="shared" si="66"/>
        <v>0</v>
      </c>
      <c r="AT142" s="325">
        <f t="shared" si="66"/>
        <v>0</v>
      </c>
      <c r="AU142" s="325">
        <f t="shared" si="66"/>
        <v>0</v>
      </c>
      <c r="AV142" s="325">
        <f t="shared" si="66"/>
        <v>0</v>
      </c>
      <c r="AW142" s="325">
        <f t="shared" si="66"/>
        <v>0</v>
      </c>
      <c r="AX142" s="325">
        <f t="shared" si="66"/>
        <v>0</v>
      </c>
      <c r="AY142" s="325">
        <f t="shared" si="66"/>
        <v>0</v>
      </c>
      <c r="AZ142" s="325">
        <f t="shared" si="66"/>
        <v>0</v>
      </c>
      <c r="BA142" s="325">
        <f t="shared" si="66"/>
        <v>0</v>
      </c>
      <c r="BB142" s="325">
        <f t="shared" si="66"/>
        <v>0</v>
      </c>
      <c r="BC142" s="325">
        <f t="shared" si="66"/>
        <v>0</v>
      </c>
      <c r="BD142" s="325">
        <f t="shared" si="66"/>
        <v>0</v>
      </c>
      <c r="BE142" s="325">
        <f t="shared" si="66"/>
        <v>0</v>
      </c>
      <c r="BF142" s="325">
        <f t="shared" si="66"/>
        <v>0</v>
      </c>
      <c r="BG142" s="325">
        <f t="shared" si="66"/>
        <v>0</v>
      </c>
      <c r="BH142" s="325">
        <f t="shared" si="66"/>
        <v>0</v>
      </c>
      <c r="BI142" s="325">
        <f t="shared" si="66"/>
        <v>0</v>
      </c>
      <c r="BJ142" s="325">
        <f t="shared" si="66"/>
        <v>0</v>
      </c>
      <c r="BK142" s="325">
        <f t="shared" si="66"/>
        <v>0</v>
      </c>
      <c r="BL142" s="325">
        <f t="shared" si="66"/>
        <v>0</v>
      </c>
      <c r="BM142" s="325">
        <f t="shared" si="66"/>
        <v>0</v>
      </c>
      <c r="BN142" s="325">
        <f t="shared" si="66"/>
        <v>0</v>
      </c>
      <c r="BO142" s="325">
        <f t="shared" si="66"/>
        <v>0</v>
      </c>
      <c r="BP142" s="325">
        <f t="shared" si="66"/>
        <v>0</v>
      </c>
      <c r="BQ142" s="325">
        <f t="shared" si="66"/>
        <v>0</v>
      </c>
      <c r="BR142" s="325">
        <f t="shared" si="66"/>
        <v>0</v>
      </c>
      <c r="BS142" s="325">
        <f t="shared" si="66"/>
        <v>0</v>
      </c>
      <c r="BT142" s="325">
        <f t="shared" si="66"/>
        <v>0</v>
      </c>
      <c r="BU142" s="325">
        <f t="shared" si="66"/>
        <v>0</v>
      </c>
      <c r="BV142" s="325">
        <f t="shared" si="66"/>
        <v>0</v>
      </c>
      <c r="BW142" s="325">
        <f t="shared" si="66"/>
        <v>0</v>
      </c>
      <c r="BX142" s="325">
        <f t="shared" si="66"/>
        <v>0</v>
      </c>
    </row>
    <row r="143" spans="3:76" hidden="1">
      <c r="C143" s="318"/>
      <c r="D143" s="326" t="s">
        <v>354</v>
      </c>
      <c r="E143" s="330">
        <f>E142</f>
        <v>0</v>
      </c>
      <c r="F143" s="330">
        <f t="shared" ref="F143:Z143" si="67">E143+F142</f>
        <v>0</v>
      </c>
      <c r="G143" s="330">
        <f t="shared" si="67"/>
        <v>0</v>
      </c>
      <c r="H143" s="330">
        <f t="shared" si="67"/>
        <v>0</v>
      </c>
      <c r="I143" s="330">
        <f t="shared" si="67"/>
        <v>0</v>
      </c>
      <c r="J143" s="330">
        <f t="shared" si="67"/>
        <v>0</v>
      </c>
      <c r="K143" s="330">
        <f t="shared" si="67"/>
        <v>-885000</v>
      </c>
      <c r="L143" s="330">
        <f t="shared" si="67"/>
        <v>-2825000</v>
      </c>
      <c r="M143" s="330">
        <f t="shared" si="67"/>
        <v>-7085000</v>
      </c>
      <c r="N143" s="330">
        <f t="shared" si="67"/>
        <v>-7085000</v>
      </c>
      <c r="O143" s="330">
        <f t="shared" si="67"/>
        <v>-7405000</v>
      </c>
      <c r="P143" s="330">
        <f t="shared" si="67"/>
        <v>-7725000</v>
      </c>
      <c r="Q143" s="330">
        <f t="shared" si="67"/>
        <v>-7725000</v>
      </c>
      <c r="R143" s="330">
        <f t="shared" si="67"/>
        <v>-8395000</v>
      </c>
      <c r="S143" s="330">
        <f t="shared" si="67"/>
        <v>-8395000</v>
      </c>
      <c r="T143" s="330">
        <f t="shared" si="67"/>
        <v>-17507509.463999994</v>
      </c>
      <c r="U143" s="330">
        <f t="shared" si="67"/>
        <v>-17507509.463999994</v>
      </c>
      <c r="V143" s="330">
        <f t="shared" si="67"/>
        <v>-20597509.463999994</v>
      </c>
      <c r="W143" s="330">
        <f t="shared" si="67"/>
        <v>-20597509.463999994</v>
      </c>
      <c r="X143" s="330">
        <f t="shared" si="67"/>
        <v>-20597509.463999994</v>
      </c>
      <c r="Y143" s="330">
        <f t="shared" si="67"/>
        <v>-20597509.463999994</v>
      </c>
      <c r="Z143" s="330">
        <f t="shared" si="67"/>
        <v>-22597509.463999994</v>
      </c>
      <c r="AA143" s="330"/>
      <c r="AB143" s="330">
        <f t="shared" ref="AB143:AE143" si="68">AA143+AB142</f>
        <v>14902258.333333332</v>
      </c>
      <c r="AC143" s="330">
        <f t="shared" si="68"/>
        <v>14902258.333333332</v>
      </c>
      <c r="AD143" s="330">
        <f t="shared" si="68"/>
        <v>14902258.333333332</v>
      </c>
      <c r="AE143" s="330">
        <f t="shared" si="68"/>
        <v>14902258.333333332</v>
      </c>
      <c r="AF143" s="330"/>
      <c r="AG143" s="330"/>
      <c r="AH143" s="330"/>
      <c r="AI143" s="330"/>
      <c r="AJ143" s="330"/>
      <c r="AK143" s="330">
        <f t="shared" ref="AK143:BX143" si="69">AJ143+AK142</f>
        <v>0</v>
      </c>
      <c r="AL143" s="330">
        <f t="shared" si="69"/>
        <v>0</v>
      </c>
      <c r="AM143" s="330">
        <f t="shared" si="69"/>
        <v>0</v>
      </c>
      <c r="AN143" s="330">
        <f t="shared" si="69"/>
        <v>0</v>
      </c>
      <c r="AO143" s="330">
        <f t="shared" si="69"/>
        <v>0</v>
      </c>
      <c r="AP143" s="330">
        <f t="shared" si="69"/>
        <v>0</v>
      </c>
      <c r="AQ143" s="330">
        <f t="shared" si="69"/>
        <v>0</v>
      </c>
      <c r="AR143" s="330">
        <f t="shared" si="69"/>
        <v>0</v>
      </c>
      <c r="AS143" s="330">
        <f t="shared" si="69"/>
        <v>0</v>
      </c>
      <c r="AT143" s="330">
        <f t="shared" si="69"/>
        <v>0</v>
      </c>
      <c r="AU143" s="330">
        <f t="shared" si="69"/>
        <v>0</v>
      </c>
      <c r="AV143" s="330">
        <f t="shared" si="69"/>
        <v>0</v>
      </c>
      <c r="AW143" s="330">
        <f t="shared" si="69"/>
        <v>0</v>
      </c>
      <c r="AX143" s="330">
        <f t="shared" si="69"/>
        <v>0</v>
      </c>
      <c r="AY143" s="330">
        <f t="shared" si="69"/>
        <v>0</v>
      </c>
      <c r="AZ143" s="330">
        <f t="shared" si="69"/>
        <v>0</v>
      </c>
      <c r="BA143" s="330">
        <f t="shared" si="69"/>
        <v>0</v>
      </c>
      <c r="BB143" s="330">
        <f t="shared" si="69"/>
        <v>0</v>
      </c>
      <c r="BC143" s="330">
        <f t="shared" si="69"/>
        <v>0</v>
      </c>
      <c r="BD143" s="330">
        <f t="shared" si="69"/>
        <v>0</v>
      </c>
      <c r="BE143" s="330">
        <f t="shared" si="69"/>
        <v>0</v>
      </c>
      <c r="BF143" s="330">
        <f t="shared" si="69"/>
        <v>0</v>
      </c>
      <c r="BG143" s="330">
        <f t="shared" si="69"/>
        <v>0</v>
      </c>
      <c r="BH143" s="330">
        <f t="shared" si="69"/>
        <v>0</v>
      </c>
      <c r="BI143" s="330">
        <f t="shared" si="69"/>
        <v>0</v>
      </c>
      <c r="BJ143" s="330">
        <f t="shared" si="69"/>
        <v>0</v>
      </c>
      <c r="BK143" s="330">
        <f t="shared" si="69"/>
        <v>0</v>
      </c>
      <c r="BL143" s="330">
        <f t="shared" si="69"/>
        <v>0</v>
      </c>
      <c r="BM143" s="330">
        <f t="shared" si="69"/>
        <v>0</v>
      </c>
      <c r="BN143" s="330">
        <f t="shared" si="69"/>
        <v>0</v>
      </c>
      <c r="BO143" s="330">
        <f t="shared" si="69"/>
        <v>0</v>
      </c>
      <c r="BP143" s="330">
        <f t="shared" si="69"/>
        <v>0</v>
      </c>
      <c r="BQ143" s="330">
        <f t="shared" si="69"/>
        <v>0</v>
      </c>
      <c r="BR143" s="330">
        <f t="shared" si="69"/>
        <v>0</v>
      </c>
      <c r="BS143" s="330">
        <f t="shared" si="69"/>
        <v>0</v>
      </c>
      <c r="BT143" s="330">
        <f t="shared" si="69"/>
        <v>0</v>
      </c>
      <c r="BU143" s="330">
        <f t="shared" si="69"/>
        <v>0</v>
      </c>
      <c r="BV143" s="330">
        <f t="shared" si="69"/>
        <v>0</v>
      </c>
      <c r="BW143" s="330">
        <f t="shared" si="69"/>
        <v>0</v>
      </c>
      <c r="BX143" s="330">
        <f t="shared" si="69"/>
        <v>0</v>
      </c>
    </row>
    <row r="144" spans="3:76" hidden="1">
      <c r="C144" s="317" t="s">
        <v>339</v>
      </c>
      <c r="D144" s="326">
        <f>IRR(E142:BX142)*12</f>
        <v>-0.58967277388575123</v>
      </c>
      <c r="E144" s="226"/>
      <c r="F144" s="226"/>
      <c r="G144" s="226"/>
      <c r="H144" s="226"/>
      <c r="I144" s="226"/>
      <c r="J144" s="226"/>
      <c r="K144" s="226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6"/>
      <c r="AA144" s="226"/>
      <c r="AB144" s="226"/>
      <c r="AC144" s="226"/>
      <c r="AD144" s="226"/>
      <c r="AE144" s="226"/>
      <c r="AF144" s="226"/>
      <c r="AG144" s="226"/>
      <c r="AH144" s="226"/>
      <c r="AI144" s="226"/>
      <c r="AJ144" s="226"/>
      <c r="AK144" s="226"/>
      <c r="AL144" s="226"/>
      <c r="AM144" s="226"/>
      <c r="AN144" s="226"/>
      <c r="AO144" s="226"/>
      <c r="AP144" s="226"/>
      <c r="AQ144" s="226"/>
      <c r="AR144" s="226"/>
      <c r="AS144" s="226"/>
      <c r="AT144" s="226"/>
      <c r="AU144" s="226"/>
      <c r="AV144" s="226"/>
      <c r="AW144" s="226"/>
      <c r="AX144" s="226"/>
      <c r="AY144" s="226"/>
      <c r="AZ144" s="226"/>
      <c r="BA144" s="226"/>
      <c r="BB144" s="226"/>
      <c r="BC144" s="226"/>
      <c r="BD144" s="226"/>
      <c r="BE144" s="226"/>
      <c r="BF144" s="226"/>
      <c r="BG144" s="226"/>
      <c r="BH144" s="226"/>
      <c r="BI144" s="226"/>
      <c r="BJ144" s="226"/>
      <c r="BK144" s="226"/>
      <c r="BL144" s="226"/>
      <c r="BM144" s="226"/>
      <c r="BN144" s="226"/>
      <c r="BO144" s="226"/>
      <c r="BP144" s="226"/>
      <c r="BQ144" s="226"/>
      <c r="BR144" s="226"/>
      <c r="BS144" s="226"/>
      <c r="BT144" s="226"/>
      <c r="BU144" s="226"/>
      <c r="BV144" s="226"/>
      <c r="BW144" s="226"/>
      <c r="BX144" s="226"/>
    </row>
    <row r="145" spans="3:76" hidden="1">
      <c r="C145" s="327" t="s">
        <v>347</v>
      </c>
      <c r="D145" s="328">
        <f>-MIN(E137:BL137)</f>
        <v>4260000</v>
      </c>
      <c r="E145" s="226"/>
      <c r="F145" s="226"/>
      <c r="G145" s="226"/>
      <c r="H145" s="226"/>
      <c r="I145" s="226"/>
      <c r="J145" s="226"/>
      <c r="K145" s="226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6"/>
      <c r="AA145" s="226"/>
      <c r="AB145" s="226"/>
      <c r="AC145" s="226"/>
      <c r="AD145" s="226"/>
      <c r="AE145" s="226"/>
      <c r="AF145" s="226"/>
      <c r="AG145" s="226"/>
      <c r="AH145" s="226"/>
      <c r="AI145" s="226"/>
      <c r="AJ145" s="226"/>
      <c r="AK145" s="226"/>
      <c r="AL145" s="226"/>
      <c r="AM145" s="226"/>
      <c r="AN145" s="226"/>
      <c r="AO145" s="226"/>
      <c r="AP145" s="226"/>
      <c r="AQ145" s="226"/>
      <c r="AR145" s="226"/>
      <c r="AS145" s="226"/>
      <c r="AT145" s="226"/>
      <c r="AU145" s="226"/>
      <c r="AV145" s="226"/>
      <c r="AW145" s="226"/>
      <c r="AX145" s="226"/>
      <c r="AY145" s="226"/>
      <c r="AZ145" s="226"/>
      <c r="BA145" s="226"/>
      <c r="BB145" s="226"/>
      <c r="BC145" s="226"/>
      <c r="BD145" s="226"/>
      <c r="BE145" s="226"/>
      <c r="BF145" s="226"/>
      <c r="BG145" s="226"/>
      <c r="BH145" s="226"/>
      <c r="BI145" s="226"/>
      <c r="BJ145" s="226"/>
      <c r="BK145" s="226"/>
      <c r="BL145" s="226"/>
      <c r="BM145" s="226"/>
      <c r="BN145" s="226"/>
      <c r="BO145" s="226"/>
      <c r="BP145" s="226"/>
      <c r="BQ145" s="226"/>
      <c r="BR145" s="226"/>
      <c r="BS145" s="226"/>
      <c r="BT145" s="226"/>
      <c r="BU145" s="226"/>
      <c r="BV145" s="226"/>
      <c r="BW145" s="226"/>
      <c r="BX145" s="226"/>
    </row>
    <row r="146" spans="3:76" hidden="1">
      <c r="C146" s="327" t="s">
        <v>348</v>
      </c>
      <c r="D146" s="328">
        <f>-SUM(M141:BB141)</f>
        <v>0</v>
      </c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6"/>
      <c r="AU146" s="226"/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6"/>
      <c r="BF146" s="226"/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6"/>
      <c r="BQ146" s="226"/>
      <c r="BR146" s="226"/>
      <c r="BS146" s="226"/>
      <c r="BT146" s="226"/>
      <c r="BU146" s="226"/>
      <c r="BV146" s="226"/>
      <c r="BW146" s="226"/>
      <c r="BX146" s="226"/>
    </row>
    <row r="147" spans="3:76" hidden="1">
      <c r="C147" s="317" t="s">
        <v>349</v>
      </c>
      <c r="D147" s="329">
        <f>D146+D145</f>
        <v>4260000</v>
      </c>
      <c r="E147" s="226"/>
      <c r="F147" s="226"/>
      <c r="G147" s="226"/>
      <c r="H147" s="226"/>
      <c r="I147" s="226"/>
      <c r="J147" s="226"/>
      <c r="K147" s="226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6"/>
      <c r="AA147" s="226"/>
      <c r="AB147" s="226"/>
      <c r="AC147" s="226"/>
      <c r="AD147" s="226"/>
      <c r="AE147" s="226"/>
      <c r="AF147" s="226"/>
      <c r="AG147" s="226"/>
      <c r="AH147" s="226"/>
      <c r="AI147" s="226"/>
      <c r="AJ147" s="226"/>
      <c r="AK147" s="226"/>
      <c r="AL147" s="226"/>
      <c r="AM147" s="226"/>
      <c r="AN147" s="226"/>
      <c r="AO147" s="226"/>
      <c r="AP147" s="226"/>
      <c r="AQ147" s="226"/>
      <c r="AR147" s="226"/>
      <c r="AS147" s="226"/>
      <c r="AT147" s="226"/>
      <c r="AU147" s="226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6"/>
      <c r="BF147" s="226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6"/>
      <c r="BQ147" s="226"/>
      <c r="BR147" s="226"/>
      <c r="BS147" s="226"/>
      <c r="BT147" s="226"/>
      <c r="BU147" s="226"/>
      <c r="BV147" s="226"/>
      <c r="BW147" s="226"/>
      <c r="BX147" s="226"/>
    </row>
    <row r="148" spans="3:76" hidden="1">
      <c r="C148" s="317" t="s">
        <v>350</v>
      </c>
      <c r="D148" s="329">
        <f>BX139+BX140</f>
        <v>0</v>
      </c>
      <c r="E148" s="226"/>
      <c r="F148" s="226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6"/>
      <c r="R148" s="226"/>
      <c r="S148" s="235">
        <v>1500000</v>
      </c>
      <c r="T148" s="235">
        <v>500000</v>
      </c>
      <c r="U148" s="235">
        <v>6750000</v>
      </c>
      <c r="V148" s="235">
        <v>4000000</v>
      </c>
      <c r="W148" s="235">
        <v>2000000</v>
      </c>
      <c r="X148" s="235"/>
      <c r="Y148" s="235"/>
      <c r="Z148" s="235"/>
      <c r="AA148" s="235"/>
      <c r="AB148" s="226"/>
      <c r="AC148" s="226"/>
      <c r="AD148" s="226"/>
      <c r="AE148" s="226"/>
      <c r="AF148" s="226"/>
      <c r="AG148" s="226"/>
      <c r="AH148" s="226"/>
      <c r="AI148" s="226"/>
      <c r="AJ148" s="226"/>
      <c r="AK148" s="226"/>
      <c r="AL148" s="226"/>
      <c r="AM148" s="226"/>
      <c r="AN148" s="226"/>
      <c r="AO148" s="226"/>
      <c r="AP148" s="226"/>
      <c r="AQ148" s="226"/>
      <c r="AR148" s="226"/>
      <c r="AS148" s="226"/>
      <c r="AT148" s="226"/>
      <c r="AU148" s="226"/>
      <c r="AV148" s="226"/>
      <c r="AW148" s="226"/>
      <c r="AX148" s="226"/>
      <c r="AY148" s="226"/>
      <c r="AZ148" s="226"/>
      <c r="BA148" s="226"/>
      <c r="BB148" s="226"/>
      <c r="BC148" s="226"/>
      <c r="BD148" s="226"/>
      <c r="BE148" s="226"/>
      <c r="BF148" s="226"/>
      <c r="BG148" s="226"/>
      <c r="BH148" s="226"/>
      <c r="BI148" s="226"/>
      <c r="BJ148" s="226"/>
      <c r="BK148" s="226"/>
      <c r="BL148" s="226"/>
      <c r="BM148" s="226"/>
      <c r="BN148" s="226"/>
      <c r="BO148" s="226"/>
      <c r="BP148" s="226"/>
      <c r="BQ148" s="226"/>
      <c r="BR148" s="226"/>
      <c r="BS148" s="226"/>
      <c r="BT148" s="226"/>
      <c r="BU148" s="226"/>
      <c r="BV148" s="226"/>
      <c r="BW148" s="226"/>
      <c r="BX148" s="226"/>
    </row>
    <row r="149" spans="3:76" hidden="1">
      <c r="C149" s="317" t="s">
        <v>351</v>
      </c>
      <c r="D149" s="326">
        <f>(D148-D146)/D147</f>
        <v>0</v>
      </c>
      <c r="E149" s="226"/>
      <c r="F149" s="226"/>
      <c r="G149" s="226"/>
      <c r="H149" s="226"/>
      <c r="I149" s="226"/>
      <c r="J149" s="226"/>
      <c r="K149" s="226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6"/>
      <c r="AA149" s="226"/>
      <c r="AB149" s="226"/>
      <c r="AC149" s="226"/>
      <c r="AD149" s="226"/>
      <c r="AE149" s="226"/>
      <c r="AF149" s="226"/>
      <c r="AG149" s="226"/>
      <c r="AH149" s="226"/>
      <c r="AI149" s="226"/>
      <c r="AJ149" s="226"/>
      <c r="AK149" s="226"/>
      <c r="AL149" s="226"/>
      <c r="AM149" s="226"/>
      <c r="AN149" s="226"/>
      <c r="AO149" s="226"/>
      <c r="AP149" s="226"/>
      <c r="AQ149" s="226"/>
      <c r="AR149" s="226"/>
      <c r="AS149" s="226"/>
      <c r="AT149" s="226"/>
      <c r="AU149" s="226"/>
      <c r="AV149" s="226"/>
      <c r="AW149" s="226"/>
      <c r="AX149" s="226"/>
      <c r="AY149" s="226"/>
      <c r="AZ149" s="226"/>
      <c r="BA149" s="226"/>
      <c r="BB149" s="226"/>
      <c r="BC149" s="226"/>
      <c r="BD149" s="226"/>
      <c r="BE149" s="226"/>
      <c r="BF149" s="226"/>
      <c r="BG149" s="226"/>
      <c r="BH149" s="226"/>
      <c r="BI149" s="226"/>
      <c r="BJ149" s="226"/>
      <c r="BK149" s="226"/>
      <c r="BL149" s="226"/>
      <c r="BM149" s="226"/>
      <c r="BN149" s="226"/>
      <c r="BO149" s="226"/>
      <c r="BP149" s="226"/>
      <c r="BQ149" s="226"/>
      <c r="BR149" s="226"/>
      <c r="BS149" s="226"/>
      <c r="BT149" s="226"/>
      <c r="BU149" s="226"/>
      <c r="BV149" s="226"/>
      <c r="BW149" s="226"/>
      <c r="BX149" s="226"/>
    </row>
    <row r="150" spans="3:76" hidden="1">
      <c r="E150" s="226"/>
      <c r="F150" s="226"/>
      <c r="G150" s="226"/>
      <c r="H150" s="226"/>
      <c r="I150" s="226"/>
      <c r="J150" s="226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6"/>
      <c r="AA150" s="226"/>
      <c r="AB150" s="226"/>
      <c r="AC150" s="226"/>
      <c r="AD150" s="226"/>
      <c r="AE150" s="226"/>
      <c r="AF150" s="226"/>
      <c r="AG150" s="226"/>
      <c r="AH150" s="226"/>
      <c r="AI150" s="226"/>
      <c r="AJ150" s="226"/>
      <c r="AK150" s="226"/>
      <c r="AL150" s="226"/>
      <c r="AM150" s="226"/>
      <c r="AN150" s="226"/>
      <c r="AO150" s="226"/>
      <c r="AP150" s="226"/>
      <c r="AQ150" s="226"/>
      <c r="AR150" s="226"/>
      <c r="AS150" s="226"/>
      <c r="AT150" s="226"/>
      <c r="AU150" s="226"/>
      <c r="AV150" s="226"/>
      <c r="AW150" s="226"/>
      <c r="AX150" s="226"/>
      <c r="AY150" s="226"/>
      <c r="AZ150" s="226"/>
      <c r="BA150" s="226"/>
      <c r="BB150" s="226"/>
      <c r="BC150" s="226"/>
      <c r="BD150" s="226"/>
      <c r="BE150" s="226"/>
      <c r="BF150" s="226"/>
      <c r="BG150" s="226"/>
      <c r="BH150" s="226"/>
      <c r="BI150" s="226"/>
      <c r="BJ150" s="226"/>
      <c r="BK150" s="226"/>
      <c r="BL150" s="226"/>
      <c r="BM150" s="226"/>
      <c r="BN150" s="226"/>
      <c r="BO150" s="226"/>
      <c r="BP150" s="226"/>
      <c r="BQ150" s="226"/>
      <c r="BR150" s="226"/>
      <c r="BS150" s="226"/>
      <c r="BT150" s="226"/>
      <c r="BU150" s="226"/>
      <c r="BV150" s="226"/>
      <c r="BW150" s="226"/>
      <c r="BX150" s="226"/>
    </row>
    <row r="151" spans="3:76" hidden="1">
      <c r="E151" s="226"/>
      <c r="F151" s="226"/>
      <c r="G151" s="226"/>
      <c r="H151" s="226"/>
      <c r="I151" s="226"/>
      <c r="J151" s="226"/>
      <c r="K151" s="226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6"/>
      <c r="AA151" s="226"/>
      <c r="AB151" s="226"/>
      <c r="AC151" s="226"/>
      <c r="AD151" s="226"/>
      <c r="AE151" s="226"/>
      <c r="AF151" s="226"/>
      <c r="AG151" s="226"/>
      <c r="AH151" s="226"/>
      <c r="AI151" s="226"/>
      <c r="AJ151" s="226"/>
      <c r="AK151" s="226"/>
      <c r="AL151" s="226"/>
      <c r="AM151" s="226"/>
      <c r="AN151" s="226"/>
      <c r="AO151" s="226"/>
      <c r="AP151" s="226"/>
      <c r="AQ151" s="226"/>
      <c r="AR151" s="226"/>
      <c r="AS151" s="226"/>
      <c r="AT151" s="226"/>
      <c r="AU151" s="226"/>
      <c r="AV151" s="226"/>
      <c r="AW151" s="226"/>
      <c r="AX151" s="226"/>
      <c r="AY151" s="226"/>
      <c r="AZ151" s="226"/>
      <c r="BA151" s="226"/>
      <c r="BB151" s="226"/>
      <c r="BC151" s="226"/>
      <c r="BD151" s="226"/>
      <c r="BE151" s="226"/>
      <c r="BF151" s="226"/>
      <c r="BG151" s="226"/>
      <c r="BH151" s="226"/>
      <c r="BI151" s="226"/>
      <c r="BJ151" s="226"/>
      <c r="BK151" s="226"/>
      <c r="BL151" s="226"/>
      <c r="BM151" s="226"/>
      <c r="BN151" s="226"/>
      <c r="BO151" s="226"/>
      <c r="BP151" s="226"/>
      <c r="BQ151" s="226"/>
      <c r="BR151" s="226"/>
      <c r="BS151" s="226"/>
      <c r="BT151" s="226"/>
      <c r="BU151" s="226"/>
      <c r="BV151" s="226"/>
      <c r="BW151" s="226"/>
      <c r="BX151" s="226"/>
    </row>
    <row r="152" spans="3:76" hidden="1">
      <c r="E152" s="226"/>
      <c r="F152" s="226"/>
      <c r="G152" s="226"/>
      <c r="H152" s="226"/>
      <c r="I152" s="226"/>
      <c r="J152" s="226"/>
      <c r="K152" s="226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6"/>
      <c r="AA152" s="226"/>
      <c r="AB152" s="226"/>
      <c r="AC152" s="226"/>
      <c r="AD152" s="226"/>
      <c r="AE152" s="226"/>
      <c r="AF152" s="226"/>
      <c r="AG152" s="226"/>
      <c r="AH152" s="226"/>
      <c r="AI152" s="226"/>
      <c r="AJ152" s="226"/>
      <c r="AK152" s="226"/>
      <c r="AL152" s="226"/>
      <c r="AM152" s="226"/>
      <c r="AN152" s="226"/>
      <c r="AO152" s="226"/>
      <c r="AP152" s="226"/>
      <c r="AQ152" s="226"/>
      <c r="AR152" s="226"/>
      <c r="AS152" s="226"/>
      <c r="AT152" s="226"/>
      <c r="AU152" s="226"/>
      <c r="AV152" s="226"/>
      <c r="AW152" s="226"/>
      <c r="AX152" s="226"/>
      <c r="AY152" s="226"/>
      <c r="AZ152" s="226"/>
      <c r="BA152" s="226"/>
      <c r="BB152" s="226"/>
      <c r="BC152" s="226"/>
      <c r="BD152" s="226"/>
      <c r="BE152" s="226"/>
      <c r="BF152" s="226"/>
      <c r="BG152" s="226"/>
      <c r="BH152" s="226"/>
      <c r="BI152" s="226"/>
      <c r="BJ152" s="226"/>
      <c r="BK152" s="226"/>
      <c r="BL152" s="226"/>
      <c r="BM152" s="226"/>
      <c r="BN152" s="226"/>
      <c r="BO152" s="226"/>
      <c r="BP152" s="226"/>
      <c r="BQ152" s="226"/>
      <c r="BR152" s="226"/>
      <c r="BS152" s="226"/>
      <c r="BT152" s="226"/>
      <c r="BU152" s="226"/>
      <c r="BV152" s="226"/>
      <c r="BW152" s="226"/>
      <c r="BX152" s="226"/>
    </row>
    <row r="153" spans="3:76" hidden="1">
      <c r="C153" s="314" t="s">
        <v>355</v>
      </c>
      <c r="D153" s="315"/>
      <c r="E153" s="316">
        <f t="shared" ref="E153:G153" si="70">-(E25+E117)</f>
        <v>0</v>
      </c>
      <c r="F153" s="316">
        <f t="shared" si="70"/>
        <v>0</v>
      </c>
      <c r="G153" s="316">
        <f t="shared" si="70"/>
        <v>0</v>
      </c>
      <c r="H153" s="316">
        <f>-10682501</f>
        <v>-10682501</v>
      </c>
      <c r="I153" s="316">
        <v>0</v>
      </c>
      <c r="J153" s="316">
        <f>-(J25+J117)</f>
        <v>0</v>
      </c>
      <c r="K153" s="316">
        <v>0</v>
      </c>
      <c r="L153" s="316">
        <f t="shared" ref="L153:S153" si="71">-(L25+L117)</f>
        <v>15913.92</v>
      </c>
      <c r="M153" s="316">
        <f t="shared" si="71"/>
        <v>0</v>
      </c>
      <c r="N153" s="316">
        <f t="shared" si="71"/>
        <v>0</v>
      </c>
      <c r="O153" s="316">
        <f t="shared" si="71"/>
        <v>0</v>
      </c>
      <c r="P153" s="316">
        <f t="shared" si="71"/>
        <v>0</v>
      </c>
      <c r="Q153" s="316">
        <f t="shared" si="71"/>
        <v>36051</v>
      </c>
      <c r="R153" s="316">
        <f t="shared" si="71"/>
        <v>314600</v>
      </c>
      <c r="S153" s="316">
        <f t="shared" si="71"/>
        <v>0</v>
      </c>
      <c r="T153" s="316">
        <f>-H153</f>
        <v>10682501</v>
      </c>
      <c r="U153" s="316">
        <f t="shared" ref="U153:Z153" si="72">-(U25+U117)</f>
        <v>471900</v>
      </c>
      <c r="V153" s="316">
        <f t="shared" si="72"/>
        <v>0</v>
      </c>
      <c r="W153" s="316">
        <f t="shared" si="72"/>
        <v>0</v>
      </c>
      <c r="X153" s="316">
        <f t="shared" si="72"/>
        <v>0</v>
      </c>
      <c r="Y153" s="316">
        <f t="shared" si="72"/>
        <v>0</v>
      </c>
      <c r="Z153" s="316">
        <f t="shared" si="72"/>
        <v>0</v>
      </c>
      <c r="AA153" s="316"/>
      <c r="AB153" s="316">
        <f t="shared" ref="AB153:AE153" si="73">-(AB25+AB117)</f>
        <v>0</v>
      </c>
      <c r="AC153" s="316">
        <f t="shared" si="73"/>
        <v>0</v>
      </c>
      <c r="AD153" s="316">
        <f t="shared" si="73"/>
        <v>0</v>
      </c>
      <c r="AE153" s="316">
        <f t="shared" si="73"/>
        <v>0</v>
      </c>
      <c r="AF153" s="316"/>
      <c r="AG153" s="316"/>
      <c r="AH153" s="316"/>
      <c r="AI153" s="316"/>
      <c r="AJ153" s="316"/>
      <c r="AK153" s="316">
        <f t="shared" ref="AK153:BX153" si="74">-(AK25+AK117)</f>
        <v>0</v>
      </c>
      <c r="AL153" s="316">
        <f t="shared" si="74"/>
        <v>0</v>
      </c>
      <c r="AM153" s="316">
        <f t="shared" si="74"/>
        <v>0</v>
      </c>
      <c r="AN153" s="316">
        <f t="shared" si="74"/>
        <v>0</v>
      </c>
      <c r="AO153" s="316">
        <f t="shared" si="74"/>
        <v>0</v>
      </c>
      <c r="AP153" s="316">
        <f t="shared" si="74"/>
        <v>0</v>
      </c>
      <c r="AQ153" s="316">
        <f t="shared" si="74"/>
        <v>0</v>
      </c>
      <c r="AR153" s="316">
        <f t="shared" si="74"/>
        <v>0</v>
      </c>
      <c r="AS153" s="316">
        <f t="shared" si="74"/>
        <v>0</v>
      </c>
      <c r="AT153" s="316">
        <f t="shared" si="74"/>
        <v>0</v>
      </c>
      <c r="AU153" s="316">
        <f t="shared" si="74"/>
        <v>0</v>
      </c>
      <c r="AV153" s="316">
        <f t="shared" si="74"/>
        <v>0</v>
      </c>
      <c r="AW153" s="316">
        <f t="shared" si="74"/>
        <v>0</v>
      </c>
      <c r="AX153" s="316">
        <f t="shared" si="74"/>
        <v>0</v>
      </c>
      <c r="AY153" s="316">
        <f t="shared" si="74"/>
        <v>0</v>
      </c>
      <c r="AZ153" s="316">
        <f t="shared" si="74"/>
        <v>0</v>
      </c>
      <c r="BA153" s="316">
        <f t="shared" si="74"/>
        <v>0</v>
      </c>
      <c r="BB153" s="316">
        <f t="shared" si="74"/>
        <v>0</v>
      </c>
      <c r="BC153" s="316">
        <f t="shared" si="74"/>
        <v>0</v>
      </c>
      <c r="BD153" s="316">
        <f t="shared" si="74"/>
        <v>0</v>
      </c>
      <c r="BE153" s="316">
        <f t="shared" si="74"/>
        <v>0</v>
      </c>
      <c r="BF153" s="316">
        <f t="shared" si="74"/>
        <v>0</v>
      </c>
      <c r="BG153" s="316">
        <f t="shared" si="74"/>
        <v>0</v>
      </c>
      <c r="BH153" s="316">
        <f t="shared" si="74"/>
        <v>0</v>
      </c>
      <c r="BI153" s="316">
        <f t="shared" si="74"/>
        <v>0</v>
      </c>
      <c r="BJ153" s="316">
        <f t="shared" si="74"/>
        <v>0</v>
      </c>
      <c r="BK153" s="316">
        <f t="shared" si="74"/>
        <v>0</v>
      </c>
      <c r="BL153" s="316">
        <f t="shared" si="74"/>
        <v>0</v>
      </c>
      <c r="BM153" s="316">
        <f t="shared" si="74"/>
        <v>0</v>
      </c>
      <c r="BN153" s="316">
        <f t="shared" si="74"/>
        <v>0</v>
      </c>
      <c r="BO153" s="316">
        <f t="shared" si="74"/>
        <v>0</v>
      </c>
      <c r="BP153" s="316">
        <f t="shared" si="74"/>
        <v>0</v>
      </c>
      <c r="BQ153" s="316">
        <f t="shared" si="74"/>
        <v>0</v>
      </c>
      <c r="BR153" s="316">
        <f t="shared" si="74"/>
        <v>0</v>
      </c>
      <c r="BS153" s="316">
        <f t="shared" si="74"/>
        <v>0</v>
      </c>
      <c r="BT153" s="316">
        <f t="shared" si="74"/>
        <v>0</v>
      </c>
      <c r="BU153" s="316">
        <f t="shared" si="74"/>
        <v>0</v>
      </c>
      <c r="BV153" s="316">
        <f t="shared" si="74"/>
        <v>0</v>
      </c>
      <c r="BW153" s="316">
        <f t="shared" si="74"/>
        <v>0</v>
      </c>
      <c r="BX153" s="316">
        <f t="shared" si="74"/>
        <v>0</v>
      </c>
    </row>
    <row r="154" spans="3:76" hidden="1">
      <c r="C154" s="314" t="s">
        <v>353</v>
      </c>
      <c r="D154" s="323"/>
      <c r="E154" s="315"/>
      <c r="F154" s="315"/>
      <c r="G154" s="315"/>
      <c r="H154" s="315"/>
      <c r="I154" s="315"/>
      <c r="J154" s="315"/>
      <c r="K154" s="315"/>
      <c r="L154" s="315"/>
      <c r="M154" s="315"/>
      <c r="N154" s="315"/>
      <c r="O154" s="315"/>
      <c r="P154" s="315"/>
      <c r="Q154" s="315"/>
      <c r="R154" s="315"/>
      <c r="S154" s="315"/>
      <c r="T154" s="315"/>
      <c r="U154" s="315"/>
      <c r="V154" s="315"/>
      <c r="W154" s="315"/>
      <c r="X154" s="315"/>
      <c r="Y154" s="315"/>
      <c r="Z154" s="315"/>
      <c r="AA154" s="315"/>
      <c r="AB154" s="315"/>
      <c r="AC154" s="315"/>
      <c r="AD154" s="315"/>
      <c r="AE154" s="315"/>
      <c r="AF154" s="315"/>
      <c r="AG154" s="315"/>
      <c r="AH154" s="315"/>
      <c r="AI154" s="315"/>
      <c r="AJ154" s="315"/>
      <c r="AK154" s="315"/>
      <c r="AL154" s="315"/>
      <c r="AM154" s="315"/>
      <c r="AN154" s="315"/>
      <c r="AO154" s="315"/>
      <c r="AP154" s="315"/>
      <c r="AQ154" s="315"/>
      <c r="AR154" s="315"/>
      <c r="AS154" s="315"/>
      <c r="AT154" s="315"/>
      <c r="AU154" s="315"/>
      <c r="AV154" s="315"/>
      <c r="AW154" s="315"/>
      <c r="AX154" s="315"/>
      <c r="AY154" s="315"/>
      <c r="AZ154" s="315"/>
      <c r="BA154" s="315"/>
      <c r="BB154" s="315"/>
      <c r="BC154" s="316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</row>
    <row r="155" spans="3:76" hidden="1">
      <c r="C155" s="314" t="s">
        <v>343</v>
      </c>
      <c r="D155" s="323"/>
      <c r="E155" s="315">
        <f t="shared" ref="E155:Z155" si="75">-E76</f>
        <v>0</v>
      </c>
      <c r="F155" s="315">
        <f t="shared" si="75"/>
        <v>0</v>
      </c>
      <c r="G155" s="315">
        <f t="shared" si="75"/>
        <v>0</v>
      </c>
      <c r="H155" s="315">
        <f t="shared" si="75"/>
        <v>0</v>
      </c>
      <c r="I155" s="315">
        <f t="shared" si="75"/>
        <v>0</v>
      </c>
      <c r="J155" s="315">
        <f t="shared" si="75"/>
        <v>0</v>
      </c>
      <c r="K155" s="315">
        <f t="shared" si="75"/>
        <v>0</v>
      </c>
      <c r="L155" s="315">
        <f t="shared" si="75"/>
        <v>0</v>
      </c>
      <c r="M155" s="315">
        <f t="shared" si="75"/>
        <v>0</v>
      </c>
      <c r="N155" s="315">
        <f t="shared" si="75"/>
        <v>0</v>
      </c>
      <c r="O155" s="315">
        <f t="shared" si="75"/>
        <v>0</v>
      </c>
      <c r="P155" s="315">
        <f t="shared" si="75"/>
        <v>0</v>
      </c>
      <c r="Q155" s="315">
        <f t="shared" si="75"/>
        <v>0</v>
      </c>
      <c r="R155" s="315">
        <f t="shared" si="75"/>
        <v>0</v>
      </c>
      <c r="S155" s="315">
        <f t="shared" si="75"/>
        <v>0</v>
      </c>
      <c r="T155" s="315">
        <f t="shared" si="75"/>
        <v>0</v>
      </c>
      <c r="U155" s="315">
        <f t="shared" si="75"/>
        <v>0</v>
      </c>
      <c r="V155" s="315">
        <f t="shared" si="75"/>
        <v>0</v>
      </c>
      <c r="W155" s="315">
        <f t="shared" si="75"/>
        <v>0</v>
      </c>
      <c r="X155" s="315">
        <f t="shared" si="75"/>
        <v>0</v>
      </c>
      <c r="Y155" s="315">
        <f t="shared" si="75"/>
        <v>0</v>
      </c>
      <c r="Z155" s="315">
        <f t="shared" si="75"/>
        <v>0</v>
      </c>
      <c r="AA155" s="315"/>
      <c r="AB155" s="315">
        <f t="shared" ref="AB155:AE155" si="76">-AB76</f>
        <v>0</v>
      </c>
      <c r="AC155" s="315">
        <f t="shared" si="76"/>
        <v>0</v>
      </c>
      <c r="AD155" s="315">
        <f t="shared" si="76"/>
        <v>0</v>
      </c>
      <c r="AE155" s="315">
        <f t="shared" si="76"/>
        <v>0</v>
      </c>
      <c r="AF155" s="315"/>
      <c r="AG155" s="315"/>
      <c r="AH155" s="315"/>
      <c r="AI155" s="315"/>
      <c r="AJ155" s="315"/>
      <c r="AK155" s="315">
        <f t="shared" ref="AK155:BX155" si="77">-AK76</f>
        <v>0</v>
      </c>
      <c r="AL155" s="315">
        <f t="shared" si="77"/>
        <v>0</v>
      </c>
      <c r="AM155" s="315">
        <f t="shared" si="77"/>
        <v>0</v>
      </c>
      <c r="AN155" s="315">
        <f t="shared" si="77"/>
        <v>0</v>
      </c>
      <c r="AO155" s="315">
        <f t="shared" si="77"/>
        <v>0</v>
      </c>
      <c r="AP155" s="315">
        <f t="shared" si="77"/>
        <v>0</v>
      </c>
      <c r="AQ155" s="315">
        <f t="shared" si="77"/>
        <v>0</v>
      </c>
      <c r="AR155" s="315">
        <f t="shared" si="77"/>
        <v>0</v>
      </c>
      <c r="AS155" s="315">
        <f t="shared" si="77"/>
        <v>0</v>
      </c>
      <c r="AT155" s="315">
        <f t="shared" si="77"/>
        <v>0</v>
      </c>
      <c r="AU155" s="315">
        <f t="shared" si="77"/>
        <v>0</v>
      </c>
      <c r="AV155" s="315">
        <f t="shared" si="77"/>
        <v>0</v>
      </c>
      <c r="AW155" s="315">
        <f t="shared" si="77"/>
        <v>0</v>
      </c>
      <c r="AX155" s="315">
        <f t="shared" si="77"/>
        <v>0</v>
      </c>
      <c r="AY155" s="315">
        <f t="shared" si="77"/>
        <v>0</v>
      </c>
      <c r="AZ155" s="315">
        <f t="shared" si="77"/>
        <v>0</v>
      </c>
      <c r="BA155" s="315">
        <f t="shared" si="77"/>
        <v>0</v>
      </c>
      <c r="BB155" s="315">
        <f t="shared" si="77"/>
        <v>0</v>
      </c>
      <c r="BC155" s="315">
        <f t="shared" si="77"/>
        <v>0</v>
      </c>
      <c r="BD155" s="315">
        <f t="shared" si="77"/>
        <v>0</v>
      </c>
      <c r="BE155" s="315">
        <f t="shared" si="77"/>
        <v>0</v>
      </c>
      <c r="BF155" s="315">
        <f t="shared" si="77"/>
        <v>0</v>
      </c>
      <c r="BG155" s="315">
        <f t="shared" si="77"/>
        <v>0</v>
      </c>
      <c r="BH155" s="315">
        <f t="shared" si="77"/>
        <v>0</v>
      </c>
      <c r="BI155" s="315">
        <f t="shared" si="77"/>
        <v>0</v>
      </c>
      <c r="BJ155" s="315">
        <f t="shared" si="77"/>
        <v>0</v>
      </c>
      <c r="BK155" s="315">
        <f t="shared" si="77"/>
        <v>0</v>
      </c>
      <c r="BL155" s="315">
        <f t="shared" si="77"/>
        <v>0</v>
      </c>
      <c r="BM155" s="315">
        <f t="shared" si="77"/>
        <v>0</v>
      </c>
      <c r="BN155" s="315">
        <f t="shared" si="77"/>
        <v>0</v>
      </c>
      <c r="BO155" s="315">
        <f t="shared" si="77"/>
        <v>0</v>
      </c>
      <c r="BP155" s="315">
        <f t="shared" si="77"/>
        <v>0</v>
      </c>
      <c r="BQ155" s="315">
        <f t="shared" si="77"/>
        <v>0</v>
      </c>
      <c r="BR155" s="315">
        <f t="shared" si="77"/>
        <v>0</v>
      </c>
      <c r="BS155" s="315">
        <f t="shared" si="77"/>
        <v>0</v>
      </c>
      <c r="BT155" s="315">
        <f t="shared" si="77"/>
        <v>0</v>
      </c>
      <c r="BU155" s="315">
        <f t="shared" si="77"/>
        <v>0</v>
      </c>
      <c r="BV155" s="315">
        <f t="shared" si="77"/>
        <v>0</v>
      </c>
      <c r="BW155" s="315">
        <f t="shared" si="77"/>
        <v>0</v>
      </c>
      <c r="BX155" s="315">
        <f t="shared" si="77"/>
        <v>0</v>
      </c>
    </row>
    <row r="156" spans="3:76" hidden="1">
      <c r="C156" s="314" t="s">
        <v>344</v>
      </c>
      <c r="D156" s="323"/>
      <c r="E156" s="315"/>
      <c r="F156" s="315"/>
      <c r="G156" s="315"/>
      <c r="H156" s="315"/>
      <c r="I156" s="315"/>
      <c r="J156" s="315"/>
      <c r="K156" s="315"/>
      <c r="L156" s="315"/>
      <c r="M156" s="315"/>
      <c r="N156" s="315"/>
      <c r="O156" s="315"/>
      <c r="P156" s="315"/>
      <c r="Q156" s="315"/>
      <c r="R156" s="315"/>
      <c r="S156" s="315"/>
      <c r="T156" s="315">
        <f>5500000</f>
        <v>5500000</v>
      </c>
      <c r="U156" s="315"/>
      <c r="V156" s="315"/>
      <c r="W156" s="315"/>
      <c r="X156" s="315"/>
      <c r="Y156" s="315"/>
      <c r="Z156" s="315"/>
      <c r="AA156" s="315"/>
      <c r="AB156" s="315"/>
      <c r="AC156" s="315"/>
      <c r="AD156" s="315"/>
      <c r="AE156" s="315"/>
      <c r="AF156" s="315"/>
      <c r="AG156" s="315"/>
      <c r="AH156" s="315"/>
      <c r="AI156" s="315"/>
      <c r="AJ156" s="315"/>
      <c r="AK156" s="315"/>
      <c r="AL156" s="315"/>
      <c r="AM156" s="315"/>
      <c r="AN156" s="315"/>
      <c r="AO156" s="315"/>
      <c r="AP156" s="315"/>
      <c r="AQ156" s="315"/>
      <c r="AR156" s="315"/>
      <c r="AS156" s="315"/>
      <c r="AT156" s="315"/>
      <c r="AU156" s="315"/>
      <c r="AV156" s="315"/>
      <c r="AW156" s="315"/>
      <c r="AX156" s="315"/>
      <c r="AY156" s="315"/>
      <c r="AZ156" s="315"/>
      <c r="BA156" s="315"/>
      <c r="BB156" s="315"/>
      <c r="BC156" s="316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>
        <f>IF(D128&gt;0.25,(BX123-BX131)*D157,BX123*D157)</f>
        <v>0</v>
      </c>
    </row>
    <row r="157" spans="3:76" hidden="1">
      <c r="C157" s="317" t="s">
        <v>345</v>
      </c>
      <c r="D157" s="323">
        <v>0</v>
      </c>
      <c r="E157" s="315"/>
      <c r="F157" s="315"/>
      <c r="G157" s="315"/>
      <c r="H157" s="315"/>
      <c r="I157" s="315"/>
      <c r="J157" s="315"/>
      <c r="K157" s="315"/>
      <c r="L157" s="315"/>
      <c r="M157" s="315"/>
      <c r="N157" s="315"/>
      <c r="O157" s="315"/>
      <c r="P157" s="315"/>
      <c r="Q157" s="315"/>
      <c r="R157" s="315"/>
      <c r="S157" s="315"/>
      <c r="T157" s="315"/>
      <c r="U157" s="315"/>
      <c r="V157" s="315"/>
      <c r="W157" s="315"/>
      <c r="X157" s="315"/>
      <c r="Y157" s="315"/>
      <c r="Z157" s="315"/>
      <c r="AA157" s="315"/>
      <c r="AB157" s="315"/>
      <c r="AC157" s="315"/>
      <c r="AD157" s="315"/>
      <c r="AE157" s="315"/>
      <c r="AF157" s="315"/>
      <c r="AG157" s="315"/>
      <c r="AH157" s="315"/>
      <c r="AI157" s="315"/>
      <c r="AJ157" s="315"/>
      <c r="AK157" s="315"/>
      <c r="AL157" s="315"/>
      <c r="AM157" s="315"/>
      <c r="AN157" s="315"/>
      <c r="AO157" s="315"/>
      <c r="AP157" s="315"/>
      <c r="AQ157" s="315"/>
      <c r="AR157" s="315"/>
      <c r="AS157" s="315"/>
      <c r="AT157" s="315"/>
      <c r="AU157" s="315"/>
      <c r="AV157" s="315"/>
      <c r="AW157" s="315"/>
      <c r="AX157" s="315"/>
      <c r="AY157" s="315"/>
      <c r="AZ157" s="315"/>
      <c r="BA157" s="315"/>
      <c r="BB157" s="315"/>
      <c r="BC157" s="316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</row>
    <row r="158" spans="3:76" hidden="1">
      <c r="C158" s="314" t="s">
        <v>346</v>
      </c>
      <c r="D158" s="315"/>
      <c r="E158" s="325">
        <f t="shared" ref="E158:Z158" si="78">E153+E154+E155+E156+E157</f>
        <v>0</v>
      </c>
      <c r="F158" s="325">
        <f t="shared" si="78"/>
        <v>0</v>
      </c>
      <c r="G158" s="325">
        <f t="shared" si="78"/>
        <v>0</v>
      </c>
      <c r="H158" s="325">
        <f t="shared" si="78"/>
        <v>-10682501</v>
      </c>
      <c r="I158" s="325">
        <f t="shared" si="78"/>
        <v>0</v>
      </c>
      <c r="J158" s="325">
        <f t="shared" si="78"/>
        <v>0</v>
      </c>
      <c r="K158" s="325">
        <f t="shared" si="78"/>
        <v>0</v>
      </c>
      <c r="L158" s="325">
        <f t="shared" si="78"/>
        <v>15913.92</v>
      </c>
      <c r="M158" s="325">
        <f t="shared" si="78"/>
        <v>0</v>
      </c>
      <c r="N158" s="325">
        <f t="shared" si="78"/>
        <v>0</v>
      </c>
      <c r="O158" s="325">
        <f t="shared" si="78"/>
        <v>0</v>
      </c>
      <c r="P158" s="325">
        <f t="shared" si="78"/>
        <v>0</v>
      </c>
      <c r="Q158" s="325">
        <f t="shared" si="78"/>
        <v>36051</v>
      </c>
      <c r="R158" s="325">
        <f t="shared" si="78"/>
        <v>314600</v>
      </c>
      <c r="S158" s="325">
        <f t="shared" si="78"/>
        <v>0</v>
      </c>
      <c r="T158" s="325">
        <f t="shared" si="78"/>
        <v>16182501</v>
      </c>
      <c r="U158" s="325">
        <f t="shared" si="78"/>
        <v>471900</v>
      </c>
      <c r="V158" s="325">
        <f t="shared" si="78"/>
        <v>0</v>
      </c>
      <c r="W158" s="325">
        <f t="shared" si="78"/>
        <v>0</v>
      </c>
      <c r="X158" s="325">
        <f t="shared" si="78"/>
        <v>0</v>
      </c>
      <c r="Y158" s="325">
        <f t="shared" si="78"/>
        <v>0</v>
      </c>
      <c r="Z158" s="325">
        <f t="shared" si="78"/>
        <v>0</v>
      </c>
      <c r="AA158" s="325"/>
      <c r="AB158" s="325">
        <f t="shared" ref="AB158:AE158" si="79">AB153+AB154+AB155+AB156+AB157</f>
        <v>0</v>
      </c>
      <c r="AC158" s="325">
        <f t="shared" si="79"/>
        <v>0</v>
      </c>
      <c r="AD158" s="325">
        <f t="shared" si="79"/>
        <v>0</v>
      </c>
      <c r="AE158" s="325">
        <f t="shared" si="79"/>
        <v>0</v>
      </c>
      <c r="AF158" s="325"/>
      <c r="AG158" s="325"/>
      <c r="AH158" s="325"/>
      <c r="AI158" s="325"/>
      <c r="AJ158" s="325"/>
      <c r="AK158" s="325">
        <f t="shared" ref="AK158:BX158" si="80">AK153+AK154+AK155+AK156+AK157</f>
        <v>0</v>
      </c>
      <c r="AL158" s="325">
        <f t="shared" si="80"/>
        <v>0</v>
      </c>
      <c r="AM158" s="325">
        <f t="shared" si="80"/>
        <v>0</v>
      </c>
      <c r="AN158" s="325">
        <f t="shared" si="80"/>
        <v>0</v>
      </c>
      <c r="AO158" s="325">
        <f t="shared" si="80"/>
        <v>0</v>
      </c>
      <c r="AP158" s="325">
        <f t="shared" si="80"/>
        <v>0</v>
      </c>
      <c r="AQ158" s="325">
        <f t="shared" si="80"/>
        <v>0</v>
      </c>
      <c r="AR158" s="325">
        <f t="shared" si="80"/>
        <v>0</v>
      </c>
      <c r="AS158" s="325">
        <f t="shared" si="80"/>
        <v>0</v>
      </c>
      <c r="AT158" s="325">
        <f t="shared" si="80"/>
        <v>0</v>
      </c>
      <c r="AU158" s="325">
        <f t="shared" si="80"/>
        <v>0</v>
      </c>
      <c r="AV158" s="325">
        <f t="shared" si="80"/>
        <v>0</v>
      </c>
      <c r="AW158" s="325">
        <f t="shared" si="80"/>
        <v>0</v>
      </c>
      <c r="AX158" s="325">
        <f t="shared" si="80"/>
        <v>0</v>
      </c>
      <c r="AY158" s="325">
        <f t="shared" si="80"/>
        <v>0</v>
      </c>
      <c r="AZ158" s="325">
        <f t="shared" si="80"/>
        <v>0</v>
      </c>
      <c r="BA158" s="325">
        <f t="shared" si="80"/>
        <v>0</v>
      </c>
      <c r="BB158" s="325">
        <f t="shared" si="80"/>
        <v>0</v>
      </c>
      <c r="BC158" s="325">
        <f t="shared" si="80"/>
        <v>0</v>
      </c>
      <c r="BD158" s="325">
        <f t="shared" si="80"/>
        <v>0</v>
      </c>
      <c r="BE158" s="325">
        <f t="shared" si="80"/>
        <v>0</v>
      </c>
      <c r="BF158" s="325">
        <f t="shared" si="80"/>
        <v>0</v>
      </c>
      <c r="BG158" s="325">
        <f t="shared" si="80"/>
        <v>0</v>
      </c>
      <c r="BH158" s="325">
        <f t="shared" si="80"/>
        <v>0</v>
      </c>
      <c r="BI158" s="325">
        <f t="shared" si="80"/>
        <v>0</v>
      </c>
      <c r="BJ158" s="325">
        <f t="shared" si="80"/>
        <v>0</v>
      </c>
      <c r="BK158" s="325">
        <f t="shared" si="80"/>
        <v>0</v>
      </c>
      <c r="BL158" s="325">
        <f t="shared" si="80"/>
        <v>0</v>
      </c>
      <c r="BM158" s="325">
        <f t="shared" si="80"/>
        <v>0</v>
      </c>
      <c r="BN158" s="325">
        <f t="shared" si="80"/>
        <v>0</v>
      </c>
      <c r="BO158" s="325">
        <f t="shared" si="80"/>
        <v>0</v>
      </c>
      <c r="BP158" s="325">
        <f t="shared" si="80"/>
        <v>0</v>
      </c>
      <c r="BQ158" s="325">
        <f t="shared" si="80"/>
        <v>0</v>
      </c>
      <c r="BR158" s="325">
        <f t="shared" si="80"/>
        <v>0</v>
      </c>
      <c r="BS158" s="325">
        <f t="shared" si="80"/>
        <v>0</v>
      </c>
      <c r="BT158" s="325">
        <f t="shared" si="80"/>
        <v>0</v>
      </c>
      <c r="BU158" s="325">
        <f t="shared" si="80"/>
        <v>0</v>
      </c>
      <c r="BV158" s="325">
        <f t="shared" si="80"/>
        <v>0</v>
      </c>
      <c r="BW158" s="325">
        <f t="shared" si="80"/>
        <v>0</v>
      </c>
      <c r="BX158" s="325">
        <f t="shared" si="80"/>
        <v>0</v>
      </c>
    </row>
    <row r="159" spans="3:76" hidden="1">
      <c r="C159" s="318"/>
      <c r="D159" s="326" t="s">
        <v>354</v>
      </c>
      <c r="E159" s="330">
        <f>E158</f>
        <v>0</v>
      </c>
      <c r="F159" s="330">
        <f t="shared" ref="F159:Z159" si="81">E159+F158</f>
        <v>0</v>
      </c>
      <c r="G159" s="330">
        <f t="shared" si="81"/>
        <v>0</v>
      </c>
      <c r="H159" s="330">
        <f t="shared" si="81"/>
        <v>-10682501</v>
      </c>
      <c r="I159" s="330">
        <f t="shared" si="81"/>
        <v>-10682501</v>
      </c>
      <c r="J159" s="330">
        <f t="shared" si="81"/>
        <v>-10682501</v>
      </c>
      <c r="K159" s="330">
        <f t="shared" si="81"/>
        <v>-10682501</v>
      </c>
      <c r="L159" s="330">
        <f t="shared" si="81"/>
        <v>-10666587.08</v>
      </c>
      <c r="M159" s="330">
        <f t="shared" si="81"/>
        <v>-10666587.08</v>
      </c>
      <c r="N159" s="330">
        <f t="shared" si="81"/>
        <v>-10666587.08</v>
      </c>
      <c r="O159" s="330">
        <f t="shared" si="81"/>
        <v>-10666587.08</v>
      </c>
      <c r="P159" s="330">
        <f t="shared" si="81"/>
        <v>-10666587.08</v>
      </c>
      <c r="Q159" s="330">
        <f t="shared" si="81"/>
        <v>-10630536.08</v>
      </c>
      <c r="R159" s="330">
        <f t="shared" si="81"/>
        <v>-10315936.08</v>
      </c>
      <c r="S159" s="330">
        <f t="shared" si="81"/>
        <v>-10315936.08</v>
      </c>
      <c r="T159" s="330">
        <f t="shared" si="81"/>
        <v>5866564.9199999999</v>
      </c>
      <c r="U159" s="330">
        <f t="shared" si="81"/>
        <v>6338464.9199999999</v>
      </c>
      <c r="V159" s="331">
        <f t="shared" si="81"/>
        <v>6338464.9199999999</v>
      </c>
      <c r="W159" s="331">
        <f t="shared" si="81"/>
        <v>6338464.9199999999</v>
      </c>
      <c r="X159" s="331">
        <f t="shared" si="81"/>
        <v>6338464.9199999999</v>
      </c>
      <c r="Y159" s="331">
        <f t="shared" si="81"/>
        <v>6338464.9199999999</v>
      </c>
      <c r="Z159" s="331">
        <f t="shared" si="81"/>
        <v>6338464.9199999999</v>
      </c>
      <c r="AA159" s="331"/>
      <c r="AB159" s="331">
        <f t="shared" ref="AB159:AE159" si="82">AA159+AB158</f>
        <v>0</v>
      </c>
      <c r="AC159" s="331">
        <f t="shared" si="82"/>
        <v>0</v>
      </c>
      <c r="AD159" s="331">
        <f t="shared" si="82"/>
        <v>0</v>
      </c>
      <c r="AE159" s="331">
        <f t="shared" si="82"/>
        <v>0</v>
      </c>
      <c r="AF159" s="331"/>
      <c r="AG159" s="331"/>
      <c r="AH159" s="331"/>
      <c r="AI159" s="331"/>
      <c r="AJ159" s="331"/>
      <c r="AK159" s="331">
        <f t="shared" ref="AK159:BX159" si="83">AJ159+AK158</f>
        <v>0</v>
      </c>
      <c r="AL159" s="331">
        <f t="shared" si="83"/>
        <v>0</v>
      </c>
      <c r="AM159" s="331">
        <f t="shared" si="83"/>
        <v>0</v>
      </c>
      <c r="AN159" s="331">
        <f t="shared" si="83"/>
        <v>0</v>
      </c>
      <c r="AO159" s="331">
        <f t="shared" si="83"/>
        <v>0</v>
      </c>
      <c r="AP159" s="331">
        <f t="shared" si="83"/>
        <v>0</v>
      </c>
      <c r="AQ159" s="331">
        <f t="shared" si="83"/>
        <v>0</v>
      </c>
      <c r="AR159" s="331">
        <f t="shared" si="83"/>
        <v>0</v>
      </c>
      <c r="AS159" s="331">
        <f t="shared" si="83"/>
        <v>0</v>
      </c>
      <c r="AT159" s="331">
        <f t="shared" si="83"/>
        <v>0</v>
      </c>
      <c r="AU159" s="331">
        <f t="shared" si="83"/>
        <v>0</v>
      </c>
      <c r="AV159" s="331">
        <f t="shared" si="83"/>
        <v>0</v>
      </c>
      <c r="AW159" s="331">
        <f t="shared" si="83"/>
        <v>0</v>
      </c>
      <c r="AX159" s="331">
        <f t="shared" si="83"/>
        <v>0</v>
      </c>
      <c r="AY159" s="331">
        <f t="shared" si="83"/>
        <v>0</v>
      </c>
      <c r="AZ159" s="331">
        <f t="shared" si="83"/>
        <v>0</v>
      </c>
      <c r="BA159" s="331">
        <f t="shared" si="83"/>
        <v>0</v>
      </c>
      <c r="BB159" s="331">
        <f t="shared" si="83"/>
        <v>0</v>
      </c>
      <c r="BC159" s="330">
        <f t="shared" si="83"/>
        <v>0</v>
      </c>
      <c r="BD159" s="330">
        <f t="shared" si="83"/>
        <v>0</v>
      </c>
      <c r="BE159" s="330">
        <f t="shared" si="83"/>
        <v>0</v>
      </c>
      <c r="BF159" s="330">
        <f t="shared" si="83"/>
        <v>0</v>
      </c>
      <c r="BG159" s="330">
        <f t="shared" si="83"/>
        <v>0</v>
      </c>
      <c r="BH159" s="330">
        <f t="shared" si="83"/>
        <v>0</v>
      </c>
      <c r="BI159" s="330">
        <f t="shared" si="83"/>
        <v>0</v>
      </c>
      <c r="BJ159" s="330">
        <f t="shared" si="83"/>
        <v>0</v>
      </c>
      <c r="BK159" s="330">
        <f t="shared" si="83"/>
        <v>0</v>
      </c>
      <c r="BL159" s="330">
        <f t="shared" si="83"/>
        <v>0</v>
      </c>
      <c r="BM159" s="330">
        <f t="shared" si="83"/>
        <v>0</v>
      </c>
      <c r="BN159" s="330">
        <f t="shared" si="83"/>
        <v>0</v>
      </c>
      <c r="BO159" s="330">
        <f t="shared" si="83"/>
        <v>0</v>
      </c>
      <c r="BP159" s="330">
        <f t="shared" si="83"/>
        <v>0</v>
      </c>
      <c r="BQ159" s="330">
        <f t="shared" si="83"/>
        <v>0</v>
      </c>
      <c r="BR159" s="330">
        <f t="shared" si="83"/>
        <v>0</v>
      </c>
      <c r="BS159" s="330">
        <f t="shared" si="83"/>
        <v>0</v>
      </c>
      <c r="BT159" s="330">
        <f t="shared" si="83"/>
        <v>0</v>
      </c>
      <c r="BU159" s="330">
        <f t="shared" si="83"/>
        <v>0</v>
      </c>
      <c r="BV159" s="330">
        <f t="shared" si="83"/>
        <v>0</v>
      </c>
      <c r="BW159" s="330">
        <f t="shared" si="83"/>
        <v>0</v>
      </c>
      <c r="BX159" s="330">
        <f t="shared" si="83"/>
        <v>0</v>
      </c>
    </row>
    <row r="160" spans="3:76" hidden="1">
      <c r="C160" s="317" t="s">
        <v>339</v>
      </c>
      <c r="D160" s="326">
        <f>IRR(H158:T158)*12</f>
        <v>0.44790369226741511</v>
      </c>
      <c r="E160" s="226"/>
      <c r="F160" s="226"/>
      <c r="G160" s="226"/>
      <c r="H160" s="226"/>
      <c r="I160" s="226"/>
      <c r="J160" s="226"/>
      <c r="K160" s="226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6"/>
      <c r="AA160" s="226"/>
      <c r="AB160" s="226"/>
      <c r="AC160" s="226"/>
      <c r="AD160" s="226"/>
      <c r="AE160" s="226"/>
      <c r="AF160" s="226"/>
      <c r="AG160" s="226"/>
      <c r="AH160" s="226"/>
      <c r="AI160" s="226"/>
      <c r="AJ160" s="226"/>
      <c r="AK160" s="226"/>
      <c r="AL160" s="226"/>
      <c r="AM160" s="226"/>
      <c r="AN160" s="226"/>
      <c r="AO160" s="226"/>
      <c r="AP160" s="226"/>
      <c r="AQ160" s="226"/>
      <c r="AR160" s="226"/>
      <c r="AS160" s="226"/>
      <c r="AT160" s="226"/>
      <c r="AU160" s="226"/>
      <c r="AV160" s="226"/>
      <c r="AW160" s="226"/>
      <c r="AX160" s="226"/>
      <c r="AY160" s="226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  <c r="BX160" s="226"/>
    </row>
    <row r="161" spans="3:76" hidden="1">
      <c r="C161" s="327" t="s">
        <v>347</v>
      </c>
      <c r="D161" s="328">
        <f>-MIN(M159:BL159)-D162</f>
        <v>10666587.08</v>
      </c>
      <c r="E161" s="226"/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  <c r="AC161" s="226"/>
      <c r="AD161" s="226"/>
      <c r="AE161" s="226"/>
      <c r="AF161" s="226"/>
      <c r="AG161" s="226"/>
      <c r="AH161" s="226"/>
      <c r="AI161" s="226"/>
      <c r="AJ161" s="226"/>
      <c r="AK161" s="226"/>
      <c r="AL161" s="226"/>
      <c r="AM161" s="226"/>
      <c r="AN161" s="226"/>
      <c r="AO161" s="226"/>
      <c r="AP161" s="226"/>
      <c r="AQ161" s="226"/>
      <c r="AR161" s="226"/>
      <c r="AS161" s="226"/>
      <c r="AT161" s="226"/>
      <c r="AU161" s="226"/>
      <c r="AV161" s="226"/>
      <c r="AW161" s="226"/>
      <c r="AX161" s="226"/>
      <c r="AY161" s="226"/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  <c r="BX161" s="226"/>
    </row>
    <row r="162" spans="3:76" hidden="1">
      <c r="C162" s="327" t="s">
        <v>348</v>
      </c>
      <c r="D162" s="328">
        <f>-SUM(M157:BB157)</f>
        <v>0</v>
      </c>
      <c r="E162" s="226"/>
      <c r="F162" s="226"/>
      <c r="G162" s="226"/>
      <c r="H162" s="226"/>
      <c r="I162" s="226"/>
      <c r="J162" s="226"/>
      <c r="K162" s="226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6"/>
      <c r="AA162" s="226"/>
      <c r="AB162" s="226"/>
      <c r="AC162" s="226"/>
      <c r="AD162" s="226"/>
      <c r="AE162" s="226"/>
      <c r="AF162" s="226"/>
      <c r="AG162" s="226"/>
      <c r="AH162" s="226"/>
      <c r="AI162" s="226"/>
      <c r="AJ162" s="226"/>
      <c r="AK162" s="226"/>
      <c r="AL162" s="226"/>
      <c r="AM162" s="226"/>
      <c r="AN162" s="226"/>
      <c r="AO162" s="226"/>
      <c r="AP162" s="226"/>
      <c r="AQ162" s="226"/>
      <c r="AR162" s="226"/>
      <c r="AS162" s="226"/>
      <c r="AT162" s="226"/>
      <c r="AU162" s="226"/>
      <c r="AV162" s="226"/>
      <c r="AW162" s="226"/>
      <c r="AX162" s="226"/>
      <c r="AY162" s="226"/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  <c r="BX162" s="226"/>
    </row>
    <row r="163" spans="3:76" hidden="1">
      <c r="C163" s="317" t="s">
        <v>349</v>
      </c>
      <c r="D163" s="329">
        <f>D162+D161</f>
        <v>10666587.08</v>
      </c>
      <c r="E163" s="226"/>
      <c r="F163" s="226"/>
      <c r="G163" s="226"/>
      <c r="H163" s="226"/>
      <c r="I163" s="226"/>
      <c r="J163" s="226"/>
      <c r="K163" s="226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6"/>
      <c r="AA163" s="226"/>
      <c r="AB163" s="226"/>
      <c r="AC163" s="226"/>
      <c r="AD163" s="226"/>
      <c r="AE163" s="226"/>
      <c r="AF163" s="226"/>
      <c r="AG163" s="226"/>
      <c r="AH163" s="226"/>
      <c r="AI163" s="226"/>
      <c r="AJ163" s="226"/>
      <c r="AK163" s="226"/>
      <c r="AL163" s="226"/>
      <c r="AM163" s="226"/>
      <c r="AN163" s="226"/>
      <c r="AO163" s="226"/>
      <c r="AP163" s="226"/>
      <c r="AQ163" s="226"/>
      <c r="AR163" s="226"/>
      <c r="AS163" s="226"/>
      <c r="AT163" s="226"/>
      <c r="AU163" s="226"/>
      <c r="AV163" s="226"/>
      <c r="AW163" s="226"/>
      <c r="AX163" s="226"/>
      <c r="AY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  <c r="BX163" s="226"/>
    </row>
    <row r="164" spans="3:76" hidden="1">
      <c r="C164" s="317" t="s">
        <v>350</v>
      </c>
      <c r="D164" s="329">
        <f>BX155+BX156</f>
        <v>0</v>
      </c>
      <c r="E164" s="226"/>
      <c r="F164" s="226"/>
      <c r="G164" s="226"/>
      <c r="H164" s="226"/>
      <c r="I164" s="226"/>
      <c r="J164" s="226"/>
      <c r="K164" s="226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6"/>
      <c r="AA164" s="226"/>
      <c r="AB164" s="226"/>
      <c r="AC164" s="226"/>
      <c r="AD164" s="226"/>
      <c r="AE164" s="226"/>
      <c r="AF164" s="226"/>
      <c r="AG164" s="226"/>
      <c r="AH164" s="226"/>
      <c r="AI164" s="226"/>
      <c r="AJ164" s="226"/>
      <c r="AK164" s="226"/>
      <c r="AL164" s="226"/>
      <c r="AM164" s="226"/>
      <c r="AN164" s="226"/>
      <c r="AO164" s="226"/>
      <c r="AP164" s="226"/>
      <c r="AQ164" s="226"/>
      <c r="AR164" s="226"/>
      <c r="AS164" s="226"/>
      <c r="AT164" s="226"/>
      <c r="AU164" s="226"/>
      <c r="AV164" s="226"/>
      <c r="AW164" s="226"/>
      <c r="AX164" s="226"/>
      <c r="AY164" s="226"/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  <c r="BX164" s="226"/>
    </row>
    <row r="165" spans="3:76" hidden="1">
      <c r="C165" s="317" t="s">
        <v>351</v>
      </c>
      <c r="D165" s="326">
        <f>T156/T153</f>
        <v>0.51486070537227191</v>
      </c>
      <c r="E165" s="226"/>
      <c r="F165" s="226"/>
      <c r="G165" s="226"/>
      <c r="H165" s="226"/>
      <c r="I165" s="226"/>
      <c r="J165" s="226"/>
      <c r="K165" s="226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6"/>
      <c r="AA165" s="226"/>
      <c r="AB165" s="226"/>
      <c r="AC165" s="226"/>
      <c r="AD165" s="226"/>
      <c r="AE165" s="226"/>
      <c r="AF165" s="226"/>
      <c r="AG165" s="226"/>
      <c r="AH165" s="226"/>
      <c r="AI165" s="226"/>
      <c r="AJ165" s="226"/>
      <c r="AK165" s="226"/>
      <c r="AL165" s="226"/>
      <c r="AM165" s="226"/>
      <c r="AN165" s="226"/>
      <c r="AO165" s="226"/>
      <c r="AP165" s="226"/>
      <c r="AQ165" s="226"/>
      <c r="AR165" s="226"/>
      <c r="AS165" s="226"/>
      <c r="AT165" s="226"/>
      <c r="AU165" s="226"/>
      <c r="AV165" s="226"/>
      <c r="AW165" s="226"/>
      <c r="AX165" s="226"/>
      <c r="AY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  <c r="BX165" s="226"/>
    </row>
    <row r="166" spans="3:76" ht="14" hidden="1"/>
    <row r="167" spans="3:76" ht="14" hidden="1"/>
    <row r="168" spans="3:76" hidden="1">
      <c r="E168" s="226"/>
      <c r="F168" s="226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6"/>
      <c r="AA168" s="226"/>
      <c r="AB168" s="226"/>
      <c r="AC168" s="226"/>
      <c r="AD168" s="226"/>
      <c r="AE168" s="226"/>
      <c r="AF168" s="226"/>
      <c r="AG168" s="226"/>
      <c r="AH168" s="226"/>
      <c r="AI168" s="226"/>
      <c r="AJ168" s="226"/>
      <c r="AK168" s="226"/>
      <c r="AL168" s="226"/>
      <c r="AM168" s="226"/>
      <c r="AN168" s="226"/>
      <c r="AO168" s="226"/>
      <c r="AP168" s="226"/>
      <c r="AQ168" s="226"/>
      <c r="AR168" s="226"/>
      <c r="AS168" s="226"/>
      <c r="AT168" s="226"/>
      <c r="AU168" s="226"/>
      <c r="AV168" s="226"/>
      <c r="AW168" s="226"/>
      <c r="AX168" s="226"/>
      <c r="AY168" s="226"/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  <c r="BX168" s="226"/>
    </row>
    <row r="169" spans="3:76" hidden="1">
      <c r="C169" s="314" t="s">
        <v>356</v>
      </c>
      <c r="D169" s="315"/>
      <c r="E169" s="315">
        <f t="shared" ref="E169:G169" si="84">-(E7+E94)</f>
        <v>0</v>
      </c>
      <c r="F169" s="315">
        <f t="shared" si="84"/>
        <v>0</v>
      </c>
      <c r="G169" s="315">
        <f t="shared" si="84"/>
        <v>0</v>
      </c>
      <c r="H169" s="315">
        <f>-5341205.5</f>
        <v>-5341205.5</v>
      </c>
      <c r="I169" s="315">
        <f t="shared" ref="I169:S169" si="85">-(I7+I94)</f>
        <v>0</v>
      </c>
      <c r="J169" s="315">
        <f t="shared" si="85"/>
        <v>0</v>
      </c>
      <c r="K169" s="315">
        <f t="shared" si="85"/>
        <v>0</v>
      </c>
      <c r="L169" s="315">
        <f t="shared" si="85"/>
        <v>0</v>
      </c>
      <c r="M169" s="315">
        <f t="shared" si="85"/>
        <v>0</v>
      </c>
      <c r="N169" s="315">
        <f t="shared" si="85"/>
        <v>0</v>
      </c>
      <c r="O169" s="315">
        <f t="shared" si="85"/>
        <v>0</v>
      </c>
      <c r="P169" s="315">
        <f t="shared" si="85"/>
        <v>0</v>
      </c>
      <c r="Q169" s="315">
        <f t="shared" si="85"/>
        <v>0</v>
      </c>
      <c r="R169" s="315">
        <f t="shared" si="85"/>
        <v>0</v>
      </c>
      <c r="S169" s="315">
        <f t="shared" si="85"/>
        <v>0</v>
      </c>
      <c r="T169" s="315">
        <f>5341205.5</f>
        <v>5341205.5</v>
      </c>
      <c r="U169" s="315">
        <f t="shared" ref="U169:Z169" si="86">-(U7+U94)</f>
        <v>0</v>
      </c>
      <c r="V169" s="315">
        <f t="shared" si="86"/>
        <v>0</v>
      </c>
      <c r="W169" s="315">
        <f t="shared" si="86"/>
        <v>0</v>
      </c>
      <c r="X169" s="315">
        <f t="shared" si="86"/>
        <v>0</v>
      </c>
      <c r="Y169" s="315">
        <f t="shared" si="86"/>
        <v>0</v>
      </c>
      <c r="Z169" s="315">
        <f t="shared" si="86"/>
        <v>0</v>
      </c>
      <c r="AA169" s="315"/>
      <c r="AB169" s="315">
        <f t="shared" ref="AB169:AE169" si="87">-(AB7+AB94)</f>
        <v>0</v>
      </c>
      <c r="AC169" s="315">
        <f t="shared" si="87"/>
        <v>0</v>
      </c>
      <c r="AD169" s="315">
        <f t="shared" si="87"/>
        <v>0</v>
      </c>
      <c r="AE169" s="315">
        <f t="shared" si="87"/>
        <v>0</v>
      </c>
      <c r="AF169" s="315"/>
      <c r="AG169" s="315"/>
      <c r="AH169" s="315"/>
      <c r="AI169" s="315"/>
      <c r="AJ169" s="315"/>
      <c r="AK169" s="315">
        <f t="shared" ref="AK169:BX169" si="88">-(AK7+AK94)</f>
        <v>0</v>
      </c>
      <c r="AL169" s="315">
        <f t="shared" si="88"/>
        <v>0</v>
      </c>
      <c r="AM169" s="315">
        <f t="shared" si="88"/>
        <v>0</v>
      </c>
      <c r="AN169" s="315">
        <f t="shared" si="88"/>
        <v>0</v>
      </c>
      <c r="AO169" s="315">
        <f t="shared" si="88"/>
        <v>0</v>
      </c>
      <c r="AP169" s="315">
        <f t="shared" si="88"/>
        <v>0</v>
      </c>
      <c r="AQ169" s="315">
        <f t="shared" si="88"/>
        <v>0</v>
      </c>
      <c r="AR169" s="315">
        <f t="shared" si="88"/>
        <v>0</v>
      </c>
      <c r="AS169" s="315">
        <f t="shared" si="88"/>
        <v>0</v>
      </c>
      <c r="AT169" s="315">
        <f t="shared" si="88"/>
        <v>0</v>
      </c>
      <c r="AU169" s="315">
        <f t="shared" si="88"/>
        <v>0</v>
      </c>
      <c r="AV169" s="315">
        <f t="shared" si="88"/>
        <v>0</v>
      </c>
      <c r="AW169" s="315">
        <f t="shared" si="88"/>
        <v>0</v>
      </c>
      <c r="AX169" s="315">
        <f t="shared" si="88"/>
        <v>0</v>
      </c>
      <c r="AY169" s="315">
        <f t="shared" si="88"/>
        <v>0</v>
      </c>
      <c r="AZ169" s="315">
        <f t="shared" si="88"/>
        <v>0</v>
      </c>
      <c r="BA169" s="315">
        <f t="shared" si="88"/>
        <v>0</v>
      </c>
      <c r="BB169" s="315">
        <f t="shared" si="88"/>
        <v>0</v>
      </c>
      <c r="BC169" s="315">
        <f t="shared" si="88"/>
        <v>0</v>
      </c>
      <c r="BD169" s="315">
        <f t="shared" si="88"/>
        <v>0</v>
      </c>
      <c r="BE169" s="315">
        <f t="shared" si="88"/>
        <v>0</v>
      </c>
      <c r="BF169" s="315">
        <f t="shared" si="88"/>
        <v>0</v>
      </c>
      <c r="BG169" s="315">
        <f t="shared" si="88"/>
        <v>0</v>
      </c>
      <c r="BH169" s="315">
        <f t="shared" si="88"/>
        <v>0</v>
      </c>
      <c r="BI169" s="315">
        <f t="shared" si="88"/>
        <v>0</v>
      </c>
      <c r="BJ169" s="315">
        <f t="shared" si="88"/>
        <v>0</v>
      </c>
      <c r="BK169" s="315">
        <f t="shared" si="88"/>
        <v>0</v>
      </c>
      <c r="BL169" s="315">
        <f t="shared" si="88"/>
        <v>0</v>
      </c>
      <c r="BM169" s="315">
        <f t="shared" si="88"/>
        <v>0</v>
      </c>
      <c r="BN169" s="315">
        <f t="shared" si="88"/>
        <v>0</v>
      </c>
      <c r="BO169" s="315">
        <f t="shared" si="88"/>
        <v>0</v>
      </c>
      <c r="BP169" s="315">
        <f t="shared" si="88"/>
        <v>0</v>
      </c>
      <c r="BQ169" s="315">
        <f t="shared" si="88"/>
        <v>0</v>
      </c>
      <c r="BR169" s="315">
        <f t="shared" si="88"/>
        <v>0</v>
      </c>
      <c r="BS169" s="315">
        <f t="shared" si="88"/>
        <v>0</v>
      </c>
      <c r="BT169" s="315">
        <f t="shared" si="88"/>
        <v>0</v>
      </c>
      <c r="BU169" s="315">
        <f t="shared" si="88"/>
        <v>0</v>
      </c>
      <c r="BV169" s="315">
        <f t="shared" si="88"/>
        <v>0</v>
      </c>
      <c r="BW169" s="315">
        <f t="shared" si="88"/>
        <v>0</v>
      </c>
      <c r="BX169" s="315">
        <f t="shared" si="88"/>
        <v>0</v>
      </c>
    </row>
    <row r="170" spans="3:76" hidden="1">
      <c r="C170" s="314" t="s">
        <v>353</v>
      </c>
      <c r="D170" s="323"/>
      <c r="E170" s="315"/>
      <c r="F170" s="315"/>
      <c r="G170" s="315"/>
      <c r="H170" s="315"/>
      <c r="I170" s="315"/>
      <c r="J170" s="315"/>
      <c r="K170" s="315"/>
      <c r="L170" s="315"/>
      <c r="M170" s="315"/>
      <c r="N170" s="315"/>
      <c r="O170" s="315"/>
      <c r="P170" s="315"/>
      <c r="Q170" s="315"/>
      <c r="R170" s="315"/>
      <c r="S170" s="315"/>
      <c r="T170" s="315"/>
      <c r="U170" s="315"/>
      <c r="V170" s="315"/>
      <c r="W170" s="315"/>
      <c r="X170" s="315"/>
      <c r="Y170" s="315"/>
      <c r="Z170" s="315"/>
      <c r="AA170" s="315"/>
      <c r="AB170" s="315"/>
      <c r="AC170" s="315"/>
      <c r="AD170" s="315"/>
      <c r="AE170" s="315"/>
      <c r="AF170" s="315"/>
      <c r="AG170" s="315"/>
      <c r="AH170" s="315"/>
      <c r="AI170" s="315"/>
      <c r="AJ170" s="315"/>
      <c r="AK170" s="315"/>
      <c r="AL170" s="315"/>
      <c r="AM170" s="315"/>
      <c r="AN170" s="315"/>
      <c r="AO170" s="315"/>
      <c r="AP170" s="315"/>
      <c r="AQ170" s="315"/>
      <c r="AR170" s="315"/>
      <c r="AS170" s="315"/>
      <c r="AT170" s="315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</row>
    <row r="171" spans="3:76" hidden="1">
      <c r="C171" s="314" t="s">
        <v>343</v>
      </c>
      <c r="D171" s="323"/>
      <c r="E171" s="315">
        <f t="shared" ref="E171:Z171" si="89">-E59</f>
        <v>0</v>
      </c>
      <c r="F171" s="315">
        <f t="shared" si="89"/>
        <v>0</v>
      </c>
      <c r="G171" s="315">
        <f t="shared" si="89"/>
        <v>0</v>
      </c>
      <c r="H171" s="315">
        <f t="shared" si="89"/>
        <v>0</v>
      </c>
      <c r="I171" s="315">
        <f t="shared" si="89"/>
        <v>0</v>
      </c>
      <c r="J171" s="315">
        <f t="shared" si="89"/>
        <v>0</v>
      </c>
      <c r="K171" s="315">
        <f t="shared" si="89"/>
        <v>0</v>
      </c>
      <c r="L171" s="315">
        <f t="shared" si="89"/>
        <v>0</v>
      </c>
      <c r="M171" s="315">
        <f t="shared" si="89"/>
        <v>0</v>
      </c>
      <c r="N171" s="315">
        <f t="shared" si="89"/>
        <v>0</v>
      </c>
      <c r="O171" s="315">
        <f t="shared" si="89"/>
        <v>0</v>
      </c>
      <c r="P171" s="315">
        <f t="shared" si="89"/>
        <v>0</v>
      </c>
      <c r="Q171" s="315">
        <f t="shared" si="89"/>
        <v>0</v>
      </c>
      <c r="R171" s="315">
        <f t="shared" si="89"/>
        <v>0</v>
      </c>
      <c r="S171" s="315">
        <f t="shared" si="89"/>
        <v>0</v>
      </c>
      <c r="T171" s="315">
        <f t="shared" si="89"/>
        <v>0</v>
      </c>
      <c r="U171" s="315">
        <f t="shared" si="89"/>
        <v>0</v>
      </c>
      <c r="V171" s="315">
        <f t="shared" si="89"/>
        <v>0</v>
      </c>
      <c r="W171" s="315">
        <f t="shared" si="89"/>
        <v>0</v>
      </c>
      <c r="X171" s="315">
        <f t="shared" si="89"/>
        <v>0</v>
      </c>
      <c r="Y171" s="315">
        <f t="shared" si="89"/>
        <v>0</v>
      </c>
      <c r="Z171" s="315">
        <f t="shared" si="89"/>
        <v>0</v>
      </c>
      <c r="AA171" s="315"/>
      <c r="AB171" s="315">
        <f t="shared" ref="AB171:AE171" si="90">-AB59</f>
        <v>0</v>
      </c>
      <c r="AC171" s="315">
        <f t="shared" si="90"/>
        <v>0</v>
      </c>
      <c r="AD171" s="315">
        <f t="shared" si="90"/>
        <v>0</v>
      </c>
      <c r="AE171" s="315">
        <f t="shared" si="90"/>
        <v>0</v>
      </c>
      <c r="AF171" s="315"/>
      <c r="AG171" s="315"/>
      <c r="AH171" s="315"/>
      <c r="AI171" s="315"/>
      <c r="AJ171" s="315"/>
      <c r="AK171" s="315">
        <f t="shared" ref="AK171:BX171" si="91">-AK59</f>
        <v>0</v>
      </c>
      <c r="AL171" s="315">
        <f t="shared" si="91"/>
        <v>0</v>
      </c>
      <c r="AM171" s="315">
        <f t="shared" si="91"/>
        <v>0</v>
      </c>
      <c r="AN171" s="315">
        <f t="shared" si="91"/>
        <v>0</v>
      </c>
      <c r="AO171" s="315">
        <f t="shared" si="91"/>
        <v>0</v>
      </c>
      <c r="AP171" s="315">
        <f t="shared" si="91"/>
        <v>0</v>
      </c>
      <c r="AQ171" s="315">
        <f t="shared" si="91"/>
        <v>0</v>
      </c>
      <c r="AR171" s="315">
        <f t="shared" si="91"/>
        <v>0</v>
      </c>
      <c r="AS171" s="315">
        <f t="shared" si="91"/>
        <v>0</v>
      </c>
      <c r="AT171" s="315">
        <f t="shared" si="91"/>
        <v>0</v>
      </c>
      <c r="AU171" s="315">
        <f t="shared" si="91"/>
        <v>0</v>
      </c>
      <c r="AV171" s="315">
        <f t="shared" si="91"/>
        <v>0</v>
      </c>
      <c r="AW171" s="315">
        <f t="shared" si="91"/>
        <v>0</v>
      </c>
      <c r="AX171" s="315">
        <f t="shared" si="91"/>
        <v>0</v>
      </c>
      <c r="AY171" s="315">
        <f t="shared" si="91"/>
        <v>0</v>
      </c>
      <c r="AZ171" s="315">
        <f t="shared" si="91"/>
        <v>0</v>
      </c>
      <c r="BA171" s="315">
        <f t="shared" si="91"/>
        <v>0</v>
      </c>
      <c r="BB171" s="315">
        <f t="shared" si="91"/>
        <v>0</v>
      </c>
      <c r="BC171" s="315">
        <f t="shared" si="91"/>
        <v>0</v>
      </c>
      <c r="BD171" s="315">
        <f t="shared" si="91"/>
        <v>0</v>
      </c>
      <c r="BE171" s="315">
        <f t="shared" si="91"/>
        <v>0</v>
      </c>
      <c r="BF171" s="315">
        <f t="shared" si="91"/>
        <v>0</v>
      </c>
      <c r="BG171" s="315">
        <f t="shared" si="91"/>
        <v>0</v>
      </c>
      <c r="BH171" s="315">
        <f t="shared" si="91"/>
        <v>0</v>
      </c>
      <c r="BI171" s="315">
        <f t="shared" si="91"/>
        <v>0</v>
      </c>
      <c r="BJ171" s="315">
        <f t="shared" si="91"/>
        <v>0</v>
      </c>
      <c r="BK171" s="315">
        <f t="shared" si="91"/>
        <v>0</v>
      </c>
      <c r="BL171" s="315">
        <f t="shared" si="91"/>
        <v>0</v>
      </c>
      <c r="BM171" s="315">
        <f t="shared" si="91"/>
        <v>0</v>
      </c>
      <c r="BN171" s="315">
        <f t="shared" si="91"/>
        <v>0</v>
      </c>
      <c r="BO171" s="315">
        <f t="shared" si="91"/>
        <v>0</v>
      </c>
      <c r="BP171" s="315">
        <f t="shared" si="91"/>
        <v>0</v>
      </c>
      <c r="BQ171" s="315">
        <f t="shared" si="91"/>
        <v>0</v>
      </c>
      <c r="BR171" s="315">
        <f t="shared" si="91"/>
        <v>0</v>
      </c>
      <c r="BS171" s="315">
        <f t="shared" si="91"/>
        <v>0</v>
      </c>
      <c r="BT171" s="315">
        <f t="shared" si="91"/>
        <v>0</v>
      </c>
      <c r="BU171" s="315">
        <f t="shared" si="91"/>
        <v>0</v>
      </c>
      <c r="BV171" s="315">
        <f t="shared" si="91"/>
        <v>0</v>
      </c>
      <c r="BW171" s="315">
        <f t="shared" si="91"/>
        <v>0</v>
      </c>
      <c r="BX171" s="315">
        <f t="shared" si="91"/>
        <v>0</v>
      </c>
    </row>
    <row r="172" spans="3:76" hidden="1">
      <c r="C172" s="314" t="s">
        <v>344</v>
      </c>
      <c r="D172" s="323"/>
      <c r="E172" s="315"/>
      <c r="F172" s="315"/>
      <c r="G172" s="315"/>
      <c r="H172" s="315"/>
      <c r="I172" s="315"/>
      <c r="J172" s="315"/>
      <c r="K172" s="315"/>
      <c r="L172" s="315"/>
      <c r="M172" s="315"/>
      <c r="N172" s="315"/>
      <c r="O172" s="315"/>
      <c r="P172" s="315"/>
      <c r="Q172" s="315"/>
      <c r="R172" s="315"/>
      <c r="S172" s="315"/>
      <c r="T172" s="315">
        <v>2750000</v>
      </c>
      <c r="U172" s="315"/>
      <c r="V172" s="315"/>
      <c r="W172" s="315"/>
      <c r="X172" s="315"/>
      <c r="Y172" s="315"/>
      <c r="Z172" s="315"/>
      <c r="AA172" s="315"/>
      <c r="AB172" s="315"/>
      <c r="AC172" s="315"/>
      <c r="AD172" s="315"/>
      <c r="AE172" s="315"/>
      <c r="AF172" s="315"/>
      <c r="AG172" s="315"/>
      <c r="AH172" s="315"/>
      <c r="AI172" s="315"/>
      <c r="AJ172" s="315"/>
      <c r="AK172" s="315"/>
      <c r="AL172" s="315"/>
      <c r="AM172" s="315"/>
      <c r="AN172" s="315"/>
      <c r="AO172" s="315"/>
      <c r="AP172" s="315"/>
      <c r="AQ172" s="315"/>
      <c r="AR172" s="315"/>
      <c r="AS172" s="315"/>
      <c r="AT172" s="315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>
        <f>IF(D112&gt;0.25,(BX102-BX115)*D173,BX102*D173)</f>
        <v>0</v>
      </c>
    </row>
    <row r="173" spans="3:76" hidden="1">
      <c r="C173" s="317" t="s">
        <v>345</v>
      </c>
      <c r="D173" s="323">
        <v>0</v>
      </c>
      <c r="E173" s="246"/>
      <c r="F173" s="246"/>
      <c r="G173" s="246"/>
      <c r="H173" s="246"/>
      <c r="I173" s="246"/>
      <c r="J173" s="246"/>
      <c r="K173" s="246"/>
      <c r="L173" s="246"/>
      <c r="M173" s="246"/>
      <c r="N173" s="246"/>
      <c r="O173" s="246"/>
      <c r="P173" s="246"/>
      <c r="Q173" s="246"/>
      <c r="R173" s="246"/>
      <c r="S173" s="246"/>
      <c r="T173" s="246"/>
      <c r="U173" s="246"/>
      <c r="V173" s="246"/>
      <c r="W173" s="246"/>
      <c r="X173" s="246"/>
      <c r="Y173" s="246"/>
      <c r="Z173" s="246"/>
      <c r="AA173" s="246"/>
      <c r="AB173" s="246"/>
      <c r="AC173" s="246"/>
      <c r="AD173" s="246"/>
      <c r="AE173" s="246"/>
      <c r="AF173" s="246"/>
      <c r="AG173" s="246"/>
      <c r="AH173" s="246"/>
      <c r="AI173" s="246"/>
      <c r="AJ173" s="246"/>
      <c r="AK173" s="246"/>
      <c r="AL173" s="246"/>
      <c r="AM173" s="246"/>
      <c r="AN173" s="246"/>
      <c r="AO173" s="246"/>
      <c r="AP173" s="246"/>
      <c r="AQ173" s="246"/>
      <c r="AR173" s="246"/>
      <c r="AS173" s="246"/>
      <c r="AT173" s="246"/>
      <c r="AU173" s="246"/>
      <c r="AV173" s="246"/>
      <c r="AW173" s="246"/>
      <c r="AX173" s="246"/>
      <c r="AY173" s="246"/>
      <c r="AZ173" s="246"/>
      <c r="BA173" s="246"/>
      <c r="BB173" s="246"/>
      <c r="BC173" s="246"/>
      <c r="BD173" s="246"/>
      <c r="BE173" s="246"/>
      <c r="BF173" s="246"/>
      <c r="BG173" s="246"/>
      <c r="BH173" s="246"/>
      <c r="BI173" s="246"/>
      <c r="BJ173" s="246"/>
      <c r="BK173" s="246"/>
      <c r="BL173" s="246"/>
      <c r="BM173" s="246"/>
      <c r="BN173" s="246"/>
      <c r="BO173" s="246"/>
      <c r="BP173" s="246"/>
      <c r="BQ173" s="246"/>
      <c r="BR173" s="246"/>
      <c r="BS173" s="246"/>
      <c r="BT173" s="246"/>
      <c r="BU173" s="246"/>
      <c r="BV173" s="246"/>
      <c r="BW173" s="246"/>
      <c r="BX173" s="246"/>
    </row>
    <row r="174" spans="3:76" hidden="1">
      <c r="C174" s="314" t="s">
        <v>346</v>
      </c>
      <c r="D174" s="315"/>
      <c r="E174" s="325">
        <f t="shared" ref="E174:Z174" si="92">E169+E170+E171+E172+E173</f>
        <v>0</v>
      </c>
      <c r="F174" s="325">
        <f t="shared" si="92"/>
        <v>0</v>
      </c>
      <c r="G174" s="325">
        <f t="shared" si="92"/>
        <v>0</v>
      </c>
      <c r="H174" s="325">
        <f t="shared" si="92"/>
        <v>-5341205.5</v>
      </c>
      <c r="I174" s="325">
        <f t="shared" si="92"/>
        <v>0</v>
      </c>
      <c r="J174" s="325">
        <f t="shared" si="92"/>
        <v>0</v>
      </c>
      <c r="K174" s="325">
        <f t="shared" si="92"/>
        <v>0</v>
      </c>
      <c r="L174" s="325">
        <f t="shared" si="92"/>
        <v>0</v>
      </c>
      <c r="M174" s="325">
        <f t="shared" si="92"/>
        <v>0</v>
      </c>
      <c r="N174" s="325">
        <f t="shared" si="92"/>
        <v>0</v>
      </c>
      <c r="O174" s="325">
        <f t="shared" si="92"/>
        <v>0</v>
      </c>
      <c r="P174" s="325">
        <f t="shared" si="92"/>
        <v>0</v>
      </c>
      <c r="Q174" s="325">
        <f t="shared" si="92"/>
        <v>0</v>
      </c>
      <c r="R174" s="325">
        <f t="shared" si="92"/>
        <v>0</v>
      </c>
      <c r="S174" s="325">
        <f t="shared" si="92"/>
        <v>0</v>
      </c>
      <c r="T174" s="325">
        <f t="shared" si="92"/>
        <v>8091205.5</v>
      </c>
      <c r="U174" s="325">
        <f t="shared" si="92"/>
        <v>0</v>
      </c>
      <c r="V174" s="325">
        <f t="shared" si="92"/>
        <v>0</v>
      </c>
      <c r="W174" s="325">
        <f t="shared" si="92"/>
        <v>0</v>
      </c>
      <c r="X174" s="325">
        <f t="shared" si="92"/>
        <v>0</v>
      </c>
      <c r="Y174" s="325">
        <f t="shared" si="92"/>
        <v>0</v>
      </c>
      <c r="Z174" s="325">
        <f t="shared" si="92"/>
        <v>0</v>
      </c>
      <c r="AA174" s="325"/>
      <c r="AB174" s="325">
        <f t="shared" ref="AB174:AE174" si="93">AB169+AB170+AB171+AB172+AB173</f>
        <v>0</v>
      </c>
      <c r="AC174" s="325">
        <f t="shared" si="93"/>
        <v>0</v>
      </c>
      <c r="AD174" s="325">
        <f t="shared" si="93"/>
        <v>0</v>
      </c>
      <c r="AE174" s="325">
        <f t="shared" si="93"/>
        <v>0</v>
      </c>
      <c r="AF174" s="325"/>
      <c r="AG174" s="325"/>
      <c r="AH174" s="325"/>
      <c r="AI174" s="325"/>
      <c r="AJ174" s="325"/>
      <c r="AK174" s="325">
        <f t="shared" ref="AK174:BX174" si="94">AK169+AK170+AK171+AK172+AK173</f>
        <v>0</v>
      </c>
      <c r="AL174" s="325">
        <f t="shared" si="94"/>
        <v>0</v>
      </c>
      <c r="AM174" s="325">
        <f t="shared" si="94"/>
        <v>0</v>
      </c>
      <c r="AN174" s="325">
        <f t="shared" si="94"/>
        <v>0</v>
      </c>
      <c r="AO174" s="325">
        <f t="shared" si="94"/>
        <v>0</v>
      </c>
      <c r="AP174" s="325">
        <f t="shared" si="94"/>
        <v>0</v>
      </c>
      <c r="AQ174" s="325">
        <f t="shared" si="94"/>
        <v>0</v>
      </c>
      <c r="AR174" s="325">
        <f t="shared" si="94"/>
        <v>0</v>
      </c>
      <c r="AS174" s="325">
        <f t="shared" si="94"/>
        <v>0</v>
      </c>
      <c r="AT174" s="325">
        <f t="shared" si="94"/>
        <v>0</v>
      </c>
      <c r="AU174" s="325">
        <f t="shared" si="94"/>
        <v>0</v>
      </c>
      <c r="AV174" s="325">
        <f t="shared" si="94"/>
        <v>0</v>
      </c>
      <c r="AW174" s="325">
        <f t="shared" si="94"/>
        <v>0</v>
      </c>
      <c r="AX174" s="325">
        <f t="shared" si="94"/>
        <v>0</v>
      </c>
      <c r="AY174" s="325">
        <f t="shared" si="94"/>
        <v>0</v>
      </c>
      <c r="AZ174" s="325">
        <f t="shared" si="94"/>
        <v>0</v>
      </c>
      <c r="BA174" s="325">
        <f t="shared" si="94"/>
        <v>0</v>
      </c>
      <c r="BB174" s="325">
        <f t="shared" si="94"/>
        <v>0</v>
      </c>
      <c r="BC174" s="325">
        <f t="shared" si="94"/>
        <v>0</v>
      </c>
      <c r="BD174" s="325">
        <f t="shared" si="94"/>
        <v>0</v>
      </c>
      <c r="BE174" s="325">
        <f t="shared" si="94"/>
        <v>0</v>
      </c>
      <c r="BF174" s="325">
        <f t="shared" si="94"/>
        <v>0</v>
      </c>
      <c r="BG174" s="325">
        <f t="shared" si="94"/>
        <v>0</v>
      </c>
      <c r="BH174" s="325">
        <f t="shared" si="94"/>
        <v>0</v>
      </c>
      <c r="BI174" s="325">
        <f t="shared" si="94"/>
        <v>0</v>
      </c>
      <c r="BJ174" s="325">
        <f t="shared" si="94"/>
        <v>0</v>
      </c>
      <c r="BK174" s="325">
        <f t="shared" si="94"/>
        <v>0</v>
      </c>
      <c r="BL174" s="325">
        <f t="shared" si="94"/>
        <v>0</v>
      </c>
      <c r="BM174" s="325">
        <f t="shared" si="94"/>
        <v>0</v>
      </c>
      <c r="BN174" s="325">
        <f t="shared" si="94"/>
        <v>0</v>
      </c>
      <c r="BO174" s="325">
        <f t="shared" si="94"/>
        <v>0</v>
      </c>
      <c r="BP174" s="325">
        <f t="shared" si="94"/>
        <v>0</v>
      </c>
      <c r="BQ174" s="325">
        <f t="shared" si="94"/>
        <v>0</v>
      </c>
      <c r="BR174" s="325">
        <f t="shared" si="94"/>
        <v>0</v>
      </c>
      <c r="BS174" s="325">
        <f t="shared" si="94"/>
        <v>0</v>
      </c>
      <c r="BT174" s="325">
        <f t="shared" si="94"/>
        <v>0</v>
      </c>
      <c r="BU174" s="325">
        <f t="shared" si="94"/>
        <v>0</v>
      </c>
      <c r="BV174" s="325">
        <f t="shared" si="94"/>
        <v>0</v>
      </c>
      <c r="BW174" s="325">
        <f t="shared" si="94"/>
        <v>0</v>
      </c>
      <c r="BX174" s="325">
        <f t="shared" si="94"/>
        <v>0</v>
      </c>
    </row>
    <row r="175" spans="3:76" hidden="1">
      <c r="C175" s="318"/>
      <c r="D175" s="326" t="s">
        <v>354</v>
      </c>
      <c r="E175" s="330">
        <f>E174</f>
        <v>0</v>
      </c>
      <c r="F175" s="330">
        <f t="shared" ref="F175:Z175" si="95">E175+F174</f>
        <v>0</v>
      </c>
      <c r="G175" s="330">
        <f t="shared" si="95"/>
        <v>0</v>
      </c>
      <c r="H175" s="330">
        <f t="shared" si="95"/>
        <v>-5341205.5</v>
      </c>
      <c r="I175" s="330">
        <f t="shared" si="95"/>
        <v>-5341205.5</v>
      </c>
      <c r="J175" s="330">
        <f t="shared" si="95"/>
        <v>-5341205.5</v>
      </c>
      <c r="K175" s="330">
        <f t="shared" si="95"/>
        <v>-5341205.5</v>
      </c>
      <c r="L175" s="330">
        <f t="shared" si="95"/>
        <v>-5341205.5</v>
      </c>
      <c r="M175" s="330">
        <f t="shared" si="95"/>
        <v>-5341205.5</v>
      </c>
      <c r="N175" s="330">
        <f t="shared" si="95"/>
        <v>-5341205.5</v>
      </c>
      <c r="O175" s="330">
        <f t="shared" si="95"/>
        <v>-5341205.5</v>
      </c>
      <c r="P175" s="330">
        <f t="shared" si="95"/>
        <v>-5341205.5</v>
      </c>
      <c r="Q175" s="330">
        <f t="shared" si="95"/>
        <v>-5341205.5</v>
      </c>
      <c r="R175" s="330">
        <f t="shared" si="95"/>
        <v>-5341205.5</v>
      </c>
      <c r="S175" s="330">
        <f t="shared" si="95"/>
        <v>-5341205.5</v>
      </c>
      <c r="T175" s="330">
        <f t="shared" si="95"/>
        <v>2750000</v>
      </c>
      <c r="U175" s="330">
        <f t="shared" si="95"/>
        <v>2750000</v>
      </c>
      <c r="V175" s="330">
        <f t="shared" si="95"/>
        <v>2750000</v>
      </c>
      <c r="W175" s="330">
        <f t="shared" si="95"/>
        <v>2750000</v>
      </c>
      <c r="X175" s="330">
        <f t="shared" si="95"/>
        <v>2750000</v>
      </c>
      <c r="Y175" s="330">
        <f t="shared" si="95"/>
        <v>2750000</v>
      </c>
      <c r="Z175" s="330">
        <f t="shared" si="95"/>
        <v>2750000</v>
      </c>
      <c r="AA175" s="330"/>
      <c r="AB175" s="330">
        <f t="shared" ref="AB175:AE175" si="96">AA175+AB174</f>
        <v>0</v>
      </c>
      <c r="AC175" s="330">
        <f t="shared" si="96"/>
        <v>0</v>
      </c>
      <c r="AD175" s="330">
        <f t="shared" si="96"/>
        <v>0</v>
      </c>
      <c r="AE175" s="330">
        <f t="shared" si="96"/>
        <v>0</v>
      </c>
      <c r="AF175" s="330"/>
      <c r="AG175" s="330"/>
      <c r="AH175" s="330"/>
      <c r="AI175" s="330"/>
      <c r="AJ175" s="330"/>
      <c r="AK175" s="330">
        <f t="shared" ref="AK175:BX175" si="97">AJ175+AK174</f>
        <v>0</v>
      </c>
      <c r="AL175" s="330">
        <f t="shared" si="97"/>
        <v>0</v>
      </c>
      <c r="AM175" s="330">
        <f t="shared" si="97"/>
        <v>0</v>
      </c>
      <c r="AN175" s="330">
        <f t="shared" si="97"/>
        <v>0</v>
      </c>
      <c r="AO175" s="330">
        <f t="shared" si="97"/>
        <v>0</v>
      </c>
      <c r="AP175" s="330">
        <f t="shared" si="97"/>
        <v>0</v>
      </c>
      <c r="AQ175" s="330">
        <f t="shared" si="97"/>
        <v>0</v>
      </c>
      <c r="AR175" s="330">
        <f t="shared" si="97"/>
        <v>0</v>
      </c>
      <c r="AS175" s="330">
        <f t="shared" si="97"/>
        <v>0</v>
      </c>
      <c r="AT175" s="330">
        <f t="shared" si="97"/>
        <v>0</v>
      </c>
      <c r="AU175" s="330">
        <f t="shared" si="97"/>
        <v>0</v>
      </c>
      <c r="AV175" s="330">
        <f t="shared" si="97"/>
        <v>0</v>
      </c>
      <c r="AW175" s="330">
        <f t="shared" si="97"/>
        <v>0</v>
      </c>
      <c r="AX175" s="330">
        <f t="shared" si="97"/>
        <v>0</v>
      </c>
      <c r="AY175" s="330">
        <f t="shared" si="97"/>
        <v>0</v>
      </c>
      <c r="AZ175" s="330">
        <f t="shared" si="97"/>
        <v>0</v>
      </c>
      <c r="BA175" s="330">
        <f t="shared" si="97"/>
        <v>0</v>
      </c>
      <c r="BB175" s="330">
        <f t="shared" si="97"/>
        <v>0</v>
      </c>
      <c r="BC175" s="330">
        <f t="shared" si="97"/>
        <v>0</v>
      </c>
      <c r="BD175" s="330">
        <f t="shared" si="97"/>
        <v>0</v>
      </c>
      <c r="BE175" s="330">
        <f t="shared" si="97"/>
        <v>0</v>
      </c>
      <c r="BF175" s="330">
        <f t="shared" si="97"/>
        <v>0</v>
      </c>
      <c r="BG175" s="330">
        <f t="shared" si="97"/>
        <v>0</v>
      </c>
      <c r="BH175" s="330">
        <f t="shared" si="97"/>
        <v>0</v>
      </c>
      <c r="BI175" s="330">
        <f t="shared" si="97"/>
        <v>0</v>
      </c>
      <c r="BJ175" s="330">
        <f t="shared" si="97"/>
        <v>0</v>
      </c>
      <c r="BK175" s="330">
        <f t="shared" si="97"/>
        <v>0</v>
      </c>
      <c r="BL175" s="330">
        <f t="shared" si="97"/>
        <v>0</v>
      </c>
      <c r="BM175" s="330">
        <f t="shared" si="97"/>
        <v>0</v>
      </c>
      <c r="BN175" s="330">
        <f t="shared" si="97"/>
        <v>0</v>
      </c>
      <c r="BO175" s="330">
        <f t="shared" si="97"/>
        <v>0</v>
      </c>
      <c r="BP175" s="330">
        <f t="shared" si="97"/>
        <v>0</v>
      </c>
      <c r="BQ175" s="330">
        <f t="shared" si="97"/>
        <v>0</v>
      </c>
      <c r="BR175" s="330">
        <f t="shared" si="97"/>
        <v>0</v>
      </c>
      <c r="BS175" s="330">
        <f t="shared" si="97"/>
        <v>0</v>
      </c>
      <c r="BT175" s="330">
        <f t="shared" si="97"/>
        <v>0</v>
      </c>
      <c r="BU175" s="330">
        <f t="shared" si="97"/>
        <v>0</v>
      </c>
      <c r="BV175" s="330">
        <f t="shared" si="97"/>
        <v>0</v>
      </c>
      <c r="BW175" s="330">
        <f t="shared" si="97"/>
        <v>0</v>
      </c>
      <c r="BX175" s="330">
        <f t="shared" si="97"/>
        <v>0</v>
      </c>
    </row>
    <row r="176" spans="3:76" hidden="1">
      <c r="C176" s="317" t="s">
        <v>339</v>
      </c>
      <c r="D176" s="326">
        <f>IRR(E174:BX174)*12</f>
        <v>0.42259732866030397</v>
      </c>
      <c r="E176" s="226"/>
      <c r="F176" s="226"/>
      <c r="G176" s="226"/>
      <c r="H176" s="226"/>
      <c r="I176" s="226"/>
      <c r="J176" s="226"/>
      <c r="K176" s="226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6"/>
      <c r="AA176" s="226"/>
      <c r="AB176" s="226"/>
      <c r="AC176" s="226"/>
      <c r="AD176" s="226"/>
      <c r="AE176" s="226"/>
      <c r="AF176" s="226"/>
      <c r="AG176" s="226"/>
      <c r="AH176" s="226"/>
      <c r="AI176" s="226"/>
      <c r="AJ176" s="226"/>
      <c r="AK176" s="226"/>
      <c r="AL176" s="226"/>
      <c r="AM176" s="226"/>
      <c r="AN176" s="226"/>
      <c r="AO176" s="226"/>
      <c r="AP176" s="226"/>
      <c r="AQ176" s="226"/>
      <c r="AR176" s="226"/>
      <c r="AS176" s="226"/>
      <c r="AT176" s="226"/>
      <c r="AU176" s="226"/>
      <c r="AV176" s="226"/>
      <c r="AW176" s="226"/>
      <c r="AX176" s="226"/>
      <c r="AY176" s="226"/>
      <c r="AZ176" s="226"/>
      <c r="BA176" s="226"/>
      <c r="BB176" s="226"/>
      <c r="BC176" s="226"/>
      <c r="BD176" s="226"/>
      <c r="BE176" s="226"/>
      <c r="BF176" s="226"/>
      <c r="BG176" s="226"/>
      <c r="BH176" s="226"/>
      <c r="BI176" s="226"/>
      <c r="BJ176" s="226"/>
      <c r="BK176" s="226"/>
      <c r="BL176" s="226"/>
      <c r="BM176" s="226"/>
      <c r="BN176" s="226"/>
      <c r="BO176" s="226"/>
      <c r="BP176" s="226"/>
      <c r="BQ176" s="226"/>
      <c r="BR176" s="226"/>
      <c r="BS176" s="226"/>
      <c r="BT176" s="226"/>
      <c r="BU176" s="226"/>
      <c r="BV176" s="226"/>
      <c r="BW176" s="226"/>
      <c r="BX176" s="226"/>
    </row>
    <row r="177" spans="3:76" hidden="1">
      <c r="C177" s="327" t="s">
        <v>347</v>
      </c>
      <c r="D177" s="328">
        <f>-MIN(M175:BL175)-D178</f>
        <v>5341205.5</v>
      </c>
      <c r="E177" s="226"/>
      <c r="F177" s="226"/>
      <c r="G177" s="226"/>
      <c r="H177" s="226"/>
      <c r="I177" s="226"/>
      <c r="J177" s="226"/>
      <c r="K177" s="226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6"/>
      <c r="AA177" s="226"/>
      <c r="AB177" s="226"/>
      <c r="AC177" s="226"/>
      <c r="AD177" s="226"/>
      <c r="AE177" s="226"/>
      <c r="AF177" s="226"/>
      <c r="AG177" s="226"/>
      <c r="AH177" s="226"/>
      <c r="AI177" s="226"/>
      <c r="AJ177" s="226"/>
      <c r="AK177" s="226"/>
      <c r="AL177" s="226"/>
      <c r="AM177" s="226"/>
      <c r="AN177" s="226"/>
      <c r="AO177" s="226"/>
      <c r="AP177" s="226"/>
      <c r="AQ177" s="226"/>
      <c r="AR177" s="226"/>
      <c r="AS177" s="226"/>
      <c r="AT177" s="226"/>
      <c r="AU177" s="226"/>
      <c r="AV177" s="226"/>
      <c r="AW177" s="226"/>
      <c r="AX177" s="226"/>
      <c r="AY177" s="226"/>
      <c r="AZ177" s="226"/>
      <c r="BA177" s="226"/>
      <c r="BB177" s="226"/>
      <c r="BC177" s="226"/>
      <c r="BD177" s="226"/>
      <c r="BE177" s="226"/>
      <c r="BF177" s="226"/>
      <c r="BG177" s="226"/>
      <c r="BH177" s="226"/>
      <c r="BI177" s="226"/>
      <c r="BJ177" s="226"/>
      <c r="BK177" s="226"/>
      <c r="BL177" s="226"/>
      <c r="BM177" s="226"/>
      <c r="BN177" s="226"/>
      <c r="BO177" s="226"/>
      <c r="BP177" s="226"/>
      <c r="BQ177" s="226"/>
      <c r="BR177" s="226"/>
      <c r="BS177" s="226"/>
      <c r="BT177" s="226"/>
      <c r="BU177" s="226"/>
      <c r="BV177" s="226"/>
      <c r="BW177" s="226"/>
      <c r="BX177" s="226"/>
    </row>
    <row r="178" spans="3:76" hidden="1">
      <c r="C178" s="327" t="s">
        <v>348</v>
      </c>
      <c r="D178" s="328">
        <f>-SUM(M173:BB173)</f>
        <v>0</v>
      </c>
      <c r="E178" s="226"/>
      <c r="F178" s="226"/>
      <c r="G178" s="226"/>
      <c r="H178" s="226"/>
      <c r="I178" s="226"/>
      <c r="J178" s="226"/>
      <c r="K178" s="226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6"/>
      <c r="AA178" s="226"/>
      <c r="AB178" s="226"/>
      <c r="AC178" s="226"/>
      <c r="AD178" s="226"/>
      <c r="AE178" s="226"/>
      <c r="AF178" s="226"/>
      <c r="AG178" s="226"/>
      <c r="AH178" s="226"/>
      <c r="AI178" s="226"/>
      <c r="AJ178" s="226"/>
      <c r="AK178" s="226"/>
      <c r="AL178" s="226"/>
      <c r="AM178" s="226"/>
      <c r="AN178" s="226"/>
      <c r="AO178" s="226"/>
      <c r="AP178" s="226"/>
      <c r="AQ178" s="226"/>
      <c r="AR178" s="226"/>
      <c r="AS178" s="226"/>
      <c r="AT178" s="226"/>
      <c r="AU178" s="226"/>
      <c r="AV178" s="226"/>
      <c r="AW178" s="226"/>
      <c r="AX178" s="226"/>
      <c r="AY178" s="226"/>
      <c r="AZ178" s="226"/>
      <c r="BA178" s="226"/>
      <c r="BB178" s="226"/>
      <c r="BC178" s="226"/>
      <c r="BD178" s="226"/>
      <c r="BE178" s="226"/>
      <c r="BF178" s="226"/>
      <c r="BG178" s="226"/>
      <c r="BH178" s="226"/>
      <c r="BI178" s="226"/>
      <c r="BJ178" s="226"/>
      <c r="BK178" s="226"/>
      <c r="BL178" s="226"/>
      <c r="BM178" s="226"/>
      <c r="BN178" s="226"/>
      <c r="BO178" s="226"/>
      <c r="BP178" s="226"/>
      <c r="BQ178" s="226"/>
      <c r="BR178" s="226"/>
      <c r="BS178" s="226"/>
      <c r="BT178" s="226"/>
      <c r="BU178" s="226"/>
      <c r="BV178" s="226"/>
      <c r="BW178" s="226"/>
      <c r="BX178" s="226"/>
    </row>
    <row r="179" spans="3:76" hidden="1">
      <c r="C179" s="317" t="s">
        <v>349</v>
      </c>
      <c r="D179" s="329">
        <f>D178+D177</f>
        <v>5341205.5</v>
      </c>
      <c r="E179" s="226"/>
      <c r="F179" s="226"/>
      <c r="G179" s="226"/>
      <c r="H179" s="226"/>
      <c r="I179" s="226"/>
      <c r="J179" s="226"/>
      <c r="K179" s="226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6"/>
      <c r="AA179" s="226"/>
      <c r="AB179" s="226"/>
      <c r="AC179" s="226"/>
      <c r="AD179" s="226"/>
      <c r="AE179" s="226"/>
      <c r="AF179" s="226"/>
      <c r="AG179" s="226"/>
      <c r="AH179" s="226"/>
      <c r="AI179" s="226"/>
      <c r="AJ179" s="226"/>
      <c r="AK179" s="226"/>
      <c r="AL179" s="226"/>
      <c r="AM179" s="226"/>
      <c r="AN179" s="226"/>
      <c r="AO179" s="226"/>
      <c r="AP179" s="226"/>
      <c r="AQ179" s="226"/>
      <c r="AR179" s="226"/>
      <c r="AS179" s="226"/>
      <c r="AT179" s="226"/>
      <c r="AU179" s="226"/>
      <c r="AV179" s="226"/>
      <c r="AW179" s="226"/>
      <c r="AX179" s="226"/>
      <c r="AY179" s="226"/>
      <c r="AZ179" s="226"/>
      <c r="BA179" s="226"/>
      <c r="BB179" s="226"/>
      <c r="BC179" s="226"/>
      <c r="BD179" s="226"/>
      <c r="BE179" s="226"/>
      <c r="BF179" s="226"/>
      <c r="BG179" s="226"/>
      <c r="BH179" s="226"/>
      <c r="BI179" s="226"/>
      <c r="BJ179" s="226"/>
      <c r="BK179" s="226"/>
      <c r="BL179" s="226"/>
      <c r="BM179" s="226"/>
      <c r="BN179" s="226"/>
      <c r="BO179" s="226"/>
      <c r="BP179" s="226"/>
      <c r="BQ179" s="226"/>
      <c r="BR179" s="226"/>
      <c r="BS179" s="226"/>
      <c r="BT179" s="226"/>
      <c r="BU179" s="226"/>
      <c r="BV179" s="226"/>
      <c r="BW179" s="226"/>
      <c r="BX179" s="226"/>
    </row>
    <row r="180" spans="3:76" hidden="1">
      <c r="C180" s="317" t="s">
        <v>350</v>
      </c>
      <c r="D180" s="329">
        <f>BX171+BX172</f>
        <v>0</v>
      </c>
      <c r="E180" s="226"/>
      <c r="F180" s="226"/>
      <c r="G180" s="226"/>
      <c r="H180" s="226"/>
      <c r="I180" s="226"/>
      <c r="J180" s="226"/>
      <c r="K180" s="226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6"/>
      <c r="AA180" s="226"/>
      <c r="AB180" s="226"/>
      <c r="AC180" s="226"/>
      <c r="AD180" s="226"/>
      <c r="AE180" s="226"/>
      <c r="AF180" s="226"/>
      <c r="AG180" s="226"/>
      <c r="AH180" s="226"/>
      <c r="AI180" s="226"/>
      <c r="AJ180" s="226"/>
      <c r="AK180" s="226"/>
      <c r="AL180" s="226"/>
      <c r="AM180" s="226"/>
      <c r="AN180" s="226"/>
      <c r="AO180" s="226"/>
      <c r="AP180" s="226"/>
      <c r="AQ180" s="226"/>
      <c r="AR180" s="226"/>
      <c r="AS180" s="226"/>
      <c r="AT180" s="226"/>
      <c r="AU180" s="226"/>
      <c r="AV180" s="226"/>
      <c r="AW180" s="226"/>
      <c r="AX180" s="226"/>
      <c r="AY180" s="226"/>
      <c r="AZ180" s="226"/>
      <c r="BA180" s="226"/>
      <c r="BB180" s="226"/>
      <c r="BC180" s="226"/>
      <c r="BD180" s="226"/>
      <c r="BE180" s="226"/>
      <c r="BF180" s="226"/>
      <c r="BG180" s="226"/>
      <c r="BH180" s="226"/>
      <c r="BI180" s="226"/>
      <c r="BJ180" s="226"/>
      <c r="BK180" s="226"/>
      <c r="BL180" s="226"/>
      <c r="BM180" s="226"/>
      <c r="BN180" s="226"/>
      <c r="BO180" s="226"/>
      <c r="BP180" s="226"/>
      <c r="BQ180" s="226"/>
      <c r="BR180" s="226"/>
      <c r="BS180" s="226"/>
      <c r="BT180" s="226"/>
      <c r="BU180" s="226"/>
      <c r="BV180" s="226"/>
      <c r="BW180" s="226"/>
      <c r="BX180" s="226"/>
    </row>
    <row r="181" spans="3:76" hidden="1">
      <c r="C181" s="317" t="s">
        <v>351</v>
      </c>
      <c r="D181" s="326">
        <f>T172/T169</f>
        <v>0.51486504310684167</v>
      </c>
      <c r="E181" s="226"/>
      <c r="F181" s="226"/>
      <c r="G181" s="226"/>
      <c r="H181" s="226"/>
      <c r="I181" s="226"/>
      <c r="J181" s="226"/>
      <c r="K181" s="226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6"/>
      <c r="AA181" s="226"/>
      <c r="AB181" s="226"/>
      <c r="AC181" s="226"/>
      <c r="AD181" s="226"/>
      <c r="AE181" s="226"/>
      <c r="AF181" s="226"/>
      <c r="AG181" s="226"/>
      <c r="AH181" s="226"/>
      <c r="AI181" s="226"/>
      <c r="AJ181" s="226"/>
      <c r="AK181" s="226"/>
      <c r="AL181" s="226"/>
      <c r="AM181" s="226"/>
      <c r="AN181" s="226"/>
      <c r="AO181" s="226"/>
      <c r="AP181" s="226"/>
      <c r="AQ181" s="226"/>
      <c r="AR181" s="226"/>
      <c r="AS181" s="226"/>
      <c r="AT181" s="226"/>
      <c r="AU181" s="226"/>
      <c r="AV181" s="226"/>
      <c r="AW181" s="226"/>
      <c r="AX181" s="226"/>
      <c r="AY181" s="226"/>
      <c r="AZ181" s="226"/>
      <c r="BA181" s="226"/>
      <c r="BB181" s="226"/>
      <c r="BC181" s="226"/>
      <c r="BD181" s="226"/>
      <c r="BE181" s="226"/>
      <c r="BF181" s="226"/>
      <c r="BG181" s="226"/>
      <c r="BH181" s="226"/>
      <c r="BI181" s="226"/>
      <c r="BJ181" s="226"/>
      <c r="BK181" s="226"/>
      <c r="BL181" s="226"/>
      <c r="BM181" s="226"/>
      <c r="BN181" s="226"/>
      <c r="BO181" s="226"/>
      <c r="BP181" s="226"/>
      <c r="BQ181" s="226"/>
      <c r="BR181" s="226"/>
      <c r="BS181" s="226"/>
      <c r="BT181" s="226"/>
      <c r="BU181" s="226"/>
      <c r="BV181" s="226"/>
      <c r="BW181" s="226"/>
      <c r="BX181" s="226"/>
    </row>
    <row r="182" spans="3:76" hidden="1">
      <c r="E182" s="226"/>
      <c r="F182" s="226"/>
      <c r="G182" s="226"/>
      <c r="H182" s="226"/>
      <c r="I182" s="226"/>
      <c r="J182" s="226"/>
      <c r="K182" s="226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6"/>
      <c r="AA182" s="226"/>
      <c r="AB182" s="226"/>
      <c r="AC182" s="226"/>
      <c r="AD182" s="226"/>
      <c r="AE182" s="226"/>
      <c r="AF182" s="226"/>
      <c r="AG182" s="226"/>
      <c r="AH182" s="226"/>
      <c r="AI182" s="226"/>
      <c r="AJ182" s="226"/>
      <c r="AK182" s="226"/>
      <c r="AL182" s="226"/>
      <c r="AM182" s="226"/>
      <c r="AN182" s="226"/>
      <c r="AO182" s="226"/>
      <c r="AP182" s="226"/>
      <c r="AQ182" s="226"/>
      <c r="AR182" s="226"/>
      <c r="AS182" s="226"/>
      <c r="AT182" s="226"/>
      <c r="AU182" s="226"/>
      <c r="AV182" s="226"/>
      <c r="AW182" s="226"/>
      <c r="AX182" s="226"/>
      <c r="AY182" s="226"/>
      <c r="AZ182" s="226"/>
      <c r="BA182" s="226"/>
      <c r="BB182" s="226"/>
      <c r="BC182" s="226"/>
      <c r="BD182" s="226"/>
      <c r="BE182" s="226"/>
      <c r="BF182" s="226"/>
      <c r="BG182" s="226"/>
      <c r="BH182" s="226"/>
      <c r="BI182" s="226"/>
      <c r="BJ182" s="226"/>
      <c r="BK182" s="226"/>
      <c r="BL182" s="226"/>
      <c r="BM182" s="226"/>
      <c r="BN182" s="226"/>
      <c r="BO182" s="226"/>
      <c r="BP182" s="226"/>
      <c r="BQ182" s="226"/>
      <c r="BR182" s="226"/>
      <c r="BS182" s="226"/>
      <c r="BT182" s="226"/>
      <c r="BU182" s="226"/>
      <c r="BV182" s="226"/>
      <c r="BW182" s="226"/>
      <c r="BX182" s="226"/>
    </row>
    <row r="183" spans="3:76" hidden="1">
      <c r="E183" s="226"/>
      <c r="F183" s="226"/>
      <c r="G183" s="226"/>
      <c r="H183" s="226"/>
      <c r="I183" s="226"/>
      <c r="J183" s="226"/>
      <c r="K183" s="226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6"/>
      <c r="AA183" s="226"/>
      <c r="AB183" s="226"/>
      <c r="AC183" s="226"/>
      <c r="AD183" s="226"/>
      <c r="AE183" s="226"/>
      <c r="AF183" s="226"/>
      <c r="AG183" s="226"/>
      <c r="AH183" s="226"/>
      <c r="AI183" s="226"/>
      <c r="AJ183" s="226"/>
      <c r="AK183" s="226"/>
      <c r="AL183" s="226"/>
      <c r="AM183" s="226"/>
      <c r="AN183" s="226"/>
      <c r="AO183" s="226"/>
      <c r="AP183" s="226"/>
      <c r="AQ183" s="226"/>
      <c r="AR183" s="226"/>
      <c r="AS183" s="226"/>
      <c r="AT183" s="226"/>
      <c r="AU183" s="226"/>
      <c r="AV183" s="226"/>
      <c r="AW183" s="226"/>
      <c r="AX183" s="226"/>
      <c r="AY183" s="226"/>
      <c r="AZ183" s="226"/>
      <c r="BA183" s="226"/>
      <c r="BB183" s="226"/>
      <c r="BC183" s="226"/>
      <c r="BD183" s="226"/>
      <c r="BE183" s="226"/>
      <c r="BF183" s="226"/>
      <c r="BG183" s="226"/>
      <c r="BH183" s="226"/>
      <c r="BI183" s="226"/>
      <c r="BJ183" s="226"/>
      <c r="BK183" s="226"/>
      <c r="BL183" s="226"/>
      <c r="BM183" s="226"/>
      <c r="BN183" s="226"/>
      <c r="BO183" s="226"/>
      <c r="BP183" s="226"/>
      <c r="BQ183" s="226"/>
      <c r="BR183" s="226"/>
      <c r="BS183" s="226"/>
      <c r="BT183" s="226"/>
      <c r="BU183" s="226"/>
      <c r="BV183" s="226"/>
      <c r="BW183" s="226"/>
      <c r="BX183" s="226"/>
    </row>
    <row r="184" spans="3:76" hidden="1">
      <c r="E184" s="226"/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6"/>
      <c r="AA184" s="226"/>
      <c r="AB184" s="226"/>
      <c r="AC184" s="226"/>
      <c r="AD184" s="226"/>
      <c r="AE184" s="226"/>
      <c r="AF184" s="226"/>
      <c r="AG184" s="226"/>
      <c r="AH184" s="226"/>
      <c r="AI184" s="226"/>
      <c r="AJ184" s="226"/>
      <c r="AK184" s="226"/>
      <c r="AL184" s="226"/>
      <c r="AM184" s="226"/>
      <c r="AN184" s="226"/>
      <c r="AO184" s="226"/>
      <c r="AP184" s="226"/>
      <c r="AQ184" s="226"/>
      <c r="AR184" s="226"/>
      <c r="AS184" s="226"/>
      <c r="AT184" s="226"/>
      <c r="AU184" s="226"/>
      <c r="AV184" s="226"/>
      <c r="AW184" s="226"/>
      <c r="AX184" s="226"/>
      <c r="AY184" s="226"/>
      <c r="AZ184" s="226"/>
      <c r="BA184" s="226"/>
      <c r="BB184" s="226"/>
      <c r="BC184" s="226"/>
      <c r="BD184" s="226"/>
      <c r="BE184" s="226"/>
      <c r="BF184" s="226"/>
      <c r="BG184" s="226"/>
      <c r="BH184" s="226"/>
      <c r="BI184" s="226"/>
      <c r="BJ184" s="226"/>
      <c r="BK184" s="226"/>
      <c r="BL184" s="226"/>
      <c r="BM184" s="226"/>
      <c r="BN184" s="226"/>
      <c r="BO184" s="226"/>
      <c r="BP184" s="226"/>
      <c r="BQ184" s="226"/>
      <c r="BR184" s="226"/>
      <c r="BS184" s="226"/>
      <c r="BT184" s="226"/>
      <c r="BU184" s="226"/>
      <c r="BV184" s="226"/>
      <c r="BW184" s="226"/>
      <c r="BX184" s="226"/>
    </row>
    <row r="185" spans="3:76" hidden="1">
      <c r="C185" s="314" t="s">
        <v>357</v>
      </c>
      <c r="D185" s="315"/>
      <c r="E185" s="316">
        <f t="shared" ref="E185:G185" si="98">-(E8+E95)</f>
        <v>0</v>
      </c>
      <c r="F185" s="316">
        <f t="shared" si="98"/>
        <v>0</v>
      </c>
      <c r="G185" s="316">
        <f t="shared" si="98"/>
        <v>0</v>
      </c>
      <c r="H185" s="315">
        <f>-5341205.5</f>
        <v>-5341205.5</v>
      </c>
      <c r="I185" s="315">
        <v>0</v>
      </c>
      <c r="J185" s="315">
        <v>0</v>
      </c>
      <c r="K185" s="315">
        <v>0</v>
      </c>
      <c r="L185" s="315">
        <v>0</v>
      </c>
      <c r="M185" s="315">
        <v>0</v>
      </c>
      <c r="N185" s="315">
        <v>0</v>
      </c>
      <c r="O185" s="315">
        <v>0</v>
      </c>
      <c r="P185" s="315">
        <v>0</v>
      </c>
      <c r="Q185" s="315">
        <v>0</v>
      </c>
      <c r="R185" s="315">
        <v>0</v>
      </c>
      <c r="S185" s="315">
        <v>0</v>
      </c>
      <c r="T185" s="315">
        <f>5341205.5</f>
        <v>5341205.5</v>
      </c>
      <c r="U185" s="316">
        <f t="shared" ref="U185:Z185" si="99">-(U8+U95)</f>
        <v>0</v>
      </c>
      <c r="V185" s="316">
        <f t="shared" si="99"/>
        <v>0</v>
      </c>
      <c r="W185" s="316">
        <f t="shared" si="99"/>
        <v>0</v>
      </c>
      <c r="X185" s="316">
        <f t="shared" si="99"/>
        <v>0</v>
      </c>
      <c r="Y185" s="316">
        <f t="shared" si="99"/>
        <v>0</v>
      </c>
      <c r="Z185" s="316">
        <f t="shared" si="99"/>
        <v>0</v>
      </c>
      <c r="AA185" s="316"/>
      <c r="AB185" s="316">
        <f t="shared" ref="AB185:AE185" si="100">-(AB8+AB95)</f>
        <v>0</v>
      </c>
      <c r="AC185" s="316">
        <f t="shared" si="100"/>
        <v>0</v>
      </c>
      <c r="AD185" s="316">
        <f t="shared" si="100"/>
        <v>0</v>
      </c>
      <c r="AE185" s="316">
        <f t="shared" si="100"/>
        <v>0</v>
      </c>
      <c r="AF185" s="316"/>
      <c r="AG185" s="316"/>
      <c r="AH185" s="316"/>
      <c r="AI185" s="316"/>
      <c r="AJ185" s="316"/>
      <c r="AK185" s="316">
        <f t="shared" ref="AK185:BX185" si="101">-(AK8+AK95)</f>
        <v>0</v>
      </c>
      <c r="AL185" s="316">
        <f t="shared" si="101"/>
        <v>0</v>
      </c>
      <c r="AM185" s="316">
        <f t="shared" si="101"/>
        <v>0</v>
      </c>
      <c r="AN185" s="316">
        <f t="shared" si="101"/>
        <v>0</v>
      </c>
      <c r="AO185" s="316">
        <f t="shared" si="101"/>
        <v>0</v>
      </c>
      <c r="AP185" s="316">
        <f t="shared" si="101"/>
        <v>0</v>
      </c>
      <c r="AQ185" s="316">
        <f t="shared" si="101"/>
        <v>0</v>
      </c>
      <c r="AR185" s="316">
        <f t="shared" si="101"/>
        <v>0</v>
      </c>
      <c r="AS185" s="316">
        <f t="shared" si="101"/>
        <v>0</v>
      </c>
      <c r="AT185" s="316">
        <f t="shared" si="101"/>
        <v>0</v>
      </c>
      <c r="AU185" s="316">
        <f t="shared" si="101"/>
        <v>0</v>
      </c>
      <c r="AV185" s="316">
        <f t="shared" si="101"/>
        <v>0</v>
      </c>
      <c r="AW185" s="316">
        <f t="shared" si="101"/>
        <v>0</v>
      </c>
      <c r="AX185" s="316">
        <f t="shared" si="101"/>
        <v>0</v>
      </c>
      <c r="AY185" s="316">
        <f t="shared" si="101"/>
        <v>0</v>
      </c>
      <c r="AZ185" s="316">
        <f t="shared" si="101"/>
        <v>0</v>
      </c>
      <c r="BA185" s="316">
        <f t="shared" si="101"/>
        <v>0</v>
      </c>
      <c r="BB185" s="316">
        <f t="shared" si="101"/>
        <v>0</v>
      </c>
      <c r="BC185" s="316">
        <f t="shared" si="101"/>
        <v>0</v>
      </c>
      <c r="BD185" s="316">
        <f t="shared" si="101"/>
        <v>0</v>
      </c>
      <c r="BE185" s="316">
        <f t="shared" si="101"/>
        <v>0</v>
      </c>
      <c r="BF185" s="316">
        <f t="shared" si="101"/>
        <v>0</v>
      </c>
      <c r="BG185" s="316">
        <f t="shared" si="101"/>
        <v>0</v>
      </c>
      <c r="BH185" s="316">
        <f t="shared" si="101"/>
        <v>0</v>
      </c>
      <c r="BI185" s="316">
        <f t="shared" si="101"/>
        <v>0</v>
      </c>
      <c r="BJ185" s="316">
        <f t="shared" si="101"/>
        <v>0</v>
      </c>
      <c r="BK185" s="316">
        <f t="shared" si="101"/>
        <v>0</v>
      </c>
      <c r="BL185" s="316">
        <f t="shared" si="101"/>
        <v>0</v>
      </c>
      <c r="BM185" s="316">
        <f t="shared" si="101"/>
        <v>0</v>
      </c>
      <c r="BN185" s="316">
        <f t="shared" si="101"/>
        <v>0</v>
      </c>
      <c r="BO185" s="316">
        <f t="shared" si="101"/>
        <v>0</v>
      </c>
      <c r="BP185" s="316">
        <f t="shared" si="101"/>
        <v>0</v>
      </c>
      <c r="BQ185" s="316">
        <f t="shared" si="101"/>
        <v>0</v>
      </c>
      <c r="BR185" s="316">
        <f t="shared" si="101"/>
        <v>0</v>
      </c>
      <c r="BS185" s="316">
        <f t="shared" si="101"/>
        <v>0</v>
      </c>
      <c r="BT185" s="316">
        <f t="shared" si="101"/>
        <v>0</v>
      </c>
      <c r="BU185" s="316">
        <f t="shared" si="101"/>
        <v>0</v>
      </c>
      <c r="BV185" s="316">
        <f t="shared" si="101"/>
        <v>0</v>
      </c>
      <c r="BW185" s="316">
        <f t="shared" si="101"/>
        <v>0</v>
      </c>
      <c r="BX185" s="316">
        <f t="shared" si="101"/>
        <v>0</v>
      </c>
    </row>
    <row r="186" spans="3:76" hidden="1">
      <c r="C186" s="314" t="s">
        <v>353</v>
      </c>
      <c r="D186" s="323"/>
      <c r="E186" s="315"/>
      <c r="F186" s="315"/>
      <c r="G186" s="315"/>
      <c r="H186" s="315"/>
      <c r="I186" s="315"/>
      <c r="J186" s="315"/>
      <c r="K186" s="315"/>
      <c r="L186" s="315"/>
      <c r="M186" s="315"/>
      <c r="N186" s="315"/>
      <c r="O186" s="315"/>
      <c r="P186" s="315"/>
      <c r="Q186" s="315"/>
      <c r="R186" s="315"/>
      <c r="S186" s="315"/>
      <c r="T186" s="315"/>
      <c r="U186" s="315"/>
      <c r="V186" s="315"/>
      <c r="W186" s="315"/>
      <c r="X186" s="315"/>
      <c r="Y186" s="315"/>
      <c r="Z186" s="315"/>
      <c r="AA186" s="315"/>
      <c r="AB186" s="315"/>
      <c r="AC186" s="315"/>
      <c r="AD186" s="315"/>
      <c r="AE186" s="315"/>
      <c r="AF186" s="315"/>
      <c r="AG186" s="315"/>
      <c r="AH186" s="315"/>
      <c r="AI186" s="315"/>
      <c r="AJ186" s="315"/>
      <c r="AK186" s="315"/>
      <c r="AL186" s="315"/>
      <c r="AM186" s="315"/>
      <c r="AN186" s="315"/>
      <c r="AO186" s="315"/>
      <c r="AP186" s="315"/>
      <c r="AQ186" s="315"/>
      <c r="AR186" s="315"/>
      <c r="AS186" s="315"/>
      <c r="AT186" s="315"/>
      <c r="AU186" s="315"/>
      <c r="AV186" s="315"/>
      <c r="AW186" s="315"/>
      <c r="AX186" s="315"/>
      <c r="AY186" s="315"/>
      <c r="AZ186" s="315"/>
      <c r="BA186" s="315"/>
      <c r="BB186" s="315"/>
      <c r="BC186" s="316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</row>
    <row r="187" spans="3:76" hidden="1">
      <c r="C187" s="314" t="s">
        <v>343</v>
      </c>
      <c r="D187" s="323"/>
      <c r="E187" s="315">
        <f t="shared" ref="E187:G187" si="102">-E60</f>
        <v>0</v>
      </c>
      <c r="F187" s="315">
        <f t="shared" si="102"/>
        <v>0</v>
      </c>
      <c r="G187" s="315">
        <f t="shared" si="102"/>
        <v>0</v>
      </c>
      <c r="H187" s="315">
        <f t="shared" ref="H187:T187" si="103">-H75</f>
        <v>0</v>
      </c>
      <c r="I187" s="315">
        <f t="shared" si="103"/>
        <v>0</v>
      </c>
      <c r="J187" s="315">
        <f t="shared" si="103"/>
        <v>0</v>
      </c>
      <c r="K187" s="315">
        <f t="shared" si="103"/>
        <v>0</v>
      </c>
      <c r="L187" s="315">
        <f t="shared" si="103"/>
        <v>0</v>
      </c>
      <c r="M187" s="315">
        <f t="shared" si="103"/>
        <v>0</v>
      </c>
      <c r="N187" s="315">
        <f t="shared" si="103"/>
        <v>0</v>
      </c>
      <c r="O187" s="315">
        <f t="shared" si="103"/>
        <v>0</v>
      </c>
      <c r="P187" s="315">
        <f t="shared" si="103"/>
        <v>0</v>
      </c>
      <c r="Q187" s="315">
        <f t="shared" si="103"/>
        <v>0</v>
      </c>
      <c r="R187" s="315">
        <f t="shared" si="103"/>
        <v>0</v>
      </c>
      <c r="S187" s="315">
        <f t="shared" si="103"/>
        <v>0</v>
      </c>
      <c r="T187" s="315">
        <f t="shared" si="103"/>
        <v>0</v>
      </c>
      <c r="U187" s="315">
        <f t="shared" ref="U187:Z187" si="104">-U60</f>
        <v>0</v>
      </c>
      <c r="V187" s="315">
        <f t="shared" si="104"/>
        <v>0</v>
      </c>
      <c r="W187" s="315">
        <f t="shared" si="104"/>
        <v>0</v>
      </c>
      <c r="X187" s="315">
        <f t="shared" si="104"/>
        <v>0</v>
      </c>
      <c r="Y187" s="315">
        <f t="shared" si="104"/>
        <v>0</v>
      </c>
      <c r="Z187" s="315">
        <f t="shared" si="104"/>
        <v>0</v>
      </c>
      <c r="AA187" s="315"/>
      <c r="AB187" s="315">
        <f t="shared" ref="AB187:AE187" si="105">-AB60</f>
        <v>0</v>
      </c>
      <c r="AC187" s="315">
        <f t="shared" si="105"/>
        <v>0</v>
      </c>
      <c r="AD187" s="315">
        <f t="shared" si="105"/>
        <v>0</v>
      </c>
      <c r="AE187" s="315">
        <f t="shared" si="105"/>
        <v>0</v>
      </c>
      <c r="AF187" s="315"/>
      <c r="AG187" s="315"/>
      <c r="AH187" s="315"/>
      <c r="AI187" s="315"/>
      <c r="AJ187" s="315"/>
      <c r="AK187" s="315">
        <f t="shared" ref="AK187:BX187" si="106">-AK60</f>
        <v>0</v>
      </c>
      <c r="AL187" s="315">
        <f t="shared" si="106"/>
        <v>0</v>
      </c>
      <c r="AM187" s="315">
        <f t="shared" si="106"/>
        <v>0</v>
      </c>
      <c r="AN187" s="315">
        <f t="shared" si="106"/>
        <v>0</v>
      </c>
      <c r="AO187" s="315">
        <f t="shared" si="106"/>
        <v>0</v>
      </c>
      <c r="AP187" s="315">
        <f t="shared" si="106"/>
        <v>0</v>
      </c>
      <c r="AQ187" s="315">
        <f t="shared" si="106"/>
        <v>0</v>
      </c>
      <c r="AR187" s="315">
        <f t="shared" si="106"/>
        <v>0</v>
      </c>
      <c r="AS187" s="315">
        <f t="shared" si="106"/>
        <v>0</v>
      </c>
      <c r="AT187" s="315">
        <f t="shared" si="106"/>
        <v>0</v>
      </c>
      <c r="AU187" s="315">
        <f t="shared" si="106"/>
        <v>0</v>
      </c>
      <c r="AV187" s="315">
        <f t="shared" si="106"/>
        <v>0</v>
      </c>
      <c r="AW187" s="315">
        <f t="shared" si="106"/>
        <v>0</v>
      </c>
      <c r="AX187" s="315">
        <f t="shared" si="106"/>
        <v>0</v>
      </c>
      <c r="AY187" s="315">
        <f t="shared" si="106"/>
        <v>0</v>
      </c>
      <c r="AZ187" s="315">
        <f t="shared" si="106"/>
        <v>0</v>
      </c>
      <c r="BA187" s="315">
        <f t="shared" si="106"/>
        <v>0</v>
      </c>
      <c r="BB187" s="315">
        <f t="shared" si="106"/>
        <v>0</v>
      </c>
      <c r="BC187" s="315">
        <f t="shared" si="106"/>
        <v>0</v>
      </c>
      <c r="BD187" s="315">
        <f t="shared" si="106"/>
        <v>0</v>
      </c>
      <c r="BE187" s="315">
        <f t="shared" si="106"/>
        <v>0</v>
      </c>
      <c r="BF187" s="315">
        <f t="shared" si="106"/>
        <v>0</v>
      </c>
      <c r="BG187" s="315">
        <f t="shared" si="106"/>
        <v>0</v>
      </c>
      <c r="BH187" s="315">
        <f t="shared" si="106"/>
        <v>0</v>
      </c>
      <c r="BI187" s="315">
        <f t="shared" si="106"/>
        <v>0</v>
      </c>
      <c r="BJ187" s="315">
        <f t="shared" si="106"/>
        <v>0</v>
      </c>
      <c r="BK187" s="315">
        <f t="shared" si="106"/>
        <v>0</v>
      </c>
      <c r="BL187" s="315">
        <f t="shared" si="106"/>
        <v>0</v>
      </c>
      <c r="BM187" s="315">
        <f t="shared" si="106"/>
        <v>0</v>
      </c>
      <c r="BN187" s="315">
        <f t="shared" si="106"/>
        <v>0</v>
      </c>
      <c r="BO187" s="315">
        <f t="shared" si="106"/>
        <v>0</v>
      </c>
      <c r="BP187" s="315">
        <f t="shared" si="106"/>
        <v>0</v>
      </c>
      <c r="BQ187" s="315">
        <f t="shared" si="106"/>
        <v>0</v>
      </c>
      <c r="BR187" s="315">
        <f t="shared" si="106"/>
        <v>0</v>
      </c>
      <c r="BS187" s="315">
        <f t="shared" si="106"/>
        <v>0</v>
      </c>
      <c r="BT187" s="315">
        <f t="shared" si="106"/>
        <v>0</v>
      </c>
      <c r="BU187" s="315">
        <f t="shared" si="106"/>
        <v>0</v>
      </c>
      <c r="BV187" s="315">
        <f t="shared" si="106"/>
        <v>0</v>
      </c>
      <c r="BW187" s="315">
        <f t="shared" si="106"/>
        <v>0</v>
      </c>
      <c r="BX187" s="315">
        <f t="shared" si="106"/>
        <v>0</v>
      </c>
    </row>
    <row r="188" spans="3:76" hidden="1">
      <c r="C188" s="314" t="s">
        <v>344</v>
      </c>
      <c r="D188" s="323"/>
      <c r="E188" s="315"/>
      <c r="F188" s="315"/>
      <c r="G188" s="315"/>
      <c r="H188" s="315"/>
      <c r="I188" s="315"/>
      <c r="J188" s="315"/>
      <c r="K188" s="315"/>
      <c r="L188" s="315"/>
      <c r="M188" s="315"/>
      <c r="N188" s="315"/>
      <c r="O188" s="315"/>
      <c r="P188" s="315"/>
      <c r="Q188" s="315"/>
      <c r="R188" s="315"/>
      <c r="S188" s="315"/>
      <c r="T188" s="315">
        <v>2750000</v>
      </c>
      <c r="U188" s="315"/>
      <c r="V188" s="315"/>
      <c r="W188" s="315"/>
      <c r="X188" s="315"/>
      <c r="Y188" s="315"/>
      <c r="Z188" s="315"/>
      <c r="AA188" s="315"/>
      <c r="AB188" s="315"/>
      <c r="AC188" s="315"/>
      <c r="AD188" s="315"/>
      <c r="AE188" s="315"/>
      <c r="AF188" s="315"/>
      <c r="AG188" s="315"/>
      <c r="AH188" s="315"/>
      <c r="AI188" s="315"/>
      <c r="AJ188" s="315"/>
      <c r="AK188" s="315"/>
      <c r="AL188" s="315"/>
      <c r="AM188" s="315"/>
      <c r="AN188" s="315"/>
      <c r="AO188" s="315"/>
      <c r="AP188" s="315"/>
      <c r="AQ188" s="315"/>
      <c r="AR188" s="315"/>
      <c r="AS188" s="315"/>
      <c r="AT188" s="315"/>
      <c r="AU188" s="315"/>
      <c r="AV188" s="315"/>
      <c r="AW188" s="315"/>
      <c r="AX188" s="315"/>
      <c r="AY188" s="315"/>
      <c r="AZ188" s="315"/>
      <c r="BA188" s="315"/>
      <c r="BB188" s="315"/>
      <c r="BC188" s="316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>
        <f>IF(D112&gt;0.25,(BX102-BX115)*D189,BX102*D189)</f>
        <v>0</v>
      </c>
    </row>
    <row r="189" spans="3:76" hidden="1">
      <c r="C189" s="317" t="s">
        <v>345</v>
      </c>
      <c r="D189" s="323">
        <v>0</v>
      </c>
      <c r="E189" s="315"/>
      <c r="F189" s="315"/>
      <c r="G189" s="315"/>
      <c r="H189" s="246"/>
      <c r="I189" s="246"/>
      <c r="J189" s="246"/>
      <c r="K189" s="246"/>
      <c r="L189" s="246"/>
      <c r="M189" s="246"/>
      <c r="N189" s="246"/>
      <c r="O189" s="246"/>
      <c r="P189" s="246"/>
      <c r="Q189" s="246"/>
      <c r="R189" s="246"/>
      <c r="S189" s="246"/>
      <c r="T189" s="246"/>
      <c r="U189" s="315"/>
      <c r="V189" s="315"/>
      <c r="W189" s="315"/>
      <c r="X189" s="315"/>
      <c r="Y189" s="315"/>
      <c r="Z189" s="315"/>
      <c r="AA189" s="315"/>
      <c r="AB189" s="315"/>
      <c r="AC189" s="315"/>
      <c r="AD189" s="315"/>
      <c r="AE189" s="315"/>
      <c r="AF189" s="315"/>
      <c r="AG189" s="315"/>
      <c r="AH189" s="315"/>
      <c r="AI189" s="315"/>
      <c r="AJ189" s="315"/>
      <c r="AK189" s="315"/>
      <c r="AL189" s="315"/>
      <c r="AM189" s="315"/>
      <c r="AN189" s="315"/>
      <c r="AO189" s="315"/>
      <c r="AP189" s="315"/>
      <c r="AQ189" s="315"/>
      <c r="AR189" s="315"/>
      <c r="AS189" s="315"/>
      <c r="AT189" s="315"/>
      <c r="AU189" s="315"/>
      <c r="AV189" s="315"/>
      <c r="AW189" s="315"/>
      <c r="AX189" s="315"/>
      <c r="AY189" s="315"/>
      <c r="AZ189" s="315"/>
      <c r="BA189" s="315"/>
      <c r="BB189" s="315"/>
      <c r="BC189" s="316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</row>
    <row r="190" spans="3:76" hidden="1">
      <c r="C190" s="314" t="s">
        <v>346</v>
      </c>
      <c r="D190" s="315"/>
      <c r="E190" s="325">
        <f t="shared" ref="E190:Z190" si="107">E185+E186+E187+E188+E189</f>
        <v>0</v>
      </c>
      <c r="F190" s="325">
        <f t="shared" si="107"/>
        <v>0</v>
      </c>
      <c r="G190" s="325">
        <f t="shared" si="107"/>
        <v>0</v>
      </c>
      <c r="H190" s="325">
        <f t="shared" si="107"/>
        <v>-5341205.5</v>
      </c>
      <c r="I190" s="325">
        <f t="shared" si="107"/>
        <v>0</v>
      </c>
      <c r="J190" s="325">
        <f t="shared" si="107"/>
        <v>0</v>
      </c>
      <c r="K190" s="325">
        <f t="shared" si="107"/>
        <v>0</v>
      </c>
      <c r="L190" s="325">
        <f t="shared" si="107"/>
        <v>0</v>
      </c>
      <c r="M190" s="325">
        <f t="shared" si="107"/>
        <v>0</v>
      </c>
      <c r="N190" s="325">
        <f t="shared" si="107"/>
        <v>0</v>
      </c>
      <c r="O190" s="325">
        <f t="shared" si="107"/>
        <v>0</v>
      </c>
      <c r="P190" s="325">
        <f t="shared" si="107"/>
        <v>0</v>
      </c>
      <c r="Q190" s="325">
        <f t="shared" si="107"/>
        <v>0</v>
      </c>
      <c r="R190" s="325">
        <f t="shared" si="107"/>
        <v>0</v>
      </c>
      <c r="S190" s="325">
        <f t="shared" si="107"/>
        <v>0</v>
      </c>
      <c r="T190" s="325">
        <f t="shared" si="107"/>
        <v>8091205.5</v>
      </c>
      <c r="U190" s="325">
        <f t="shared" si="107"/>
        <v>0</v>
      </c>
      <c r="V190" s="325">
        <f t="shared" si="107"/>
        <v>0</v>
      </c>
      <c r="W190" s="325">
        <f t="shared" si="107"/>
        <v>0</v>
      </c>
      <c r="X190" s="325">
        <f t="shared" si="107"/>
        <v>0</v>
      </c>
      <c r="Y190" s="325">
        <f t="shared" si="107"/>
        <v>0</v>
      </c>
      <c r="Z190" s="325">
        <f t="shared" si="107"/>
        <v>0</v>
      </c>
      <c r="AA190" s="325"/>
      <c r="AB190" s="325">
        <f t="shared" ref="AB190:AE190" si="108">AB185+AB186+AB187+AB188+AB189</f>
        <v>0</v>
      </c>
      <c r="AC190" s="325">
        <f t="shared" si="108"/>
        <v>0</v>
      </c>
      <c r="AD190" s="325">
        <f t="shared" si="108"/>
        <v>0</v>
      </c>
      <c r="AE190" s="325">
        <f t="shared" si="108"/>
        <v>0</v>
      </c>
      <c r="AF190" s="325"/>
      <c r="AG190" s="325"/>
      <c r="AH190" s="325"/>
      <c r="AI190" s="325"/>
      <c r="AJ190" s="325"/>
      <c r="AK190" s="325">
        <f t="shared" ref="AK190:BX190" si="109">AK185+AK186+AK187+AK188+AK189</f>
        <v>0</v>
      </c>
      <c r="AL190" s="325">
        <f t="shared" si="109"/>
        <v>0</v>
      </c>
      <c r="AM190" s="325">
        <f t="shared" si="109"/>
        <v>0</v>
      </c>
      <c r="AN190" s="325">
        <f t="shared" si="109"/>
        <v>0</v>
      </c>
      <c r="AO190" s="325">
        <f t="shared" si="109"/>
        <v>0</v>
      </c>
      <c r="AP190" s="325">
        <f t="shared" si="109"/>
        <v>0</v>
      </c>
      <c r="AQ190" s="325">
        <f t="shared" si="109"/>
        <v>0</v>
      </c>
      <c r="AR190" s="325">
        <f t="shared" si="109"/>
        <v>0</v>
      </c>
      <c r="AS190" s="325">
        <f t="shared" si="109"/>
        <v>0</v>
      </c>
      <c r="AT190" s="325">
        <f t="shared" si="109"/>
        <v>0</v>
      </c>
      <c r="AU190" s="325">
        <f t="shared" si="109"/>
        <v>0</v>
      </c>
      <c r="AV190" s="325">
        <f t="shared" si="109"/>
        <v>0</v>
      </c>
      <c r="AW190" s="325">
        <f t="shared" si="109"/>
        <v>0</v>
      </c>
      <c r="AX190" s="325">
        <f t="shared" si="109"/>
        <v>0</v>
      </c>
      <c r="AY190" s="325">
        <f t="shared" si="109"/>
        <v>0</v>
      </c>
      <c r="AZ190" s="325">
        <f t="shared" si="109"/>
        <v>0</v>
      </c>
      <c r="BA190" s="325">
        <f t="shared" si="109"/>
        <v>0</v>
      </c>
      <c r="BB190" s="325">
        <f t="shared" si="109"/>
        <v>0</v>
      </c>
      <c r="BC190" s="325">
        <f t="shared" si="109"/>
        <v>0</v>
      </c>
      <c r="BD190" s="325">
        <f t="shared" si="109"/>
        <v>0</v>
      </c>
      <c r="BE190" s="325">
        <f t="shared" si="109"/>
        <v>0</v>
      </c>
      <c r="BF190" s="325">
        <f t="shared" si="109"/>
        <v>0</v>
      </c>
      <c r="BG190" s="325">
        <f t="shared" si="109"/>
        <v>0</v>
      </c>
      <c r="BH190" s="325">
        <f t="shared" si="109"/>
        <v>0</v>
      </c>
      <c r="BI190" s="325">
        <f t="shared" si="109"/>
        <v>0</v>
      </c>
      <c r="BJ190" s="325">
        <f t="shared" si="109"/>
        <v>0</v>
      </c>
      <c r="BK190" s="325">
        <f t="shared" si="109"/>
        <v>0</v>
      </c>
      <c r="BL190" s="325">
        <f t="shared" si="109"/>
        <v>0</v>
      </c>
      <c r="BM190" s="325">
        <f t="shared" si="109"/>
        <v>0</v>
      </c>
      <c r="BN190" s="325">
        <f t="shared" si="109"/>
        <v>0</v>
      </c>
      <c r="BO190" s="325">
        <f t="shared" si="109"/>
        <v>0</v>
      </c>
      <c r="BP190" s="325">
        <f t="shared" si="109"/>
        <v>0</v>
      </c>
      <c r="BQ190" s="325">
        <f t="shared" si="109"/>
        <v>0</v>
      </c>
      <c r="BR190" s="325">
        <f t="shared" si="109"/>
        <v>0</v>
      </c>
      <c r="BS190" s="325">
        <f t="shared" si="109"/>
        <v>0</v>
      </c>
      <c r="BT190" s="325">
        <f t="shared" si="109"/>
        <v>0</v>
      </c>
      <c r="BU190" s="325">
        <f t="shared" si="109"/>
        <v>0</v>
      </c>
      <c r="BV190" s="325">
        <f t="shared" si="109"/>
        <v>0</v>
      </c>
      <c r="BW190" s="325">
        <f t="shared" si="109"/>
        <v>0</v>
      </c>
      <c r="BX190" s="325">
        <f t="shared" si="109"/>
        <v>0</v>
      </c>
    </row>
    <row r="191" spans="3:76" hidden="1">
      <c r="C191" s="318"/>
      <c r="D191" s="326" t="s">
        <v>354</v>
      </c>
      <c r="E191" s="330">
        <f>E190</f>
        <v>0</v>
      </c>
      <c r="F191" s="330">
        <f t="shared" ref="F191:Z191" si="110">E191+F190</f>
        <v>0</v>
      </c>
      <c r="G191" s="330">
        <f t="shared" si="110"/>
        <v>0</v>
      </c>
      <c r="H191" s="330">
        <f t="shared" si="110"/>
        <v>-5341205.5</v>
      </c>
      <c r="I191" s="330">
        <f t="shared" si="110"/>
        <v>-5341205.5</v>
      </c>
      <c r="J191" s="330">
        <f t="shared" si="110"/>
        <v>-5341205.5</v>
      </c>
      <c r="K191" s="330">
        <f t="shared" si="110"/>
        <v>-5341205.5</v>
      </c>
      <c r="L191" s="330">
        <f t="shared" si="110"/>
        <v>-5341205.5</v>
      </c>
      <c r="M191" s="330">
        <f t="shared" si="110"/>
        <v>-5341205.5</v>
      </c>
      <c r="N191" s="330">
        <f t="shared" si="110"/>
        <v>-5341205.5</v>
      </c>
      <c r="O191" s="330">
        <f t="shared" si="110"/>
        <v>-5341205.5</v>
      </c>
      <c r="P191" s="330">
        <f t="shared" si="110"/>
        <v>-5341205.5</v>
      </c>
      <c r="Q191" s="330">
        <f t="shared" si="110"/>
        <v>-5341205.5</v>
      </c>
      <c r="R191" s="330">
        <f t="shared" si="110"/>
        <v>-5341205.5</v>
      </c>
      <c r="S191" s="330">
        <f t="shared" si="110"/>
        <v>-5341205.5</v>
      </c>
      <c r="T191" s="330">
        <f t="shared" si="110"/>
        <v>2750000</v>
      </c>
      <c r="U191" s="330">
        <f t="shared" si="110"/>
        <v>2750000</v>
      </c>
      <c r="V191" s="331">
        <f t="shared" si="110"/>
        <v>2750000</v>
      </c>
      <c r="W191" s="331">
        <f t="shared" si="110"/>
        <v>2750000</v>
      </c>
      <c r="X191" s="331">
        <f t="shared" si="110"/>
        <v>2750000</v>
      </c>
      <c r="Y191" s="331">
        <f t="shared" si="110"/>
        <v>2750000</v>
      </c>
      <c r="Z191" s="331">
        <f t="shared" si="110"/>
        <v>2750000</v>
      </c>
      <c r="AA191" s="331"/>
      <c r="AB191" s="331">
        <f t="shared" ref="AB191:AE191" si="111">AA191+AB190</f>
        <v>0</v>
      </c>
      <c r="AC191" s="331">
        <f t="shared" si="111"/>
        <v>0</v>
      </c>
      <c r="AD191" s="331">
        <f t="shared" si="111"/>
        <v>0</v>
      </c>
      <c r="AE191" s="331">
        <f t="shared" si="111"/>
        <v>0</v>
      </c>
      <c r="AF191" s="331"/>
      <c r="AG191" s="331"/>
      <c r="AH191" s="331"/>
      <c r="AI191" s="331"/>
      <c r="AJ191" s="331"/>
      <c r="AK191" s="331">
        <f t="shared" ref="AK191:BX191" si="112">AJ191+AK190</f>
        <v>0</v>
      </c>
      <c r="AL191" s="331">
        <f t="shared" si="112"/>
        <v>0</v>
      </c>
      <c r="AM191" s="331">
        <f t="shared" si="112"/>
        <v>0</v>
      </c>
      <c r="AN191" s="331">
        <f t="shared" si="112"/>
        <v>0</v>
      </c>
      <c r="AO191" s="331">
        <f t="shared" si="112"/>
        <v>0</v>
      </c>
      <c r="AP191" s="331">
        <f t="shared" si="112"/>
        <v>0</v>
      </c>
      <c r="AQ191" s="331">
        <f t="shared" si="112"/>
        <v>0</v>
      </c>
      <c r="AR191" s="331">
        <f t="shared" si="112"/>
        <v>0</v>
      </c>
      <c r="AS191" s="331">
        <f t="shared" si="112"/>
        <v>0</v>
      </c>
      <c r="AT191" s="331">
        <f t="shared" si="112"/>
        <v>0</v>
      </c>
      <c r="AU191" s="331">
        <f t="shared" si="112"/>
        <v>0</v>
      </c>
      <c r="AV191" s="331">
        <f t="shared" si="112"/>
        <v>0</v>
      </c>
      <c r="AW191" s="331">
        <f t="shared" si="112"/>
        <v>0</v>
      </c>
      <c r="AX191" s="331">
        <f t="shared" si="112"/>
        <v>0</v>
      </c>
      <c r="AY191" s="331">
        <f t="shared" si="112"/>
        <v>0</v>
      </c>
      <c r="AZ191" s="331">
        <f t="shared" si="112"/>
        <v>0</v>
      </c>
      <c r="BA191" s="331">
        <f t="shared" si="112"/>
        <v>0</v>
      </c>
      <c r="BB191" s="331">
        <f t="shared" si="112"/>
        <v>0</v>
      </c>
      <c r="BC191" s="330">
        <f t="shared" si="112"/>
        <v>0</v>
      </c>
      <c r="BD191" s="330">
        <f t="shared" si="112"/>
        <v>0</v>
      </c>
      <c r="BE191" s="330">
        <f t="shared" si="112"/>
        <v>0</v>
      </c>
      <c r="BF191" s="330">
        <f t="shared" si="112"/>
        <v>0</v>
      </c>
      <c r="BG191" s="330">
        <f t="shared" si="112"/>
        <v>0</v>
      </c>
      <c r="BH191" s="330">
        <f t="shared" si="112"/>
        <v>0</v>
      </c>
      <c r="BI191" s="330">
        <f t="shared" si="112"/>
        <v>0</v>
      </c>
      <c r="BJ191" s="330">
        <f t="shared" si="112"/>
        <v>0</v>
      </c>
      <c r="BK191" s="330">
        <f t="shared" si="112"/>
        <v>0</v>
      </c>
      <c r="BL191" s="330">
        <f t="shared" si="112"/>
        <v>0</v>
      </c>
      <c r="BM191" s="330">
        <f t="shared" si="112"/>
        <v>0</v>
      </c>
      <c r="BN191" s="330">
        <f t="shared" si="112"/>
        <v>0</v>
      </c>
      <c r="BO191" s="330">
        <f t="shared" si="112"/>
        <v>0</v>
      </c>
      <c r="BP191" s="330">
        <f t="shared" si="112"/>
        <v>0</v>
      </c>
      <c r="BQ191" s="330">
        <f t="shared" si="112"/>
        <v>0</v>
      </c>
      <c r="BR191" s="330">
        <f t="shared" si="112"/>
        <v>0</v>
      </c>
      <c r="BS191" s="330">
        <f t="shared" si="112"/>
        <v>0</v>
      </c>
      <c r="BT191" s="330">
        <f t="shared" si="112"/>
        <v>0</v>
      </c>
      <c r="BU191" s="330">
        <f t="shared" si="112"/>
        <v>0</v>
      </c>
      <c r="BV191" s="330">
        <f t="shared" si="112"/>
        <v>0</v>
      </c>
      <c r="BW191" s="330">
        <f t="shared" si="112"/>
        <v>0</v>
      </c>
      <c r="BX191" s="330">
        <f t="shared" si="112"/>
        <v>0</v>
      </c>
    </row>
    <row r="192" spans="3:76" hidden="1">
      <c r="C192" s="317" t="s">
        <v>339</v>
      </c>
      <c r="D192" s="326">
        <f>IRR(E190:BX190)*12</f>
        <v>0.42259732866030397</v>
      </c>
      <c r="E192" s="226"/>
      <c r="F192" s="226"/>
      <c r="G192" s="226"/>
      <c r="H192" s="226"/>
      <c r="I192" s="226"/>
      <c r="J192" s="226"/>
      <c r="K192" s="226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6"/>
      <c r="AA192" s="226"/>
      <c r="AB192" s="226"/>
      <c r="AC192" s="226"/>
      <c r="AD192" s="226"/>
      <c r="AE192" s="226"/>
      <c r="AF192" s="226"/>
      <c r="AG192" s="226"/>
      <c r="AH192" s="226"/>
      <c r="AI192" s="226"/>
      <c r="AJ192" s="226"/>
      <c r="AK192" s="226"/>
      <c r="AL192" s="226"/>
      <c r="AM192" s="226"/>
      <c r="AN192" s="226"/>
      <c r="AO192" s="226"/>
      <c r="AP192" s="226"/>
      <c r="AQ192" s="226"/>
      <c r="AR192" s="226"/>
      <c r="AS192" s="226"/>
      <c r="AT192" s="226"/>
      <c r="AU192" s="226"/>
      <c r="AV192" s="226"/>
      <c r="AW192" s="226"/>
      <c r="AX192" s="226"/>
      <c r="AY192" s="226"/>
      <c r="AZ192" s="226"/>
      <c r="BA192" s="226"/>
      <c r="BB192" s="226"/>
      <c r="BC192" s="226"/>
      <c r="BD192" s="226"/>
      <c r="BE192" s="226"/>
      <c r="BF192" s="226"/>
      <c r="BG192" s="226"/>
      <c r="BH192" s="226"/>
      <c r="BI192" s="226"/>
      <c r="BJ192" s="226"/>
      <c r="BK192" s="226"/>
      <c r="BL192" s="226"/>
      <c r="BM192" s="226"/>
      <c r="BN192" s="226"/>
      <c r="BO192" s="226"/>
      <c r="BP192" s="226"/>
      <c r="BQ192" s="226"/>
      <c r="BR192" s="226"/>
      <c r="BS192" s="226"/>
      <c r="BT192" s="226"/>
      <c r="BU192" s="226"/>
      <c r="BV192" s="226"/>
      <c r="BW192" s="226"/>
      <c r="BX192" s="226"/>
    </row>
    <row r="193" spans="3:26" hidden="1">
      <c r="C193" s="327" t="s">
        <v>347</v>
      </c>
      <c r="D193" s="328">
        <f>-MIN(M191:BL191)-D194</f>
        <v>5341205.5</v>
      </c>
      <c r="E193" s="226"/>
      <c r="F193" s="226"/>
      <c r="G193" s="226"/>
      <c r="H193" s="226"/>
      <c r="I193" s="226"/>
      <c r="J193" s="226"/>
      <c r="K193" s="226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6"/>
    </row>
    <row r="194" spans="3:26" hidden="1">
      <c r="C194" s="327" t="s">
        <v>348</v>
      </c>
      <c r="D194" s="328">
        <f>-SUM(M189:BB189)</f>
        <v>0</v>
      </c>
      <c r="E194" s="226"/>
      <c r="F194" s="226"/>
      <c r="G194" s="226"/>
      <c r="H194" s="226"/>
      <c r="I194" s="226"/>
      <c r="J194" s="226"/>
      <c r="K194" s="226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6"/>
    </row>
    <row r="195" spans="3:26" hidden="1">
      <c r="C195" s="317" t="s">
        <v>349</v>
      </c>
      <c r="D195" s="329">
        <f>D194+D193</f>
        <v>5341205.5</v>
      </c>
      <c r="E195" s="226"/>
      <c r="F195" s="226"/>
      <c r="G195" s="226"/>
      <c r="H195" s="226"/>
      <c r="I195" s="226"/>
      <c r="J195" s="226"/>
      <c r="K195" s="226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6"/>
    </row>
    <row r="196" spans="3:26" hidden="1">
      <c r="C196" s="317" t="s">
        <v>350</v>
      </c>
      <c r="D196" s="329">
        <f>BX187+BX188</f>
        <v>0</v>
      </c>
      <c r="E196" s="226"/>
      <c r="F196" s="226"/>
      <c r="G196" s="226"/>
      <c r="H196" s="226"/>
      <c r="I196" s="226"/>
      <c r="J196" s="226"/>
      <c r="K196" s="226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6"/>
    </row>
    <row r="197" spans="3:26" hidden="1">
      <c r="C197" s="317" t="s">
        <v>351</v>
      </c>
      <c r="D197" s="326">
        <f>T188/T185</f>
        <v>0.51486504310684167</v>
      </c>
      <c r="E197" s="226"/>
      <c r="F197" s="226"/>
      <c r="G197" s="226"/>
      <c r="H197" s="226"/>
      <c r="I197" s="226"/>
      <c r="J197" s="226"/>
      <c r="K197" s="226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6"/>
    </row>
    <row r="198" spans="3:26" hidden="1">
      <c r="C198" s="226"/>
      <c r="D198" s="226"/>
      <c r="E198" s="226"/>
      <c r="F198" s="226"/>
      <c r="G198" s="226"/>
      <c r="H198" s="226"/>
      <c r="I198" s="226"/>
      <c r="J198" s="226"/>
      <c r="K198" s="226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6"/>
    </row>
    <row r="199" spans="3:26" ht="14" hidden="1"/>
    <row r="200" spans="3:26" ht="14" hidden="1"/>
    <row r="201" spans="3:26" ht="14" hidden="1"/>
    <row r="202" spans="3:26" ht="14" hidden="1"/>
    <row r="203" spans="3:26" ht="14" hidden="1"/>
    <row r="204" spans="3:26" hidden="1">
      <c r="S204" s="332">
        <v>700000</v>
      </c>
      <c r="T204" s="333">
        <v>1000000</v>
      </c>
      <c r="U204" s="332">
        <v>5300000</v>
      </c>
      <c r="V204" s="332">
        <v>4750000</v>
      </c>
      <c r="W204" s="332">
        <v>1250000</v>
      </c>
    </row>
    <row r="205" spans="3:26" ht="14" hidden="1"/>
    <row r="206" spans="3:26" ht="14" hidden="1">
      <c r="S206" s="25">
        <f t="shared" ref="S206:W206" si="113">S204*0.8</f>
        <v>560000</v>
      </c>
      <c r="T206" s="25">
        <f t="shared" si="113"/>
        <v>800000</v>
      </c>
      <c r="U206" s="25">
        <f t="shared" si="113"/>
        <v>4240000</v>
      </c>
      <c r="V206" s="25">
        <f t="shared" si="113"/>
        <v>3800000</v>
      </c>
      <c r="W206" s="25">
        <f t="shared" si="113"/>
        <v>1000000</v>
      </c>
    </row>
  </sheetData>
  <mergeCells count="34">
    <mergeCell ref="B9:B11"/>
    <mergeCell ref="BZ9:BZ11"/>
    <mergeCell ref="CC9:CC11"/>
    <mergeCell ref="B2:C4"/>
    <mergeCell ref="E2:P2"/>
    <mergeCell ref="Q2:AB2"/>
    <mergeCell ref="AC2:AN2"/>
    <mergeCell ref="AO2:AZ2"/>
    <mergeCell ref="BA2:BL2"/>
    <mergeCell ref="BM2:BX2"/>
    <mergeCell ref="BY2:BZ4"/>
    <mergeCell ref="B5:B8"/>
    <mergeCell ref="BZ5:BZ8"/>
    <mergeCell ref="CC5:CC8"/>
    <mergeCell ref="B99:C99"/>
    <mergeCell ref="BY99:BZ99"/>
    <mergeCell ref="B12:B16"/>
    <mergeCell ref="BZ12:BZ16"/>
    <mergeCell ref="CC12:CC16"/>
    <mergeCell ref="B17:C17"/>
    <mergeCell ref="BY17:BZ17"/>
    <mergeCell ref="CB17:CC17"/>
    <mergeCell ref="B18:B98"/>
    <mergeCell ref="BZ18:BZ90"/>
    <mergeCell ref="CC18:CC90"/>
    <mergeCell ref="BY91:BZ91"/>
    <mergeCell ref="BZ92:BZ98"/>
    <mergeCell ref="S130:T130"/>
    <mergeCell ref="B101:C101"/>
    <mergeCell ref="BY101:BZ101"/>
    <mergeCell ref="B102:C102"/>
    <mergeCell ref="D112:E112"/>
    <mergeCell ref="D115:BW115"/>
    <mergeCell ref="S129:T129"/>
  </mergeCells>
  <conditionalFormatting sqref="E18:BX18 E24:BX24 E27:BX27 E35:BX35 E38:BX38 E50:BX50 E56:BX56 E64:BX64 E88:BX88 E91:BX91">
    <cfRule type="cellIs" dxfId="31" priority="1" operator="equal">
      <formula>0</formula>
    </cfRule>
  </conditionalFormatting>
  <conditionalFormatting sqref="F120:BS123 E121 BT121:BX121 E123 BT123:BX123 E137 F137:BX140 E139 E155:BX155 E169 M169:BX169 F169:L172 E171 M171:BX171 M185:T185 H185:L188 E187:G187 M187:BX187">
    <cfRule type="cellIs" dxfId="30" priority="2" operator="equal">
      <formula>0</formula>
    </cfRule>
  </conditionalFormatting>
  <conditionalFormatting sqref="AA104:AA105">
    <cfRule type="containsText" dxfId="29" priority="3" operator="containsText" text="OK">
      <formula>NOT(ISERROR(SEARCH(("OK"),(AA104))))</formula>
    </cfRule>
    <cfRule type="containsText" dxfId="28" priority="4" operator="containsText" text="FALSE">
      <formula>NOT(ISERROR(SEARCH(("FALSE"),(AA104))))</formula>
    </cfRule>
  </conditionalFormatting>
  <dataValidations disablePrompts="1" count="1">
    <dataValidation type="list" allowBlank="1" showErrorMessage="1" sqref="CB4" xr:uid="{F141F3CB-7F39-470D-BCC1-0399DEDFCED6}">
      <formula1>$D$3:$BX$3</formula1>
    </dataValidation>
  </dataValidations>
  <pageMargins left="0" right="0" top="0" bottom="0" header="0" footer="0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A61"/>
  <sheetViews>
    <sheetView workbookViewId="0">
      <selection activeCell="J6" sqref="J6"/>
    </sheetView>
  </sheetViews>
  <sheetFormatPr baseColWidth="10" defaultColWidth="12.6640625" defaultRowHeight="15" customHeight="1"/>
  <cols>
    <col min="4" max="4" width="22.83203125" customWidth="1"/>
    <col min="5" max="5" width="56" customWidth="1"/>
    <col min="7" max="7" width="25.5" customWidth="1"/>
    <col min="8" max="8" width="16.33203125" customWidth="1"/>
    <col min="9" max="9" width="15.33203125" customWidth="1"/>
    <col min="27" max="27" width="12.6640625" style="408"/>
  </cols>
  <sheetData>
    <row r="1" spans="1:25" ht="16">
      <c r="A1" s="404"/>
      <c r="B1" s="405"/>
      <c r="C1" s="405"/>
      <c r="D1" s="405"/>
      <c r="E1" s="405"/>
      <c r="F1" s="406" t="s">
        <v>202</v>
      </c>
      <c r="G1" s="407">
        <v>7.0000000000000007E-2</v>
      </c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</row>
    <row r="2" spans="1:25" ht="16">
      <c r="A2" s="409" t="s">
        <v>421</v>
      </c>
      <c r="B2" s="405"/>
      <c r="C2" s="405"/>
      <c r="D2" s="405"/>
      <c r="E2" s="405"/>
      <c r="F2" s="410" t="s">
        <v>422</v>
      </c>
      <c r="G2" s="411">
        <v>25.2</v>
      </c>
      <c r="H2" s="405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</row>
    <row r="3" spans="1:25" ht="18">
      <c r="A3" s="405"/>
      <c r="B3" s="405"/>
      <c r="C3" s="405"/>
      <c r="D3" s="405"/>
      <c r="E3" s="405"/>
      <c r="F3" s="405"/>
      <c r="G3" s="412">
        <v>45747</v>
      </c>
      <c r="H3" s="413">
        <v>46022</v>
      </c>
      <c r="I3" s="26"/>
      <c r="J3" s="26"/>
      <c r="K3" s="832" t="s">
        <v>423</v>
      </c>
      <c r="L3" s="772"/>
      <c r="M3" s="772"/>
      <c r="N3" s="833" t="s">
        <v>424</v>
      </c>
      <c r="O3" s="772"/>
      <c r="P3" s="772"/>
      <c r="Q3" s="772"/>
      <c r="R3" s="772"/>
      <c r="S3" s="772"/>
      <c r="T3" s="772"/>
      <c r="U3" s="26"/>
      <c r="V3" s="832" t="s">
        <v>425</v>
      </c>
      <c r="W3" s="772"/>
      <c r="X3" s="772"/>
      <c r="Y3" s="772"/>
    </row>
    <row r="4" spans="1:25" ht="18">
      <c r="A4" s="606" t="s">
        <v>426</v>
      </c>
      <c r="B4" s="607"/>
      <c r="C4" s="608"/>
      <c r="D4" s="609"/>
      <c r="E4" s="609"/>
      <c r="F4" s="414"/>
      <c r="G4" s="415" t="s">
        <v>427</v>
      </c>
      <c r="H4" s="415" t="s">
        <v>428</v>
      </c>
      <c r="I4" s="26"/>
      <c r="J4" s="26"/>
      <c r="K4" s="772"/>
      <c r="L4" s="772"/>
      <c r="M4" s="772"/>
      <c r="N4" s="833" t="s">
        <v>429</v>
      </c>
      <c r="O4" s="772"/>
      <c r="P4" s="772"/>
      <c r="Q4" s="772"/>
      <c r="R4" s="772"/>
      <c r="S4" s="772"/>
      <c r="T4" s="772"/>
      <c r="U4" s="26"/>
      <c r="V4" s="834" t="s">
        <v>430</v>
      </c>
      <c r="W4" s="772"/>
      <c r="X4" s="772"/>
      <c r="Y4" s="772"/>
    </row>
    <row r="5" spans="1:25" ht="15" customHeight="1">
      <c r="A5" s="611"/>
      <c r="B5" s="612"/>
      <c r="C5" s="612" t="s">
        <v>431</v>
      </c>
      <c r="D5" s="613" t="s">
        <v>432</v>
      </c>
      <c r="E5" s="613" t="s">
        <v>433</v>
      </c>
      <c r="F5" s="613"/>
      <c r="G5" s="614">
        <f>Rentroll!I37/G1</f>
        <v>5386482.8571428573</v>
      </c>
      <c r="H5" s="614">
        <f>Rentroll!I37/G1</f>
        <v>5386482.8571428573</v>
      </c>
      <c r="I5" s="26">
        <f>Rentroll!K97</f>
        <v>5384566.9750566892</v>
      </c>
      <c r="J5" s="765">
        <f>G5-I5</f>
        <v>1915.8820861680433</v>
      </c>
      <c r="K5" s="26"/>
      <c r="L5" s="26"/>
      <c r="M5" s="26"/>
      <c r="N5" s="610" t="s">
        <v>434</v>
      </c>
      <c r="O5" s="835">
        <v>45747</v>
      </c>
      <c r="P5" s="772"/>
      <c r="Q5" s="772"/>
      <c r="R5" s="772"/>
      <c r="S5" s="772"/>
      <c r="T5" s="772"/>
      <c r="U5" s="26"/>
      <c r="V5" s="772"/>
      <c r="W5" s="772"/>
      <c r="X5" s="772"/>
      <c r="Y5" s="772"/>
    </row>
    <row r="6" spans="1:25">
      <c r="A6" s="615"/>
      <c r="B6" s="616"/>
      <c r="C6" s="616"/>
      <c r="D6" s="616"/>
      <c r="E6" s="414"/>
      <c r="F6" s="414"/>
      <c r="G6" s="405"/>
      <c r="H6" s="26"/>
      <c r="I6" s="26"/>
      <c r="J6" s="26"/>
      <c r="K6" s="26"/>
      <c r="L6" s="26"/>
      <c r="M6" s="26"/>
      <c r="N6" s="26"/>
      <c r="O6" s="416"/>
      <c r="P6" s="416"/>
      <c r="Q6" s="416"/>
      <c r="R6" s="416"/>
      <c r="S6" s="416"/>
      <c r="T6" s="416"/>
      <c r="U6" s="26"/>
      <c r="V6" s="416"/>
      <c r="W6" s="416"/>
      <c r="X6" s="416"/>
      <c r="Y6" s="416"/>
    </row>
    <row r="7" spans="1:25">
      <c r="A7" s="836" t="s">
        <v>435</v>
      </c>
      <c r="B7" s="772"/>
      <c r="C7" s="772"/>
      <c r="D7" s="772"/>
      <c r="E7" s="414"/>
      <c r="F7" s="414"/>
      <c r="G7" s="417" t="s">
        <v>427</v>
      </c>
      <c r="H7" s="417" t="s">
        <v>428</v>
      </c>
      <c r="I7" s="26"/>
      <c r="J7" s="26"/>
      <c r="K7" s="26"/>
      <c r="L7" s="26"/>
      <c r="M7" s="26"/>
      <c r="N7" s="837" t="s">
        <v>436</v>
      </c>
      <c r="O7" s="772"/>
      <c r="P7" s="772"/>
      <c r="Q7" s="772"/>
      <c r="R7" s="772"/>
      <c r="S7" s="772"/>
      <c r="T7" s="772"/>
      <c r="U7" s="26"/>
      <c r="V7" s="832" t="s">
        <v>437</v>
      </c>
      <c r="W7" s="772"/>
      <c r="X7" s="772"/>
      <c r="Y7" s="772"/>
    </row>
    <row r="8" spans="1:25" ht="15" customHeight="1">
      <c r="A8" s="418" t="s">
        <v>438</v>
      </c>
      <c r="B8" s="419" t="s">
        <v>439</v>
      </c>
      <c r="C8" s="420" t="s">
        <v>440</v>
      </c>
      <c r="D8" s="420" t="s">
        <v>441</v>
      </c>
      <c r="E8" s="420" t="s">
        <v>442</v>
      </c>
      <c r="F8" s="420" t="s">
        <v>443</v>
      </c>
      <c r="G8" s="420" t="s">
        <v>444</v>
      </c>
      <c r="H8" s="420" t="s">
        <v>444</v>
      </c>
      <c r="I8" s="26"/>
      <c r="J8" s="26"/>
      <c r="K8" s="26"/>
      <c r="L8" s="26"/>
      <c r="M8" s="26"/>
      <c r="N8" s="838" t="s">
        <v>445</v>
      </c>
      <c r="O8" s="831"/>
      <c r="P8" s="838" t="s">
        <v>446</v>
      </c>
      <c r="Q8" s="831"/>
      <c r="R8" s="831"/>
      <c r="S8" s="838" t="s">
        <v>447</v>
      </c>
      <c r="T8" s="827"/>
      <c r="U8" s="26"/>
      <c r="V8" s="839" t="s">
        <v>448</v>
      </c>
      <c r="W8" s="840"/>
      <c r="X8" s="840"/>
      <c r="Y8" s="840"/>
    </row>
    <row r="9" spans="1:25" ht="17">
      <c r="A9" s="421" t="s">
        <v>449</v>
      </c>
      <c r="B9" s="422" t="s">
        <v>450</v>
      </c>
      <c r="C9" s="617" t="s">
        <v>451</v>
      </c>
      <c r="D9" s="618" t="s">
        <v>452</v>
      </c>
      <c r="E9" s="618" t="s">
        <v>453</v>
      </c>
      <c r="F9" s="617" t="s">
        <v>454</v>
      </c>
      <c r="G9" s="423">
        <v>0</v>
      </c>
      <c r="H9" s="423">
        <v>0</v>
      </c>
      <c r="I9" s="26"/>
      <c r="J9" s="26"/>
      <c r="K9" s="26"/>
      <c r="L9" s="26"/>
      <c r="M9" s="26"/>
      <c r="N9" s="828"/>
      <c r="O9" s="772"/>
      <c r="P9" s="828"/>
      <c r="Q9" s="772"/>
      <c r="R9" s="772"/>
      <c r="S9" s="828"/>
      <c r="T9" s="787"/>
      <c r="U9" s="26"/>
      <c r="V9" s="839" t="s">
        <v>455</v>
      </c>
      <c r="W9" s="840"/>
      <c r="X9" s="840"/>
      <c r="Y9" s="840"/>
    </row>
    <row r="10" spans="1:25" ht="16">
      <c r="A10" s="619" t="s">
        <v>449</v>
      </c>
      <c r="B10" s="422" t="s">
        <v>456</v>
      </c>
      <c r="C10" s="620" t="s">
        <v>457</v>
      </c>
      <c r="D10" s="621" t="s">
        <v>458</v>
      </c>
      <c r="E10" s="621" t="s">
        <v>459</v>
      </c>
      <c r="F10" s="622" t="s">
        <v>460</v>
      </c>
      <c r="G10" s="424">
        <f>W26/$G$2</f>
        <v>30186.507936507936</v>
      </c>
      <c r="H10" s="623">
        <f t="shared" ref="H10:H14" si="0">G10</f>
        <v>30186.507936507936</v>
      </c>
      <c r="I10" s="26"/>
      <c r="J10" s="26"/>
      <c r="K10" s="26"/>
      <c r="L10" s="26"/>
      <c r="M10" s="26"/>
      <c r="N10" s="838">
        <v>2025</v>
      </c>
      <c r="O10" s="831"/>
      <c r="P10" s="838">
        <v>3</v>
      </c>
      <c r="Q10" s="831"/>
      <c r="R10" s="831"/>
      <c r="S10" s="838">
        <v>9850457</v>
      </c>
      <c r="T10" s="827"/>
      <c r="U10" s="26"/>
      <c r="V10" s="839">
        <v>13000</v>
      </c>
      <c r="W10" s="840"/>
      <c r="X10" s="840"/>
      <c r="Y10" s="840"/>
    </row>
    <row r="11" spans="1:25" ht="16">
      <c r="A11" s="619" t="s">
        <v>449</v>
      </c>
      <c r="B11" s="422" t="s">
        <v>461</v>
      </c>
      <c r="C11" s="620" t="s">
        <v>462</v>
      </c>
      <c r="D11" s="621" t="s">
        <v>463</v>
      </c>
      <c r="E11" s="621" t="s">
        <v>464</v>
      </c>
      <c r="F11" s="622" t="s">
        <v>465</v>
      </c>
      <c r="G11" s="424">
        <f>W28/$G$2</f>
        <v>723.65079365079362</v>
      </c>
      <c r="H11" s="623">
        <f t="shared" si="0"/>
        <v>723.65079365079362</v>
      </c>
      <c r="I11" s="26"/>
      <c r="J11" s="26"/>
      <c r="K11" s="26"/>
      <c r="L11" s="26"/>
      <c r="M11" s="26"/>
      <c r="N11" s="829"/>
      <c r="O11" s="767"/>
      <c r="P11" s="829"/>
      <c r="Q11" s="767"/>
      <c r="R11" s="767"/>
      <c r="S11" s="829"/>
      <c r="T11" s="768"/>
      <c r="U11" s="26"/>
      <c r="V11" s="839" t="s">
        <v>466</v>
      </c>
      <c r="W11" s="840"/>
      <c r="X11" s="840"/>
      <c r="Y11" s="840"/>
    </row>
    <row r="12" spans="1:25" ht="16">
      <c r="A12" s="619" t="s">
        <v>449</v>
      </c>
      <c r="B12" s="422" t="s">
        <v>467</v>
      </c>
      <c r="C12" s="620" t="s">
        <v>468</v>
      </c>
      <c r="D12" s="621" t="s">
        <v>469</v>
      </c>
      <c r="E12" s="621" t="s">
        <v>470</v>
      </c>
      <c r="F12" s="622" t="s">
        <v>471</v>
      </c>
      <c r="G12" s="424">
        <f>W33/$G$2</f>
        <v>74386.587301587308</v>
      </c>
      <c r="H12" s="623">
        <f t="shared" si="0"/>
        <v>74386.587301587308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16"/>
      <c r="W12" s="416"/>
      <c r="X12" s="416"/>
      <c r="Y12" s="416"/>
    </row>
    <row r="13" spans="1:25" ht="16">
      <c r="A13" s="624" t="s">
        <v>449</v>
      </c>
      <c r="B13" s="425" t="s">
        <v>472</v>
      </c>
      <c r="C13" s="625" t="s">
        <v>473</v>
      </c>
      <c r="D13" s="626" t="s">
        <v>474</v>
      </c>
      <c r="E13" s="626" t="s">
        <v>475</v>
      </c>
      <c r="F13" s="627" t="s">
        <v>476</v>
      </c>
      <c r="G13" s="426">
        <f>W36/$G$2</f>
        <v>1384.4444444444446</v>
      </c>
      <c r="H13" s="628">
        <f t="shared" si="0"/>
        <v>1384.4444444444446</v>
      </c>
      <c r="I13" s="26"/>
      <c r="J13" s="26"/>
      <c r="K13" s="841" t="s">
        <v>477</v>
      </c>
      <c r="L13" s="848" t="s">
        <v>478</v>
      </c>
      <c r="M13" s="831"/>
      <c r="N13" s="831"/>
      <c r="O13" s="831"/>
      <c r="P13" s="831"/>
      <c r="Q13" s="841" t="s">
        <v>479</v>
      </c>
      <c r="R13" s="843" t="s">
        <v>480</v>
      </c>
      <c r="S13" s="818"/>
      <c r="T13" s="818"/>
      <c r="U13" s="818"/>
      <c r="V13" s="818"/>
      <c r="W13" s="819"/>
      <c r="X13" s="843" t="s">
        <v>481</v>
      </c>
      <c r="Y13" s="819"/>
    </row>
    <row r="14" spans="1:25" ht="16">
      <c r="A14" s="629" t="s">
        <v>482</v>
      </c>
      <c r="B14" s="422" t="s">
        <v>483</v>
      </c>
      <c r="C14" s="620" t="s">
        <v>484</v>
      </c>
      <c r="D14" s="621" t="s">
        <v>485</v>
      </c>
      <c r="E14" s="621" t="s">
        <v>486</v>
      </c>
      <c r="F14" s="622" t="s">
        <v>487</v>
      </c>
      <c r="G14" s="424">
        <v>0</v>
      </c>
      <c r="H14" s="623">
        <f t="shared" si="0"/>
        <v>0</v>
      </c>
      <c r="I14" s="26"/>
      <c r="J14" s="26"/>
      <c r="K14" s="842"/>
      <c r="L14" s="772"/>
      <c r="M14" s="772"/>
      <c r="N14" s="772"/>
      <c r="O14" s="772"/>
      <c r="P14" s="772"/>
      <c r="Q14" s="842"/>
      <c r="R14" s="837" t="s">
        <v>488</v>
      </c>
      <c r="S14" s="772"/>
      <c r="T14" s="844" t="s">
        <v>489</v>
      </c>
      <c r="U14" s="772"/>
      <c r="V14" s="787"/>
      <c r="W14" s="630" t="s">
        <v>490</v>
      </c>
      <c r="X14" s="837" t="s">
        <v>490</v>
      </c>
      <c r="Y14" s="787"/>
    </row>
    <row r="15" spans="1:25" ht="16">
      <c r="A15" s="629" t="s">
        <v>482</v>
      </c>
      <c r="B15" s="422" t="s">
        <v>491</v>
      </c>
      <c r="C15" s="620" t="s">
        <v>492</v>
      </c>
      <c r="D15" s="621" t="s">
        <v>493</v>
      </c>
      <c r="E15" s="621" t="s">
        <v>494</v>
      </c>
      <c r="F15" s="622" t="s">
        <v>495</v>
      </c>
      <c r="G15" s="424">
        <f>W50/$G$2</f>
        <v>1758826.6269841271</v>
      </c>
      <c r="H15" s="623">
        <f>G15+(-'Cash-flow'!BY96)/$G$2</f>
        <v>2855457.8162698415</v>
      </c>
      <c r="I15" s="26"/>
      <c r="J15" s="26"/>
      <c r="K15" s="631" t="s">
        <v>496</v>
      </c>
      <c r="L15" s="837" t="s">
        <v>497</v>
      </c>
      <c r="M15" s="772"/>
      <c r="N15" s="772"/>
      <c r="O15" s="772"/>
      <c r="P15" s="772"/>
      <c r="Q15" s="631" t="s">
        <v>498</v>
      </c>
      <c r="R15" s="845">
        <v>1</v>
      </c>
      <c r="S15" s="772"/>
      <c r="T15" s="849">
        <v>2</v>
      </c>
      <c r="U15" s="772"/>
      <c r="V15" s="787"/>
      <c r="W15" s="632">
        <v>3</v>
      </c>
      <c r="X15" s="845">
        <v>4</v>
      </c>
      <c r="Y15" s="787"/>
    </row>
    <row r="16" spans="1:25" ht="16">
      <c r="A16" s="629" t="s">
        <v>482</v>
      </c>
      <c r="B16" s="422" t="s">
        <v>499</v>
      </c>
      <c r="C16" s="633" t="s">
        <v>500</v>
      </c>
      <c r="D16" s="621" t="s">
        <v>501</v>
      </c>
      <c r="E16" s="405" t="s">
        <v>502</v>
      </c>
      <c r="F16" s="634" t="s">
        <v>503</v>
      </c>
      <c r="G16" s="424">
        <f t="shared" ref="G16:G17" si="1">W52/$G$2</f>
        <v>1030723.8095238096</v>
      </c>
      <c r="H16" s="623">
        <f>G16+SUM('Cash-flow'!V6:AB6)/$G$2+2315176.84/$G$2</f>
        <v>1245214.9539682542</v>
      </c>
      <c r="I16" s="26"/>
      <c r="J16" s="26"/>
      <c r="K16" s="635"/>
      <c r="L16" s="850" t="s">
        <v>504</v>
      </c>
      <c r="M16" s="818"/>
      <c r="N16" s="818"/>
      <c r="O16" s="818"/>
      <c r="P16" s="819"/>
      <c r="Q16" s="636">
        <v>1</v>
      </c>
      <c r="R16" s="846">
        <v>67776038</v>
      </c>
      <c r="S16" s="819"/>
      <c r="T16" s="846">
        <v>-528978</v>
      </c>
      <c r="U16" s="818"/>
      <c r="V16" s="819"/>
      <c r="W16" s="637">
        <v>67247060</v>
      </c>
      <c r="X16" s="846">
        <v>10842736</v>
      </c>
      <c r="Y16" s="819"/>
    </row>
    <row r="17" spans="1:25" ht="16">
      <c r="A17" s="638" t="s">
        <v>482</v>
      </c>
      <c r="B17" s="422" t="s">
        <v>505</v>
      </c>
      <c r="C17" s="612" t="s">
        <v>506</v>
      </c>
      <c r="D17" s="621" t="s">
        <v>507</v>
      </c>
      <c r="E17" s="639" t="s">
        <v>508</v>
      </c>
      <c r="F17" s="612" t="s">
        <v>509</v>
      </c>
      <c r="G17" s="424">
        <f t="shared" si="1"/>
        <v>21304.841269841272</v>
      </c>
      <c r="H17" s="623">
        <f>G17+(-SUM('Cash-flow'!AA61:AB62)/$G$2)+(-SUM('Cash-flow'!AA37:AB37,'Cash-flow'!AA49:AB49,'Cash-flow'!AA63:AB63))/$G$2</f>
        <v>83355.815148891503</v>
      </c>
      <c r="I17" s="26"/>
      <c r="J17" s="26"/>
      <c r="K17" s="640" t="s">
        <v>159</v>
      </c>
      <c r="L17" s="850" t="s">
        <v>510</v>
      </c>
      <c r="M17" s="818"/>
      <c r="N17" s="818"/>
      <c r="O17" s="818"/>
      <c r="P17" s="819"/>
      <c r="Q17" s="641">
        <v>3</v>
      </c>
      <c r="R17" s="846">
        <v>65087672</v>
      </c>
      <c r="S17" s="819"/>
      <c r="T17" s="846">
        <v>-528978</v>
      </c>
      <c r="U17" s="818"/>
      <c r="V17" s="819"/>
      <c r="W17" s="642">
        <v>64558694</v>
      </c>
      <c r="X17" s="846">
        <v>10013807</v>
      </c>
      <c r="Y17" s="819"/>
    </row>
    <row r="18" spans="1:25" ht="16">
      <c r="A18" s="638" t="s">
        <v>482</v>
      </c>
      <c r="B18" s="422" t="s">
        <v>511</v>
      </c>
      <c r="C18" s="622" t="s">
        <v>512</v>
      </c>
      <c r="D18" s="621" t="s">
        <v>513</v>
      </c>
      <c r="E18" s="621" t="s">
        <v>514</v>
      </c>
      <c r="F18" s="622" t="s">
        <v>515</v>
      </c>
      <c r="G18" s="424">
        <v>0</v>
      </c>
      <c r="H18" s="623">
        <f t="shared" ref="H18:H21" si="2">G18</f>
        <v>0</v>
      </c>
      <c r="I18" s="26"/>
      <c r="J18" s="26"/>
      <c r="K18" s="640" t="s">
        <v>516</v>
      </c>
      <c r="L18" s="850" t="s">
        <v>517</v>
      </c>
      <c r="M18" s="818"/>
      <c r="N18" s="818"/>
      <c r="O18" s="818"/>
      <c r="P18" s="819"/>
      <c r="Q18" s="620">
        <v>14</v>
      </c>
      <c r="R18" s="847">
        <v>65087672</v>
      </c>
      <c r="S18" s="819"/>
      <c r="T18" s="847">
        <v>-528978</v>
      </c>
      <c r="U18" s="818"/>
      <c r="V18" s="819"/>
      <c r="W18" s="643">
        <v>64558694</v>
      </c>
      <c r="X18" s="847">
        <v>10013807</v>
      </c>
      <c r="Y18" s="819"/>
    </row>
    <row r="19" spans="1:25" ht="16">
      <c r="A19" s="638" t="s">
        <v>482</v>
      </c>
      <c r="B19" s="422" t="s">
        <v>518</v>
      </c>
      <c r="C19" s="622" t="s">
        <v>519</v>
      </c>
      <c r="D19" s="621" t="s">
        <v>520</v>
      </c>
      <c r="E19" s="621" t="s">
        <v>521</v>
      </c>
      <c r="F19" s="622" t="s">
        <v>522</v>
      </c>
      <c r="G19" s="424">
        <v>0</v>
      </c>
      <c r="H19" s="623">
        <f t="shared" si="2"/>
        <v>0</v>
      </c>
      <c r="I19" s="26"/>
      <c r="J19" s="26"/>
      <c r="K19" s="640" t="s">
        <v>523</v>
      </c>
      <c r="L19" s="850" t="s">
        <v>524</v>
      </c>
      <c r="M19" s="818"/>
      <c r="N19" s="818"/>
      <c r="O19" s="818"/>
      <c r="P19" s="819"/>
      <c r="Q19" s="620">
        <v>15</v>
      </c>
      <c r="R19" s="847">
        <v>64328338</v>
      </c>
      <c r="S19" s="819"/>
      <c r="T19" s="847">
        <v>-528978</v>
      </c>
      <c r="U19" s="818"/>
      <c r="V19" s="819"/>
      <c r="W19" s="643">
        <v>63799360</v>
      </c>
      <c r="X19" s="847">
        <v>5901061</v>
      </c>
      <c r="Y19" s="819"/>
    </row>
    <row r="20" spans="1:25" ht="16">
      <c r="A20" s="638" t="s">
        <v>482</v>
      </c>
      <c r="B20" s="422" t="s">
        <v>525</v>
      </c>
      <c r="C20" s="622" t="s">
        <v>519</v>
      </c>
      <c r="D20" s="621" t="s">
        <v>526</v>
      </c>
      <c r="E20" s="621" t="s">
        <v>527</v>
      </c>
      <c r="F20" s="622" t="s">
        <v>528</v>
      </c>
      <c r="G20" s="424">
        <v>0</v>
      </c>
      <c r="H20" s="623">
        <f t="shared" si="2"/>
        <v>0</v>
      </c>
      <c r="I20" s="26"/>
      <c r="J20" s="26"/>
      <c r="K20" s="640" t="s">
        <v>529</v>
      </c>
      <c r="L20" s="850" t="s">
        <v>530</v>
      </c>
      <c r="M20" s="818"/>
      <c r="N20" s="818"/>
      <c r="O20" s="818"/>
      <c r="P20" s="819"/>
      <c r="Q20" s="620">
        <v>16</v>
      </c>
      <c r="R20" s="847">
        <v>5901061</v>
      </c>
      <c r="S20" s="819"/>
      <c r="T20" s="847">
        <v>0</v>
      </c>
      <c r="U20" s="818"/>
      <c r="V20" s="819"/>
      <c r="W20" s="643">
        <v>5901061</v>
      </c>
      <c r="X20" s="847">
        <v>5901061</v>
      </c>
      <c r="Y20" s="819"/>
    </row>
    <row r="21" spans="1:25" ht="16">
      <c r="A21" s="638" t="s">
        <v>482</v>
      </c>
      <c r="B21" s="422" t="s">
        <v>531</v>
      </c>
      <c r="C21" s="622" t="s">
        <v>532</v>
      </c>
      <c r="D21" s="621" t="s">
        <v>533</v>
      </c>
      <c r="E21" s="621" t="s">
        <v>534</v>
      </c>
      <c r="F21" s="622" t="s">
        <v>535</v>
      </c>
      <c r="G21" s="424">
        <v>0</v>
      </c>
      <c r="H21" s="623">
        <f t="shared" si="2"/>
        <v>0</v>
      </c>
      <c r="I21" s="26"/>
      <c r="J21" s="26"/>
      <c r="K21" s="640" t="s">
        <v>536</v>
      </c>
      <c r="L21" s="850" t="s">
        <v>537</v>
      </c>
      <c r="M21" s="818"/>
      <c r="N21" s="818"/>
      <c r="O21" s="818"/>
      <c r="P21" s="819"/>
      <c r="Q21" s="620">
        <v>17</v>
      </c>
      <c r="R21" s="847">
        <v>58427277</v>
      </c>
      <c r="S21" s="819"/>
      <c r="T21" s="847">
        <v>-528978</v>
      </c>
      <c r="U21" s="818"/>
      <c r="V21" s="819"/>
      <c r="W21" s="643">
        <v>57898299</v>
      </c>
      <c r="X21" s="847">
        <v>0</v>
      </c>
      <c r="Y21" s="819"/>
    </row>
    <row r="22" spans="1:25" ht="15" customHeight="1">
      <c r="A22" s="629" t="s">
        <v>538</v>
      </c>
      <c r="B22" s="644"/>
      <c r="C22" s="641" t="s">
        <v>539</v>
      </c>
      <c r="D22" s="645" t="s">
        <v>540</v>
      </c>
      <c r="E22" s="645" t="s">
        <v>541</v>
      </c>
      <c r="F22" s="641"/>
      <c r="G22" s="646">
        <f>SUM(G9:G13)-SUM(G14:G21)</f>
        <v>-2704174.0873015877</v>
      </c>
      <c r="H22" s="646">
        <f>SUM(H9:H14)-SUM(H15:H21)</f>
        <v>-4077347.394910797</v>
      </c>
      <c r="I22" s="26"/>
      <c r="J22" s="26"/>
      <c r="K22" s="640" t="s">
        <v>542</v>
      </c>
      <c r="L22" s="850" t="s">
        <v>543</v>
      </c>
      <c r="M22" s="818"/>
      <c r="N22" s="818"/>
      <c r="O22" s="818"/>
      <c r="P22" s="819"/>
      <c r="Q22" s="620">
        <v>24</v>
      </c>
      <c r="R22" s="847">
        <v>759334</v>
      </c>
      <c r="S22" s="819"/>
      <c r="T22" s="847">
        <v>0</v>
      </c>
      <c r="U22" s="818"/>
      <c r="V22" s="819"/>
      <c r="W22" s="643">
        <v>759334</v>
      </c>
      <c r="X22" s="847">
        <v>4112746</v>
      </c>
      <c r="Y22" s="819"/>
    </row>
    <row r="23" spans="1:25" ht="15" customHeight="1">
      <c r="A23" s="26"/>
      <c r="B23" s="26"/>
      <c r="C23" s="26"/>
      <c r="D23" s="26"/>
      <c r="E23" s="26"/>
      <c r="F23" s="26"/>
      <c r="G23" s="427"/>
      <c r="H23" s="26"/>
      <c r="I23" s="26"/>
      <c r="J23" s="26"/>
      <c r="K23" s="640" t="s">
        <v>544</v>
      </c>
      <c r="L23" s="850" t="s">
        <v>545</v>
      </c>
      <c r="M23" s="818"/>
      <c r="N23" s="818"/>
      <c r="O23" s="818"/>
      <c r="P23" s="819"/>
      <c r="Q23" s="620">
        <v>26</v>
      </c>
      <c r="R23" s="847">
        <v>759334</v>
      </c>
      <c r="S23" s="819"/>
      <c r="T23" s="847">
        <v>0</v>
      </c>
      <c r="U23" s="818"/>
      <c r="V23" s="819"/>
      <c r="W23" s="643">
        <v>759334</v>
      </c>
      <c r="X23" s="847">
        <v>4112746</v>
      </c>
      <c r="Y23" s="819"/>
    </row>
    <row r="24" spans="1:25" ht="15" customHeight="1">
      <c r="A24" s="405"/>
      <c r="B24" s="405"/>
      <c r="C24" s="405"/>
      <c r="D24" s="405"/>
      <c r="E24" s="405"/>
      <c r="F24" s="405"/>
      <c r="G24" s="405"/>
      <c r="H24" s="405"/>
      <c r="I24" s="26"/>
      <c r="J24" s="26"/>
      <c r="K24" s="640" t="s">
        <v>181</v>
      </c>
      <c r="L24" s="850" t="s">
        <v>546</v>
      </c>
      <c r="M24" s="818"/>
      <c r="N24" s="818"/>
      <c r="O24" s="818"/>
      <c r="P24" s="819"/>
      <c r="Q24" s="641">
        <v>37</v>
      </c>
      <c r="R24" s="846">
        <v>2653478</v>
      </c>
      <c r="S24" s="819"/>
      <c r="T24" s="846">
        <v>0</v>
      </c>
      <c r="U24" s="818"/>
      <c r="V24" s="819"/>
      <c r="W24" s="642">
        <v>2653478</v>
      </c>
      <c r="X24" s="846">
        <v>828929</v>
      </c>
      <c r="Y24" s="819"/>
    </row>
    <row r="25" spans="1:25" ht="15" customHeight="1">
      <c r="A25" s="852" t="s">
        <v>547</v>
      </c>
      <c r="B25" s="772"/>
      <c r="C25" s="772"/>
      <c r="D25" s="772"/>
      <c r="E25" s="772"/>
      <c r="F25" s="405"/>
      <c r="G25" s="417" t="s">
        <v>427</v>
      </c>
      <c r="H25" s="417" t="s">
        <v>428</v>
      </c>
      <c r="I25" s="26"/>
      <c r="J25" s="26"/>
      <c r="K25" s="640" t="s">
        <v>548</v>
      </c>
      <c r="L25" s="850" t="s">
        <v>549</v>
      </c>
      <c r="M25" s="818"/>
      <c r="N25" s="818"/>
      <c r="O25" s="818"/>
      <c r="P25" s="819"/>
      <c r="Q25" s="620">
        <v>46</v>
      </c>
      <c r="R25" s="847">
        <v>778936</v>
      </c>
      <c r="S25" s="819"/>
      <c r="T25" s="847">
        <v>0</v>
      </c>
      <c r="U25" s="818"/>
      <c r="V25" s="819"/>
      <c r="W25" s="643">
        <v>778936</v>
      </c>
      <c r="X25" s="847">
        <v>172627</v>
      </c>
      <c r="Y25" s="819"/>
    </row>
    <row r="26" spans="1:25" ht="15" customHeight="1">
      <c r="A26" s="647" t="s">
        <v>550</v>
      </c>
      <c r="B26" s="648"/>
      <c r="C26" s="648" t="s">
        <v>467</v>
      </c>
      <c r="D26" s="649" t="s">
        <v>551</v>
      </c>
      <c r="E26" s="649" t="s">
        <v>552</v>
      </c>
      <c r="F26" s="649"/>
      <c r="G26" s="650">
        <f t="shared" ref="G26:H26" si="3">G5+G22</f>
        <v>2682308.7698412696</v>
      </c>
      <c r="H26" s="650">
        <f t="shared" si="3"/>
        <v>1309135.4622320603</v>
      </c>
      <c r="I26" s="26"/>
      <c r="J26" s="26"/>
      <c r="K26" s="640" t="s">
        <v>553</v>
      </c>
      <c r="L26" s="850" t="s">
        <v>458</v>
      </c>
      <c r="M26" s="818"/>
      <c r="N26" s="818"/>
      <c r="O26" s="818"/>
      <c r="P26" s="819"/>
      <c r="Q26" s="620">
        <v>47</v>
      </c>
      <c r="R26" s="847">
        <v>760700</v>
      </c>
      <c r="S26" s="819"/>
      <c r="T26" s="847">
        <v>0</v>
      </c>
      <c r="U26" s="818"/>
      <c r="V26" s="819"/>
      <c r="W26" s="643">
        <v>760700</v>
      </c>
      <c r="X26" s="847">
        <v>166000</v>
      </c>
      <c r="Y26" s="819"/>
    </row>
    <row r="27" spans="1:25" ht="15" customHeight="1">
      <c r="A27" s="405"/>
      <c r="B27" s="405"/>
      <c r="C27" s="405"/>
      <c r="D27" s="405"/>
      <c r="E27" s="405"/>
      <c r="F27" s="405"/>
      <c r="G27" s="405"/>
      <c r="H27" s="405"/>
      <c r="I27" s="26"/>
      <c r="J27" s="26"/>
      <c r="K27" s="640" t="s">
        <v>554</v>
      </c>
      <c r="L27" s="850" t="s">
        <v>555</v>
      </c>
      <c r="M27" s="818"/>
      <c r="N27" s="818"/>
      <c r="O27" s="818"/>
      <c r="P27" s="819"/>
      <c r="Q27" s="620">
        <v>51</v>
      </c>
      <c r="R27" s="847">
        <v>760700</v>
      </c>
      <c r="S27" s="819"/>
      <c r="T27" s="847" t="s">
        <v>556</v>
      </c>
      <c r="U27" s="818"/>
      <c r="V27" s="819"/>
      <c r="W27" s="643">
        <v>760700</v>
      </c>
      <c r="X27" s="847">
        <v>166000</v>
      </c>
      <c r="Y27" s="819"/>
    </row>
    <row r="28" spans="1:25" ht="15" customHeight="1">
      <c r="A28" s="405"/>
      <c r="B28" s="405"/>
      <c r="C28" s="405"/>
      <c r="D28" s="405"/>
      <c r="E28" s="405"/>
      <c r="F28" s="405"/>
      <c r="G28" s="405"/>
      <c r="H28" s="405"/>
      <c r="I28" s="26"/>
      <c r="J28" s="26"/>
      <c r="K28" s="640" t="s">
        <v>557</v>
      </c>
      <c r="L28" s="850" t="s">
        <v>463</v>
      </c>
      <c r="M28" s="818"/>
      <c r="N28" s="818"/>
      <c r="O28" s="818"/>
      <c r="P28" s="819"/>
      <c r="Q28" s="620">
        <v>57</v>
      </c>
      <c r="R28" s="847">
        <v>18236</v>
      </c>
      <c r="S28" s="819"/>
      <c r="T28" s="847">
        <v>0</v>
      </c>
      <c r="U28" s="818"/>
      <c r="V28" s="819"/>
      <c r="W28" s="643">
        <v>18236</v>
      </c>
      <c r="X28" s="847">
        <v>6627</v>
      </c>
      <c r="Y28" s="819"/>
    </row>
    <row r="29" spans="1:25" ht="15" customHeight="1">
      <c r="A29" s="26"/>
      <c r="B29" s="26"/>
      <c r="C29" s="26"/>
      <c r="D29" s="428" t="s">
        <v>558</v>
      </c>
      <c r="E29" s="651" t="s">
        <v>559</v>
      </c>
      <c r="F29" s="652"/>
      <c r="G29" s="653">
        <f t="shared" ref="G29:H29" si="4">G26</f>
        <v>2682308.7698412696</v>
      </c>
      <c r="H29" s="653">
        <f t="shared" si="4"/>
        <v>1309135.4622320603</v>
      </c>
      <c r="I29" s="429">
        <f>H29-G29</f>
        <v>-1373173.3076092093</v>
      </c>
      <c r="J29" s="26"/>
      <c r="K29" s="640" t="s">
        <v>560</v>
      </c>
      <c r="L29" s="850" t="s">
        <v>561</v>
      </c>
      <c r="M29" s="818"/>
      <c r="N29" s="818"/>
      <c r="O29" s="818"/>
      <c r="P29" s="819"/>
      <c r="Q29" s="620">
        <v>58</v>
      </c>
      <c r="R29" s="847">
        <v>17343</v>
      </c>
      <c r="S29" s="819"/>
      <c r="T29" s="847">
        <v>0</v>
      </c>
      <c r="U29" s="818"/>
      <c r="V29" s="819"/>
      <c r="W29" s="643">
        <v>17343</v>
      </c>
      <c r="X29" s="847">
        <v>0</v>
      </c>
      <c r="Y29" s="819"/>
    </row>
    <row r="30" spans="1:25" ht="15" customHeight="1">
      <c r="A30" s="26"/>
      <c r="B30" s="26"/>
      <c r="C30" s="26"/>
      <c r="D30" s="428"/>
      <c r="E30" s="851" t="s">
        <v>562</v>
      </c>
      <c r="F30" s="772"/>
      <c r="G30" s="654"/>
      <c r="H30" s="405"/>
      <c r="I30" s="430"/>
      <c r="J30" s="26"/>
      <c r="K30" s="640" t="s">
        <v>563</v>
      </c>
      <c r="L30" s="850" t="s">
        <v>564</v>
      </c>
      <c r="M30" s="818"/>
      <c r="N30" s="818"/>
      <c r="O30" s="818"/>
      <c r="P30" s="819"/>
      <c r="Q30" s="620">
        <v>61</v>
      </c>
      <c r="R30" s="847">
        <v>893</v>
      </c>
      <c r="S30" s="819"/>
      <c r="T30" s="847">
        <v>0</v>
      </c>
      <c r="U30" s="818"/>
      <c r="V30" s="819"/>
      <c r="W30" s="643">
        <v>893</v>
      </c>
      <c r="X30" s="847">
        <v>6627</v>
      </c>
      <c r="Y30" s="819"/>
    </row>
    <row r="31" spans="1:25" ht="15" customHeight="1">
      <c r="A31" s="26"/>
      <c r="B31" s="26"/>
      <c r="C31" s="26"/>
      <c r="D31" s="428"/>
      <c r="E31" s="655"/>
      <c r="F31" s="656"/>
      <c r="G31" s="657"/>
      <c r="H31" s="431"/>
      <c r="I31" s="432"/>
      <c r="J31" s="26"/>
      <c r="K31" s="640" t="s">
        <v>565</v>
      </c>
      <c r="L31" s="850" t="s">
        <v>566</v>
      </c>
      <c r="M31" s="818"/>
      <c r="N31" s="818"/>
      <c r="O31" s="818"/>
      <c r="P31" s="819"/>
      <c r="Q31" s="620">
        <v>64</v>
      </c>
      <c r="R31" s="847">
        <v>0</v>
      </c>
      <c r="S31" s="819"/>
      <c r="T31" s="847" t="s">
        <v>556</v>
      </c>
      <c r="U31" s="818"/>
      <c r="V31" s="819"/>
      <c r="W31" s="643">
        <v>0</v>
      </c>
      <c r="X31" s="847">
        <v>6627</v>
      </c>
      <c r="Y31" s="819"/>
    </row>
    <row r="32" spans="1:25" ht="15" customHeight="1">
      <c r="A32" s="363"/>
      <c r="B32" s="363"/>
      <c r="C32" s="363"/>
      <c r="D32" s="433"/>
      <c r="E32" s="655" t="s">
        <v>567</v>
      </c>
      <c r="F32" s="656"/>
      <c r="G32" s="657"/>
      <c r="H32" s="657"/>
      <c r="I32" s="434">
        <v>0</v>
      </c>
      <c r="J32" s="26"/>
      <c r="K32" s="640" t="s">
        <v>568</v>
      </c>
      <c r="L32" s="850" t="s">
        <v>569</v>
      </c>
      <c r="M32" s="818"/>
      <c r="N32" s="818"/>
      <c r="O32" s="818"/>
      <c r="P32" s="819"/>
      <c r="Q32" s="620">
        <v>65</v>
      </c>
      <c r="R32" s="847">
        <v>893</v>
      </c>
      <c r="S32" s="819"/>
      <c r="T32" s="847" t="s">
        <v>556</v>
      </c>
      <c r="U32" s="818"/>
      <c r="V32" s="819"/>
      <c r="W32" s="643">
        <v>893</v>
      </c>
      <c r="X32" s="847">
        <v>0</v>
      </c>
      <c r="Y32" s="819"/>
    </row>
    <row r="33" spans="4:25" ht="16">
      <c r="D33" s="658" t="s">
        <v>570</v>
      </c>
      <c r="E33" s="435" t="s">
        <v>571</v>
      </c>
      <c r="F33" s="436"/>
      <c r="G33" s="437">
        <f t="shared" ref="G33:H33" si="5">SUM(G29:G32)</f>
        <v>2682308.7698412696</v>
      </c>
      <c r="H33" s="438">
        <f t="shared" si="5"/>
        <v>1309135.4622320603</v>
      </c>
      <c r="I33" s="439">
        <f>H33-G33</f>
        <v>-1373173.3076092093</v>
      </c>
      <c r="J33" s="26"/>
      <c r="K33" s="640" t="s">
        <v>572</v>
      </c>
      <c r="L33" s="850" t="s">
        <v>469</v>
      </c>
      <c r="M33" s="818"/>
      <c r="N33" s="818"/>
      <c r="O33" s="818"/>
      <c r="P33" s="819"/>
      <c r="Q33" s="620">
        <v>71</v>
      </c>
      <c r="R33" s="847">
        <v>1874542</v>
      </c>
      <c r="S33" s="819"/>
      <c r="T33" s="847">
        <v>0</v>
      </c>
      <c r="U33" s="818"/>
      <c r="V33" s="819"/>
      <c r="W33" s="643">
        <v>1874542</v>
      </c>
      <c r="X33" s="847">
        <v>656302</v>
      </c>
      <c r="Y33" s="819"/>
    </row>
    <row r="34" spans="4:25" ht="15" customHeight="1">
      <c r="D34" s="658"/>
      <c r="E34" s="26"/>
      <c r="F34" s="26"/>
      <c r="G34" s="26"/>
      <c r="H34" s="26"/>
      <c r="I34" s="26"/>
      <c r="J34" s="26"/>
      <c r="K34" s="640" t="s">
        <v>573</v>
      </c>
      <c r="L34" s="850" t="s">
        <v>574</v>
      </c>
      <c r="M34" s="818"/>
      <c r="N34" s="818"/>
      <c r="O34" s="818"/>
      <c r="P34" s="819"/>
      <c r="Q34" s="620">
        <v>72</v>
      </c>
      <c r="R34" s="847">
        <v>1215</v>
      </c>
      <c r="S34" s="819"/>
      <c r="T34" s="847" t="s">
        <v>556</v>
      </c>
      <c r="U34" s="818"/>
      <c r="V34" s="819"/>
      <c r="W34" s="643">
        <v>1215</v>
      </c>
      <c r="X34" s="847">
        <v>325</v>
      </c>
      <c r="Y34" s="819"/>
    </row>
    <row r="35" spans="4:25" ht="15" customHeight="1">
      <c r="D35" s="658"/>
      <c r="E35" s="26"/>
      <c r="F35" s="405"/>
      <c r="G35" s="405"/>
      <c r="H35" s="405"/>
      <c r="I35" s="405"/>
      <c r="J35" s="26"/>
      <c r="K35" s="640" t="s">
        <v>575</v>
      </c>
      <c r="L35" s="850" t="s">
        <v>576</v>
      </c>
      <c r="M35" s="818"/>
      <c r="N35" s="818"/>
      <c r="O35" s="818"/>
      <c r="P35" s="819"/>
      <c r="Q35" s="620">
        <v>73</v>
      </c>
      <c r="R35" s="847">
        <v>1873327</v>
      </c>
      <c r="S35" s="819"/>
      <c r="T35" s="847" t="s">
        <v>556</v>
      </c>
      <c r="U35" s="818"/>
      <c r="V35" s="819"/>
      <c r="W35" s="643">
        <v>1873327</v>
      </c>
      <c r="X35" s="847">
        <v>655977</v>
      </c>
      <c r="Y35" s="819"/>
    </row>
    <row r="36" spans="4:25" ht="15" customHeight="1">
      <c r="D36" s="26"/>
      <c r="E36" s="26"/>
      <c r="F36" s="405"/>
      <c r="G36" s="440"/>
      <c r="H36" s="440"/>
      <c r="I36" s="405"/>
      <c r="J36" s="26"/>
      <c r="K36" s="640" t="s">
        <v>199</v>
      </c>
      <c r="L36" s="850" t="s">
        <v>474</v>
      </c>
      <c r="M36" s="818"/>
      <c r="N36" s="818"/>
      <c r="O36" s="818"/>
      <c r="P36" s="819"/>
      <c r="Q36" s="641">
        <v>74</v>
      </c>
      <c r="R36" s="846">
        <v>34888</v>
      </c>
      <c r="S36" s="819"/>
      <c r="T36" s="846">
        <v>0</v>
      </c>
      <c r="U36" s="818"/>
      <c r="V36" s="819"/>
      <c r="W36" s="642">
        <v>34888</v>
      </c>
      <c r="X36" s="846">
        <v>0</v>
      </c>
      <c r="Y36" s="819"/>
    </row>
    <row r="37" spans="4:25" ht="15" customHeight="1">
      <c r="D37" s="26"/>
      <c r="E37" s="26"/>
      <c r="F37" s="405"/>
      <c r="G37" s="441"/>
      <c r="H37" s="441"/>
      <c r="I37" s="405"/>
      <c r="J37" s="26"/>
      <c r="K37" s="640" t="s">
        <v>577</v>
      </c>
      <c r="L37" s="850" t="s">
        <v>578</v>
      </c>
      <c r="M37" s="818"/>
      <c r="N37" s="818"/>
      <c r="O37" s="818"/>
      <c r="P37" s="819"/>
      <c r="Q37" s="620">
        <v>75</v>
      </c>
      <c r="R37" s="847">
        <v>34888</v>
      </c>
      <c r="S37" s="819"/>
      <c r="T37" s="847" t="s">
        <v>556</v>
      </c>
      <c r="U37" s="818"/>
      <c r="V37" s="819"/>
      <c r="W37" s="643">
        <v>34888</v>
      </c>
      <c r="X37" s="847">
        <v>0</v>
      </c>
      <c r="Y37" s="819"/>
    </row>
    <row r="38" spans="4:25" ht="15" customHeight="1">
      <c r="D38" s="26"/>
      <c r="E38" s="26"/>
      <c r="F38" s="405"/>
      <c r="G38" s="405"/>
      <c r="H38" s="442"/>
      <c r="I38" s="405"/>
      <c r="J38" s="26"/>
      <c r="K38" s="659" t="s">
        <v>477</v>
      </c>
      <c r="L38" s="843" t="s">
        <v>579</v>
      </c>
      <c r="M38" s="818"/>
      <c r="N38" s="818"/>
      <c r="O38" s="818"/>
      <c r="P38" s="818"/>
      <c r="Q38" s="818"/>
      <c r="R38" s="818"/>
      <c r="S38" s="818"/>
      <c r="T38" s="818"/>
      <c r="U38" s="819"/>
      <c r="V38" s="620" t="s">
        <v>479</v>
      </c>
      <c r="W38" s="620" t="s">
        <v>580</v>
      </c>
      <c r="X38" s="843" t="s">
        <v>581</v>
      </c>
      <c r="Y38" s="819"/>
    </row>
    <row r="39" spans="4:25" ht="16">
      <c r="D39" s="26"/>
      <c r="E39" s="26"/>
      <c r="F39" s="405"/>
      <c r="G39" s="405"/>
      <c r="H39" s="443"/>
      <c r="I39" s="405"/>
      <c r="J39" s="26"/>
      <c r="K39" s="659" t="s">
        <v>496</v>
      </c>
      <c r="L39" s="843" t="s">
        <v>497</v>
      </c>
      <c r="M39" s="818"/>
      <c r="N39" s="818"/>
      <c r="O39" s="818"/>
      <c r="P39" s="818"/>
      <c r="Q39" s="818"/>
      <c r="R39" s="818"/>
      <c r="S39" s="818"/>
      <c r="T39" s="818"/>
      <c r="U39" s="819"/>
      <c r="V39" s="620" t="s">
        <v>498</v>
      </c>
      <c r="W39" s="660">
        <v>5</v>
      </c>
      <c r="X39" s="853">
        <v>6</v>
      </c>
      <c r="Y39" s="819"/>
    </row>
    <row r="40" spans="4:25" ht="16">
      <c r="D40" s="26"/>
      <c r="E40" s="26"/>
      <c r="F40" s="405"/>
      <c r="G40" s="405"/>
      <c r="H40" s="443"/>
      <c r="I40" s="405"/>
      <c r="J40" s="26"/>
      <c r="K40" s="640"/>
      <c r="L40" s="850" t="s">
        <v>582</v>
      </c>
      <c r="M40" s="818"/>
      <c r="N40" s="818"/>
      <c r="O40" s="818"/>
      <c r="P40" s="818"/>
      <c r="Q40" s="818"/>
      <c r="R40" s="818"/>
      <c r="S40" s="818"/>
      <c r="T40" s="818"/>
      <c r="U40" s="819"/>
      <c r="V40" s="641">
        <v>1</v>
      </c>
      <c r="W40" s="642">
        <v>67247061</v>
      </c>
      <c r="X40" s="846">
        <v>10842736</v>
      </c>
      <c r="Y40" s="819"/>
    </row>
    <row r="41" spans="4:25" ht="16">
      <c r="D41" s="26"/>
      <c r="E41" s="26"/>
      <c r="F41" s="405"/>
      <c r="G41" s="405"/>
      <c r="H41" s="443"/>
      <c r="I41" s="405"/>
      <c r="J41" s="26"/>
      <c r="K41" s="640" t="s">
        <v>583</v>
      </c>
      <c r="L41" s="850" t="s">
        <v>584</v>
      </c>
      <c r="M41" s="818"/>
      <c r="N41" s="818"/>
      <c r="O41" s="818"/>
      <c r="P41" s="818"/>
      <c r="Q41" s="818"/>
      <c r="R41" s="818"/>
      <c r="S41" s="818"/>
      <c r="T41" s="818"/>
      <c r="U41" s="819"/>
      <c r="V41" s="641">
        <v>2</v>
      </c>
      <c r="W41" s="642">
        <v>-3586492</v>
      </c>
      <c r="X41" s="846">
        <v>-887176</v>
      </c>
      <c r="Y41" s="819"/>
    </row>
    <row r="42" spans="4:25" ht="15" customHeight="1">
      <c r="D42" s="26"/>
      <c r="E42" s="26"/>
      <c r="F42" s="405"/>
      <c r="G42" s="405"/>
      <c r="H42" s="405"/>
      <c r="I42" s="405"/>
      <c r="J42" s="26"/>
      <c r="K42" s="640" t="s">
        <v>585</v>
      </c>
      <c r="L42" s="850" t="s">
        <v>586</v>
      </c>
      <c r="M42" s="818"/>
      <c r="N42" s="818"/>
      <c r="O42" s="818"/>
      <c r="P42" s="818"/>
      <c r="Q42" s="818"/>
      <c r="R42" s="818"/>
      <c r="S42" s="818"/>
      <c r="T42" s="818"/>
      <c r="U42" s="819"/>
      <c r="V42" s="620">
        <v>3</v>
      </c>
      <c r="W42" s="643">
        <v>10000</v>
      </c>
      <c r="X42" s="847">
        <v>10000</v>
      </c>
      <c r="Y42" s="819"/>
    </row>
    <row r="43" spans="4:25" ht="15" customHeight="1">
      <c r="D43" s="26"/>
      <c r="E43" s="26"/>
      <c r="F43" s="405"/>
      <c r="G43" s="405"/>
      <c r="H43" s="444"/>
      <c r="I43" s="405"/>
      <c r="J43" s="26"/>
      <c r="K43" s="640" t="s">
        <v>587</v>
      </c>
      <c r="L43" s="850" t="s">
        <v>586</v>
      </c>
      <c r="M43" s="818"/>
      <c r="N43" s="818"/>
      <c r="O43" s="818"/>
      <c r="P43" s="818"/>
      <c r="Q43" s="818"/>
      <c r="R43" s="818"/>
      <c r="S43" s="818"/>
      <c r="T43" s="818"/>
      <c r="U43" s="819"/>
      <c r="V43" s="620">
        <v>4</v>
      </c>
      <c r="W43" s="643">
        <v>10000</v>
      </c>
      <c r="X43" s="847">
        <v>10000</v>
      </c>
      <c r="Y43" s="819"/>
    </row>
    <row r="44" spans="4:25" ht="15" customHeight="1">
      <c r="D44" s="26"/>
      <c r="E44" s="26"/>
      <c r="F44" s="405"/>
      <c r="G44" s="405"/>
      <c r="H44" s="442"/>
      <c r="I44" s="405"/>
      <c r="J44" s="26"/>
      <c r="K44" s="640" t="s">
        <v>588</v>
      </c>
      <c r="L44" s="850" t="s">
        <v>589</v>
      </c>
      <c r="M44" s="818"/>
      <c r="N44" s="818"/>
      <c r="O44" s="818"/>
      <c r="P44" s="818"/>
      <c r="Q44" s="818"/>
      <c r="R44" s="818"/>
      <c r="S44" s="818"/>
      <c r="T44" s="818"/>
      <c r="U44" s="819"/>
      <c r="V44" s="620">
        <v>18</v>
      </c>
      <c r="W44" s="643">
        <v>-3194415</v>
      </c>
      <c r="X44" s="847">
        <v>-700423</v>
      </c>
      <c r="Y44" s="819"/>
    </row>
    <row r="45" spans="4:25" ht="15" customHeight="1">
      <c r="D45" s="26"/>
      <c r="E45" s="26"/>
      <c r="F45" s="405"/>
      <c r="G45" s="405"/>
      <c r="H45" s="405"/>
      <c r="I45" s="405"/>
      <c r="J45" s="26"/>
      <c r="K45" s="640" t="s">
        <v>590</v>
      </c>
      <c r="L45" s="850" t="s">
        <v>591</v>
      </c>
      <c r="M45" s="818"/>
      <c r="N45" s="818"/>
      <c r="O45" s="818"/>
      <c r="P45" s="818"/>
      <c r="Q45" s="818"/>
      <c r="R45" s="818"/>
      <c r="S45" s="818"/>
      <c r="T45" s="818"/>
      <c r="U45" s="819"/>
      <c r="V45" s="620">
        <v>19</v>
      </c>
      <c r="W45" s="643">
        <v>-3194415</v>
      </c>
      <c r="X45" s="847">
        <v>-700423</v>
      </c>
      <c r="Y45" s="819"/>
    </row>
    <row r="46" spans="4:25" ht="15" customHeight="1">
      <c r="D46" s="26"/>
      <c r="E46" s="26"/>
      <c r="F46" s="405"/>
      <c r="G46" s="405"/>
      <c r="H46" s="405"/>
      <c r="I46" s="405"/>
      <c r="J46" s="26"/>
      <c r="K46" s="640" t="s">
        <v>592</v>
      </c>
      <c r="L46" s="850" t="s">
        <v>593</v>
      </c>
      <c r="M46" s="818"/>
      <c r="N46" s="818"/>
      <c r="O46" s="818"/>
      <c r="P46" s="818"/>
      <c r="Q46" s="818"/>
      <c r="R46" s="818"/>
      <c r="S46" s="818"/>
      <c r="T46" s="818"/>
      <c r="U46" s="819"/>
      <c r="V46" s="620">
        <v>22</v>
      </c>
      <c r="W46" s="643">
        <v>-402077</v>
      </c>
      <c r="X46" s="847">
        <v>-196753</v>
      </c>
      <c r="Y46" s="819"/>
    </row>
    <row r="47" spans="4:25" ht="15" customHeight="1">
      <c r="D47" s="26"/>
      <c r="E47" s="26"/>
      <c r="F47" s="405"/>
      <c r="G47" s="405"/>
      <c r="H47" s="405"/>
      <c r="I47" s="405"/>
      <c r="J47" s="26"/>
      <c r="K47" s="640" t="s">
        <v>594</v>
      </c>
      <c r="L47" s="850" t="s">
        <v>257</v>
      </c>
      <c r="M47" s="818"/>
      <c r="N47" s="818"/>
      <c r="O47" s="818"/>
      <c r="P47" s="818"/>
      <c r="Q47" s="818"/>
      <c r="R47" s="818"/>
      <c r="S47" s="818"/>
      <c r="T47" s="818"/>
      <c r="U47" s="819"/>
      <c r="V47" s="641">
        <v>24</v>
      </c>
      <c r="W47" s="642">
        <v>70833553</v>
      </c>
      <c r="X47" s="846">
        <v>11729912</v>
      </c>
      <c r="Y47" s="819"/>
    </row>
    <row r="48" spans="4:25" ht="15" customHeight="1">
      <c r="D48" s="26"/>
      <c r="E48" s="26"/>
      <c r="F48" s="26"/>
      <c r="G48" s="26"/>
      <c r="H48" s="26"/>
      <c r="I48" s="26"/>
      <c r="J48" s="26"/>
      <c r="K48" s="640" t="s">
        <v>181</v>
      </c>
      <c r="L48" s="850" t="s">
        <v>595</v>
      </c>
      <c r="M48" s="818"/>
      <c r="N48" s="818"/>
      <c r="O48" s="818"/>
      <c r="P48" s="818"/>
      <c r="Q48" s="818"/>
      <c r="R48" s="818"/>
      <c r="S48" s="818"/>
      <c r="T48" s="818"/>
      <c r="U48" s="819"/>
      <c r="V48" s="641">
        <v>30</v>
      </c>
      <c r="W48" s="642">
        <v>70833553</v>
      </c>
      <c r="X48" s="846">
        <v>11729912</v>
      </c>
      <c r="Y48" s="819"/>
    </row>
    <row r="49" spans="11:25" ht="15" customHeight="1">
      <c r="K49" s="640" t="s">
        <v>596</v>
      </c>
      <c r="L49" s="850" t="s">
        <v>597</v>
      </c>
      <c r="M49" s="818"/>
      <c r="N49" s="818"/>
      <c r="O49" s="818"/>
      <c r="P49" s="818"/>
      <c r="Q49" s="818"/>
      <c r="R49" s="818"/>
      <c r="S49" s="818"/>
      <c r="T49" s="818"/>
      <c r="U49" s="819"/>
      <c r="V49" s="620">
        <v>31</v>
      </c>
      <c r="W49" s="643">
        <v>70296671</v>
      </c>
      <c r="X49" s="847">
        <v>11409578</v>
      </c>
      <c r="Y49" s="819"/>
    </row>
    <row r="50" spans="11:25" ht="15" customHeight="1">
      <c r="K50" s="640" t="s">
        <v>598</v>
      </c>
      <c r="L50" s="850" t="s">
        <v>493</v>
      </c>
      <c r="M50" s="818"/>
      <c r="N50" s="818"/>
      <c r="O50" s="818"/>
      <c r="P50" s="818"/>
      <c r="Q50" s="818"/>
      <c r="R50" s="818"/>
      <c r="S50" s="818"/>
      <c r="T50" s="818"/>
      <c r="U50" s="819"/>
      <c r="V50" s="620">
        <v>35</v>
      </c>
      <c r="W50" s="643">
        <v>44322431</v>
      </c>
      <c r="X50" s="847">
        <v>0</v>
      </c>
      <c r="Y50" s="819"/>
    </row>
    <row r="51" spans="11:25" ht="15" customHeight="1">
      <c r="K51" s="640" t="s">
        <v>599</v>
      </c>
      <c r="L51" s="850" t="s">
        <v>600</v>
      </c>
      <c r="M51" s="818"/>
      <c r="N51" s="818"/>
      <c r="O51" s="818"/>
      <c r="P51" s="818"/>
      <c r="Q51" s="818"/>
      <c r="R51" s="818"/>
      <c r="S51" s="818"/>
      <c r="T51" s="818"/>
      <c r="U51" s="819"/>
      <c r="V51" s="620">
        <v>37</v>
      </c>
      <c r="W51" s="643">
        <v>0</v>
      </c>
      <c r="X51" s="847">
        <v>11409578</v>
      </c>
      <c r="Y51" s="819"/>
    </row>
    <row r="52" spans="11:25" ht="15" customHeight="1">
      <c r="K52" s="640" t="s">
        <v>601</v>
      </c>
      <c r="L52" s="850" t="s">
        <v>501</v>
      </c>
      <c r="M52" s="818"/>
      <c r="N52" s="818"/>
      <c r="O52" s="818"/>
      <c r="P52" s="818"/>
      <c r="Q52" s="818"/>
      <c r="R52" s="818"/>
      <c r="S52" s="818"/>
      <c r="T52" s="818"/>
      <c r="U52" s="819"/>
      <c r="V52" s="620">
        <v>39</v>
      </c>
      <c r="W52" s="643">
        <v>25974240</v>
      </c>
      <c r="X52" s="847">
        <v>0</v>
      </c>
      <c r="Y52" s="819"/>
    </row>
    <row r="53" spans="11:25" ht="15" customHeight="1">
      <c r="K53" s="640" t="s">
        <v>548</v>
      </c>
      <c r="L53" s="850" t="s">
        <v>507</v>
      </c>
      <c r="M53" s="818"/>
      <c r="N53" s="818"/>
      <c r="O53" s="818"/>
      <c r="P53" s="818"/>
      <c r="Q53" s="818"/>
      <c r="R53" s="818"/>
      <c r="S53" s="818"/>
      <c r="T53" s="818"/>
      <c r="U53" s="819"/>
      <c r="V53" s="620">
        <v>46</v>
      </c>
      <c r="W53" s="643">
        <v>536882</v>
      </c>
      <c r="X53" s="847">
        <v>320334</v>
      </c>
      <c r="Y53" s="819"/>
    </row>
    <row r="54" spans="11:25" ht="15" customHeight="1">
      <c r="K54" s="640" t="s">
        <v>557</v>
      </c>
      <c r="L54" s="850" t="s">
        <v>493</v>
      </c>
      <c r="M54" s="818"/>
      <c r="N54" s="818"/>
      <c r="O54" s="818"/>
      <c r="P54" s="818"/>
      <c r="Q54" s="818"/>
      <c r="R54" s="818"/>
      <c r="S54" s="818"/>
      <c r="T54" s="818"/>
      <c r="U54" s="819"/>
      <c r="V54" s="620">
        <v>50</v>
      </c>
      <c r="W54" s="643">
        <v>0</v>
      </c>
      <c r="X54" s="847">
        <v>0</v>
      </c>
      <c r="Y54" s="819"/>
    </row>
    <row r="55" spans="11:25" ht="15" customHeight="1">
      <c r="K55" s="640" t="s">
        <v>602</v>
      </c>
      <c r="L55" s="850" t="s">
        <v>600</v>
      </c>
      <c r="M55" s="818"/>
      <c r="N55" s="818"/>
      <c r="O55" s="818"/>
      <c r="P55" s="818"/>
      <c r="Q55" s="818"/>
      <c r="R55" s="818"/>
      <c r="S55" s="818"/>
      <c r="T55" s="818"/>
      <c r="U55" s="819"/>
      <c r="V55" s="620">
        <v>52</v>
      </c>
      <c r="W55" s="643">
        <v>444878</v>
      </c>
      <c r="X55" s="847">
        <v>319334</v>
      </c>
      <c r="Y55" s="819"/>
    </row>
    <row r="56" spans="11:25" ht="15" customHeight="1">
      <c r="K56" s="640" t="s">
        <v>603</v>
      </c>
      <c r="L56" s="850" t="s">
        <v>604</v>
      </c>
      <c r="M56" s="818"/>
      <c r="N56" s="818"/>
      <c r="O56" s="818"/>
      <c r="P56" s="818"/>
      <c r="Q56" s="818"/>
      <c r="R56" s="818"/>
      <c r="S56" s="818"/>
      <c r="T56" s="818"/>
      <c r="U56" s="819"/>
      <c r="V56" s="620">
        <v>56</v>
      </c>
      <c r="W56" s="643">
        <v>92004</v>
      </c>
      <c r="X56" s="847">
        <v>1000</v>
      </c>
      <c r="Y56" s="819"/>
    </row>
    <row r="57" spans="11:25" ht="15" customHeight="1">
      <c r="K57" s="640" t="s">
        <v>605</v>
      </c>
      <c r="L57" s="850" t="s">
        <v>606</v>
      </c>
      <c r="M57" s="818"/>
      <c r="N57" s="818"/>
      <c r="O57" s="818"/>
      <c r="P57" s="818"/>
      <c r="Q57" s="818"/>
      <c r="R57" s="818"/>
      <c r="S57" s="818"/>
      <c r="T57" s="818"/>
      <c r="U57" s="819"/>
      <c r="V57" s="620">
        <v>61</v>
      </c>
      <c r="W57" s="643">
        <v>90242</v>
      </c>
      <c r="X57" s="847">
        <v>0</v>
      </c>
      <c r="Y57" s="819"/>
    </row>
    <row r="58" spans="11:25" ht="14">
      <c r="K58" s="640" t="s">
        <v>607</v>
      </c>
      <c r="L58" s="850" t="s">
        <v>608</v>
      </c>
      <c r="M58" s="818"/>
      <c r="N58" s="818"/>
      <c r="O58" s="818"/>
      <c r="P58" s="818"/>
      <c r="Q58" s="818"/>
      <c r="R58" s="818"/>
      <c r="S58" s="818"/>
      <c r="T58" s="818"/>
      <c r="U58" s="819"/>
      <c r="V58" s="620">
        <v>62</v>
      </c>
      <c r="W58" s="643">
        <v>1762</v>
      </c>
      <c r="X58" s="847">
        <v>0</v>
      </c>
      <c r="Y58" s="819"/>
    </row>
    <row r="59" spans="11:25" ht="14">
      <c r="K59" s="640" t="s">
        <v>609</v>
      </c>
      <c r="L59" s="850" t="s">
        <v>610</v>
      </c>
      <c r="M59" s="818"/>
      <c r="N59" s="818"/>
      <c r="O59" s="818"/>
      <c r="P59" s="818"/>
      <c r="Q59" s="818"/>
      <c r="R59" s="818"/>
      <c r="S59" s="818"/>
      <c r="T59" s="818"/>
      <c r="U59" s="819"/>
      <c r="V59" s="620">
        <v>63</v>
      </c>
      <c r="W59" s="643">
        <v>0</v>
      </c>
      <c r="X59" s="847">
        <v>1000</v>
      </c>
      <c r="Y59" s="819"/>
    </row>
    <row r="60" spans="11:25" ht="14">
      <c r="K60" s="640" t="s">
        <v>199</v>
      </c>
      <c r="L60" s="850" t="s">
        <v>533</v>
      </c>
      <c r="M60" s="818"/>
      <c r="N60" s="818"/>
      <c r="O60" s="818"/>
      <c r="P60" s="818"/>
      <c r="Q60" s="818"/>
      <c r="R60" s="818"/>
      <c r="S60" s="818"/>
      <c r="T60" s="818"/>
      <c r="U60" s="819"/>
      <c r="V60" s="641">
        <v>64</v>
      </c>
      <c r="W60" s="642">
        <v>0</v>
      </c>
      <c r="X60" s="846">
        <v>0</v>
      </c>
      <c r="Y60" s="819"/>
    </row>
    <row r="61" spans="11:25" ht="14">
      <c r="K61" s="640" t="s">
        <v>577</v>
      </c>
      <c r="L61" s="850" t="s">
        <v>611</v>
      </c>
      <c r="M61" s="818"/>
      <c r="N61" s="818"/>
      <c r="O61" s="818"/>
      <c r="P61" s="818"/>
      <c r="Q61" s="818"/>
      <c r="R61" s="818"/>
      <c r="S61" s="818"/>
      <c r="T61" s="818"/>
      <c r="U61" s="819"/>
      <c r="V61" s="620">
        <v>65</v>
      </c>
      <c r="W61" s="643">
        <v>0</v>
      </c>
      <c r="X61" s="847">
        <v>0</v>
      </c>
      <c r="Y61" s="819"/>
    </row>
  </sheetData>
  <mergeCells count="169">
    <mergeCell ref="R32:S32"/>
    <mergeCell ref="T32:V32"/>
    <mergeCell ref="X32:Y32"/>
    <mergeCell ref="R34:S34"/>
    <mergeCell ref="R35:S35"/>
    <mergeCell ref="T35:V35"/>
    <mergeCell ref="X35:Y35"/>
    <mergeCell ref="L32:P32"/>
    <mergeCell ref="L33:P33"/>
    <mergeCell ref="R33:S33"/>
    <mergeCell ref="T33:V33"/>
    <mergeCell ref="L34:P34"/>
    <mergeCell ref="T34:V34"/>
    <mergeCell ref="L35:P35"/>
    <mergeCell ref="X33:Y33"/>
    <mergeCell ref="X34:Y34"/>
    <mergeCell ref="L58:U58"/>
    <mergeCell ref="X58:Y58"/>
    <mergeCell ref="L59:U59"/>
    <mergeCell ref="X59:Y59"/>
    <mergeCell ref="L60:U60"/>
    <mergeCell ref="X60:Y60"/>
    <mergeCell ref="L61:U61"/>
    <mergeCell ref="X61:Y61"/>
    <mergeCell ref="L53:U53"/>
    <mergeCell ref="L54:U54"/>
    <mergeCell ref="X54:Y54"/>
    <mergeCell ref="L55:U55"/>
    <mergeCell ref="X55:Y55"/>
    <mergeCell ref="L56:U56"/>
    <mergeCell ref="L57:U57"/>
    <mergeCell ref="L50:U50"/>
    <mergeCell ref="X50:Y50"/>
    <mergeCell ref="L51:U51"/>
    <mergeCell ref="X51:Y51"/>
    <mergeCell ref="L52:U52"/>
    <mergeCell ref="X52:Y52"/>
    <mergeCell ref="X53:Y53"/>
    <mergeCell ref="X56:Y56"/>
    <mergeCell ref="X57:Y57"/>
    <mergeCell ref="X48:Y48"/>
    <mergeCell ref="X49:Y49"/>
    <mergeCell ref="L45:U45"/>
    <mergeCell ref="L46:U46"/>
    <mergeCell ref="X46:Y46"/>
    <mergeCell ref="L47:U47"/>
    <mergeCell ref="X47:Y47"/>
    <mergeCell ref="L48:U48"/>
    <mergeCell ref="L49:U49"/>
    <mergeCell ref="L42:U42"/>
    <mergeCell ref="X42:Y42"/>
    <mergeCell ref="L43:U43"/>
    <mergeCell ref="X43:Y43"/>
    <mergeCell ref="L44:U44"/>
    <mergeCell ref="X44:Y44"/>
    <mergeCell ref="X45:Y45"/>
    <mergeCell ref="L36:P36"/>
    <mergeCell ref="R36:S36"/>
    <mergeCell ref="T36:V36"/>
    <mergeCell ref="X36:Y36"/>
    <mergeCell ref="R37:S37"/>
    <mergeCell ref="T37:V37"/>
    <mergeCell ref="X37:Y37"/>
    <mergeCell ref="X40:Y40"/>
    <mergeCell ref="X41:Y41"/>
    <mergeCell ref="L37:P37"/>
    <mergeCell ref="L38:U38"/>
    <mergeCell ref="X38:Y38"/>
    <mergeCell ref="L39:U39"/>
    <mergeCell ref="X39:Y39"/>
    <mergeCell ref="L40:U40"/>
    <mergeCell ref="L41:U41"/>
    <mergeCell ref="R24:S24"/>
    <mergeCell ref="T24:V24"/>
    <mergeCell ref="A25:E25"/>
    <mergeCell ref="X23:Y23"/>
    <mergeCell ref="X24:Y24"/>
    <mergeCell ref="X25:Y25"/>
    <mergeCell ref="X26:Y26"/>
    <mergeCell ref="X27:Y27"/>
    <mergeCell ref="X28:Y28"/>
    <mergeCell ref="L24:P24"/>
    <mergeCell ref="L25:P25"/>
    <mergeCell ref="L26:P26"/>
    <mergeCell ref="L27:P27"/>
    <mergeCell ref="L28:P28"/>
    <mergeCell ref="R25:S25"/>
    <mergeCell ref="T25:V25"/>
    <mergeCell ref="R26:S26"/>
    <mergeCell ref="T26:V26"/>
    <mergeCell ref="R27:S27"/>
    <mergeCell ref="T27:V27"/>
    <mergeCell ref="L21:P21"/>
    <mergeCell ref="R21:S21"/>
    <mergeCell ref="T21:V21"/>
    <mergeCell ref="X21:Y21"/>
    <mergeCell ref="R22:S22"/>
    <mergeCell ref="T22:V22"/>
    <mergeCell ref="X22:Y22"/>
    <mergeCell ref="L22:P22"/>
    <mergeCell ref="L23:P23"/>
    <mergeCell ref="R23:S23"/>
    <mergeCell ref="T23:V23"/>
    <mergeCell ref="R20:S20"/>
    <mergeCell ref="T20:V20"/>
    <mergeCell ref="X20:Y20"/>
    <mergeCell ref="L18:P18"/>
    <mergeCell ref="R18:S18"/>
    <mergeCell ref="T18:V18"/>
    <mergeCell ref="L19:P19"/>
    <mergeCell ref="R19:S19"/>
    <mergeCell ref="T19:V19"/>
    <mergeCell ref="L20:P20"/>
    <mergeCell ref="X30:Y30"/>
    <mergeCell ref="X31:Y31"/>
    <mergeCell ref="R28:S28"/>
    <mergeCell ref="R29:S29"/>
    <mergeCell ref="E30:F30"/>
    <mergeCell ref="L30:P30"/>
    <mergeCell ref="R30:S30"/>
    <mergeCell ref="R31:S31"/>
    <mergeCell ref="T31:V31"/>
    <mergeCell ref="X29:Y29"/>
    <mergeCell ref="L29:P29"/>
    <mergeCell ref="L31:P31"/>
    <mergeCell ref="T29:V29"/>
    <mergeCell ref="T30:V30"/>
    <mergeCell ref="T28:V28"/>
    <mergeCell ref="K13:K14"/>
    <mergeCell ref="L13:P14"/>
    <mergeCell ref="R17:S17"/>
    <mergeCell ref="T17:V17"/>
    <mergeCell ref="L15:P15"/>
    <mergeCell ref="R15:S15"/>
    <mergeCell ref="T15:V15"/>
    <mergeCell ref="L16:P16"/>
    <mergeCell ref="R16:S16"/>
    <mergeCell ref="T16:V16"/>
    <mergeCell ref="L17:P17"/>
    <mergeCell ref="X15:Y15"/>
    <mergeCell ref="X16:Y16"/>
    <mergeCell ref="X17:Y17"/>
    <mergeCell ref="X18:Y18"/>
    <mergeCell ref="X19:Y19"/>
    <mergeCell ref="N10:O11"/>
    <mergeCell ref="P10:R11"/>
    <mergeCell ref="S10:T11"/>
    <mergeCell ref="V10:Y10"/>
    <mergeCell ref="V11:Y11"/>
    <mergeCell ref="N8:O9"/>
    <mergeCell ref="P8:R9"/>
    <mergeCell ref="S8:T9"/>
    <mergeCell ref="V8:Y8"/>
    <mergeCell ref="V9:Y9"/>
    <mergeCell ref="Q13:Q14"/>
    <mergeCell ref="R13:W13"/>
    <mergeCell ref="R14:S14"/>
    <mergeCell ref="T14:V14"/>
    <mergeCell ref="X13:Y13"/>
    <mergeCell ref="X14:Y14"/>
    <mergeCell ref="K3:M4"/>
    <mergeCell ref="N3:T3"/>
    <mergeCell ref="V3:Y3"/>
    <mergeCell ref="N4:T4"/>
    <mergeCell ref="V4:Y5"/>
    <mergeCell ref="O5:T5"/>
    <mergeCell ref="A7:D7"/>
    <mergeCell ref="N7:T7"/>
    <mergeCell ref="V7:Y7"/>
  </mergeCells>
  <pageMargins left="0" right="0" top="0" bottom="0" header="0" footer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134"/>
  <sheetViews>
    <sheetView workbookViewId="0"/>
  </sheetViews>
  <sheetFormatPr baseColWidth="10" defaultColWidth="12.6640625" defaultRowHeight="15" customHeight="1"/>
  <cols>
    <col min="1" max="1" width="4.33203125" customWidth="1"/>
    <col min="2" max="2" width="48.5" customWidth="1"/>
    <col min="3" max="3" width="8" customWidth="1"/>
    <col min="4" max="4" width="14.1640625" customWidth="1"/>
    <col min="5" max="5" width="16.6640625" customWidth="1"/>
    <col min="6" max="6" width="22.6640625" customWidth="1"/>
    <col min="7" max="7" width="4" customWidth="1"/>
    <col min="8" max="8" width="4.33203125" customWidth="1"/>
    <col min="9" max="9" width="36.1640625" customWidth="1"/>
    <col min="10" max="10" width="8.6640625" customWidth="1"/>
    <col min="11" max="11" width="14.5" customWidth="1"/>
    <col min="12" max="12" width="9.6640625" customWidth="1"/>
    <col min="13" max="13" width="12.83203125" customWidth="1"/>
    <col min="14" max="14" width="20.1640625" customWidth="1"/>
    <col min="15" max="16" width="4.33203125" customWidth="1"/>
    <col min="17" max="17" width="40.83203125" customWidth="1"/>
    <col min="18" max="18" width="77" customWidth="1"/>
    <col min="19" max="19" width="7" customWidth="1"/>
    <col min="20" max="20" width="40.6640625" customWidth="1"/>
    <col min="21" max="21" width="20.6640625" customWidth="1"/>
    <col min="22" max="28" width="7" customWidth="1"/>
  </cols>
  <sheetData>
    <row r="1" spans="1:18" ht="30" customHeight="1">
      <c r="A1" s="63"/>
      <c r="B1" s="796" t="s">
        <v>130</v>
      </c>
      <c r="C1" s="772"/>
      <c r="D1" s="772"/>
      <c r="E1" s="772"/>
      <c r="F1" s="772"/>
      <c r="G1" s="772"/>
      <c r="H1" s="772"/>
      <c r="I1" s="772"/>
      <c r="J1" s="772"/>
      <c r="K1" s="772"/>
      <c r="L1" s="772"/>
      <c r="M1" s="772"/>
      <c r="N1" s="772"/>
      <c r="O1" s="64"/>
      <c r="P1" s="64"/>
      <c r="Q1" s="64"/>
      <c r="R1" s="64"/>
    </row>
    <row r="2" spans="1:18" ht="18" customHeight="1">
      <c r="A2" s="65"/>
      <c r="B2" s="66"/>
      <c r="C2" s="67"/>
      <c r="D2" s="68"/>
      <c r="E2" s="69"/>
      <c r="F2" s="70"/>
      <c r="G2" s="70"/>
      <c r="H2" s="71"/>
      <c r="I2" s="71"/>
      <c r="J2" s="67"/>
      <c r="K2" s="67"/>
      <c r="L2" s="68"/>
      <c r="M2" s="69"/>
      <c r="N2" s="72"/>
      <c r="O2" s="71"/>
      <c r="P2" s="71"/>
      <c r="Q2" s="71"/>
      <c r="R2" s="71"/>
    </row>
    <row r="3" spans="1:18" ht="18" customHeight="1">
      <c r="A3" s="65"/>
      <c r="B3" s="64"/>
      <c r="C3" s="73"/>
      <c r="D3" s="74"/>
      <c r="G3" s="75"/>
      <c r="H3" s="64"/>
      <c r="I3" s="64"/>
      <c r="J3" s="73"/>
      <c r="K3" s="73"/>
      <c r="L3" s="74"/>
      <c r="M3" s="76"/>
      <c r="N3" s="75"/>
      <c r="O3" s="64"/>
      <c r="P3" s="64"/>
      <c r="Q3" s="64"/>
      <c r="R3" s="64"/>
    </row>
    <row r="4" spans="1:18" ht="30" customHeight="1">
      <c r="A4" s="65"/>
      <c r="B4" s="797" t="s">
        <v>131</v>
      </c>
      <c r="C4" s="798"/>
      <c r="D4" s="798"/>
      <c r="E4" s="798"/>
      <c r="F4" s="799"/>
      <c r="G4" s="77"/>
      <c r="H4" s="64"/>
      <c r="I4" s="800" t="s">
        <v>132</v>
      </c>
      <c r="J4" s="798"/>
      <c r="K4" s="798"/>
      <c r="L4" s="798"/>
      <c r="M4" s="798"/>
      <c r="N4" s="799"/>
      <c r="O4" s="64"/>
      <c r="P4" s="64"/>
      <c r="Q4" s="800" t="s">
        <v>133</v>
      </c>
      <c r="R4" s="799"/>
    </row>
    <row r="5" spans="1:18" ht="18" customHeight="1">
      <c r="A5" s="65"/>
      <c r="B5" s="64"/>
      <c r="C5" s="73"/>
      <c r="D5" s="74"/>
      <c r="E5" s="73"/>
      <c r="F5" s="73"/>
      <c r="G5" s="78"/>
      <c r="H5" s="64"/>
      <c r="I5" s="64"/>
      <c r="J5" s="73"/>
      <c r="K5" s="73"/>
      <c r="L5" s="74"/>
      <c r="M5" s="76"/>
      <c r="N5" s="75"/>
      <c r="O5" s="64"/>
      <c r="P5" s="64"/>
    </row>
    <row r="6" spans="1:18" ht="18" customHeight="1">
      <c r="A6" s="65" t="s">
        <v>134</v>
      </c>
      <c r="B6" s="801" t="s">
        <v>135</v>
      </c>
      <c r="C6" s="798"/>
      <c r="D6" s="798"/>
      <c r="E6" s="798"/>
      <c r="F6" s="799"/>
      <c r="G6" s="79"/>
      <c r="H6" s="64"/>
      <c r="I6" s="802" t="s">
        <v>132</v>
      </c>
      <c r="J6" s="798"/>
      <c r="K6" s="798"/>
      <c r="L6" s="798"/>
      <c r="M6" s="798"/>
      <c r="N6" s="799"/>
      <c r="O6" s="64"/>
      <c r="P6" s="64"/>
      <c r="Q6" s="802" t="s">
        <v>136</v>
      </c>
      <c r="R6" s="799"/>
    </row>
    <row r="7" spans="1:18" ht="18" customHeight="1">
      <c r="A7" s="65"/>
      <c r="B7" s="80"/>
      <c r="C7" s="81" t="s">
        <v>137</v>
      </c>
      <c r="D7" s="81" t="s">
        <v>138</v>
      </c>
      <c r="E7" s="82" t="s">
        <v>139</v>
      </c>
      <c r="F7" s="83"/>
      <c r="G7" s="78"/>
      <c r="H7" s="64"/>
      <c r="I7" s="84"/>
      <c r="J7" s="82" t="s">
        <v>140</v>
      </c>
      <c r="K7" s="82" t="s">
        <v>141</v>
      </c>
      <c r="L7" s="82" t="s">
        <v>142</v>
      </c>
      <c r="M7" s="82" t="s">
        <v>143</v>
      </c>
      <c r="N7" s="85" t="s">
        <v>144</v>
      </c>
      <c r="O7" s="64"/>
      <c r="P7" s="64"/>
      <c r="Q7" s="86" t="s">
        <v>145</v>
      </c>
      <c r="R7" s="87">
        <v>0</v>
      </c>
    </row>
    <row r="8" spans="1:18" ht="18" customHeight="1">
      <c r="A8" s="65"/>
      <c r="B8" s="571" t="str">
        <f>'Cash-flow PLAN'!C18</f>
        <v>Nákup nemovitosti/pozemků</v>
      </c>
      <c r="C8" s="88" t="s">
        <v>146</v>
      </c>
      <c r="D8" s="88">
        <v>0</v>
      </c>
      <c r="E8" s="89"/>
      <c r="F8" s="90" t="e">
        <f t="shared" ref="F8:F9" si="0">SUM(#REF!)</f>
        <v>#REF!</v>
      </c>
      <c r="G8" s="78" t="s">
        <v>147</v>
      </c>
      <c r="H8" s="64"/>
      <c r="I8" s="91" t="str">
        <f>Rentroll!D2</f>
        <v>Penny</v>
      </c>
      <c r="J8" s="92">
        <f>Rentroll!F2</f>
        <v>1168.5999999999999</v>
      </c>
      <c r="K8" s="92" t="str">
        <f>Rentroll!E2</f>
        <v>full fit-out</v>
      </c>
      <c r="L8" s="93">
        <f>Rentroll!I2</f>
        <v>372.59086085914765</v>
      </c>
      <c r="M8" s="93">
        <f>Rentroll!L2</f>
        <v>39</v>
      </c>
      <c r="N8" s="94">
        <f>(Rentroll!J2+Rentroll!M2)*1.023</f>
        <v>492047.73683999991</v>
      </c>
      <c r="O8" s="64"/>
      <c r="P8" s="64"/>
      <c r="Q8" s="95" t="s">
        <v>148</v>
      </c>
      <c r="R8" s="96">
        <v>7</v>
      </c>
    </row>
    <row r="9" spans="1:18" ht="18" customHeight="1">
      <c r="A9" s="65"/>
      <c r="B9" s="571" t="s">
        <v>149</v>
      </c>
      <c r="C9" s="88"/>
      <c r="D9" s="88"/>
      <c r="E9" s="97"/>
      <c r="F9" s="98" t="e">
        <f t="shared" si="0"/>
        <v>#REF!</v>
      </c>
      <c r="G9" s="78" t="s">
        <v>147</v>
      </c>
      <c r="H9" s="64"/>
      <c r="I9" s="91" t="str">
        <f>Rentroll!D3</f>
        <v>Alza</v>
      </c>
      <c r="J9" s="92">
        <f>Rentroll!F3</f>
        <v>1</v>
      </c>
      <c r="K9" s="92" t="str">
        <f>Rentroll!E3</f>
        <v>pozemek</v>
      </c>
      <c r="L9" s="93">
        <f>Rentroll!I3</f>
        <v>3500</v>
      </c>
      <c r="M9" s="93">
        <f>Rentroll!L3</f>
        <v>500</v>
      </c>
      <c r="N9" s="94">
        <f>Rentroll!J3+Rentroll!M3</f>
        <v>4000</v>
      </c>
      <c r="O9" s="64"/>
      <c r="P9" s="64"/>
      <c r="Q9" s="91" t="s">
        <v>150</v>
      </c>
      <c r="R9" s="99">
        <v>2</v>
      </c>
    </row>
    <row r="10" spans="1:18" ht="18" customHeight="1">
      <c r="A10" s="65"/>
      <c r="B10" s="571" t="str">
        <f>'Cash-flow PLAN'!$C$19</f>
        <v>ZPF</v>
      </c>
      <c r="C10" s="88" t="s">
        <v>146</v>
      </c>
      <c r="D10" s="88"/>
      <c r="E10" s="97">
        <v>0</v>
      </c>
      <c r="F10" s="98">
        <f>D10*E10</f>
        <v>0</v>
      </c>
      <c r="G10" s="100"/>
      <c r="H10" s="64"/>
      <c r="I10" s="91" t="str">
        <f>Rentroll!D4</f>
        <v>Myčka</v>
      </c>
      <c r="J10" s="92">
        <f>Rentroll!F4</f>
        <v>1</v>
      </c>
      <c r="K10" s="92" t="str">
        <f>Rentroll!E4</f>
        <v>pozemek</v>
      </c>
      <c r="L10" s="93">
        <f>Rentroll!I4</f>
        <v>19999.259999999998</v>
      </c>
      <c r="M10" s="93">
        <f>Rentroll!L4</f>
        <v>0</v>
      </c>
      <c r="N10" s="94">
        <f>Rentroll!J4+Rentroll!M4</f>
        <v>21499.26</v>
      </c>
      <c r="O10" s="64"/>
      <c r="P10" s="64"/>
      <c r="Q10" s="101" t="s">
        <v>151</v>
      </c>
      <c r="R10" s="102">
        <v>3</v>
      </c>
    </row>
    <row r="11" spans="1:18" ht="18" customHeight="1">
      <c r="A11" s="65"/>
      <c r="B11" s="571" t="str">
        <f>'Cash-flow PLAN'!$C$20</f>
        <v>Předakviziční analýza</v>
      </c>
      <c r="C11" s="88" t="s">
        <v>146</v>
      </c>
      <c r="D11" s="88"/>
      <c r="E11" s="97"/>
      <c r="F11" s="98"/>
      <c r="G11" s="100"/>
      <c r="H11" s="64"/>
      <c r="I11" s="91" t="str">
        <f>Rentroll!D5</f>
        <v>Pepco</v>
      </c>
      <c r="J11" s="92">
        <f>Rentroll!F5</f>
        <v>484.96</v>
      </c>
      <c r="K11" s="92" t="str">
        <f>Rentroll!E5</f>
        <v>full fit-out</v>
      </c>
      <c r="L11" s="93">
        <f>Rentroll!I5</f>
        <v>300.47549999999995</v>
      </c>
      <c r="M11" s="93">
        <f>Rentroll!L5</f>
        <v>43.793999999999997</v>
      </c>
      <c r="N11" s="94">
        <f>Rentroll!J5+Rentroll!M5</f>
        <v>166956.93672</v>
      </c>
      <c r="O11" s="64"/>
      <c r="P11" s="64"/>
      <c r="Q11" s="91" t="s">
        <v>152</v>
      </c>
      <c r="R11" s="99">
        <v>1</v>
      </c>
    </row>
    <row r="12" spans="1:18" ht="18" customHeight="1">
      <c r="B12" s="571" t="str">
        <f>'Cash-flow PLAN'!$C$21</f>
        <v>Provize za nákup (INT)</v>
      </c>
      <c r="C12" s="88" t="s">
        <v>153</v>
      </c>
      <c r="D12" s="103">
        <v>0</v>
      </c>
      <c r="E12" s="97">
        <v>0</v>
      </c>
      <c r="F12" s="98" t="e">
        <f>F8*D12</f>
        <v>#REF!</v>
      </c>
      <c r="G12" s="100"/>
      <c r="H12" s="64"/>
      <c r="I12" s="91" t="str">
        <f>Rentroll!D6</f>
        <v>Teta</v>
      </c>
      <c r="J12" s="92">
        <f>Rentroll!F6</f>
        <v>224.22</v>
      </c>
      <c r="K12" s="92" t="str">
        <f>Rentroll!E6</f>
        <v>full fit-out</v>
      </c>
      <c r="L12" s="93">
        <f>Rentroll!I6</f>
        <v>323.589</v>
      </c>
      <c r="M12" s="93">
        <f>Rentroll!L6</f>
        <v>36.494999999999997</v>
      </c>
      <c r="N12" s="94">
        <f>Rentroll!J6+Rentroll!M6</f>
        <v>80738.034479999988</v>
      </c>
      <c r="O12" s="64"/>
      <c r="P12" s="64"/>
      <c r="Q12" s="91" t="s">
        <v>154</v>
      </c>
      <c r="R12" s="99">
        <v>6</v>
      </c>
    </row>
    <row r="13" spans="1:18" ht="18" customHeight="1">
      <c r="B13" s="571" t="str">
        <f>'Cash-flow PLAN'!$C$22</f>
        <v>Provize za nákup (EXT)</v>
      </c>
      <c r="C13" s="88" t="s">
        <v>153</v>
      </c>
      <c r="D13" s="103">
        <v>0</v>
      </c>
      <c r="E13" s="97">
        <v>0</v>
      </c>
      <c r="F13" s="98" t="e">
        <f>F8*D13</f>
        <v>#REF!</v>
      </c>
      <c r="G13" s="104"/>
      <c r="H13" s="64"/>
      <c r="I13" s="91" t="str">
        <f>Rentroll!D7</f>
        <v>Traficon</v>
      </c>
      <c r="J13" s="92">
        <f>Rentroll!F7</f>
        <v>49.31</v>
      </c>
      <c r="K13" s="92" t="str">
        <f>Rentroll!E7</f>
        <v>full fit-out</v>
      </c>
      <c r="L13" s="93">
        <f>Rentroll!I7</f>
        <v>1094.8499999999999</v>
      </c>
      <c r="M13" s="93">
        <f>Rentroll!L7</f>
        <v>36.494999999999997</v>
      </c>
      <c r="N13" s="94">
        <f>Rentroll!J7+Rentroll!M7</f>
        <v>55786.621949999993</v>
      </c>
      <c r="O13" s="64"/>
      <c r="P13" s="64"/>
      <c r="Q13" s="105" t="s">
        <v>155</v>
      </c>
      <c r="R13" s="106">
        <v>0</v>
      </c>
    </row>
    <row r="14" spans="1:18" ht="18" customHeight="1">
      <c r="B14" s="107" t="s">
        <v>156</v>
      </c>
      <c r="C14" s="803" t="e">
        <f>SUM(F8:F13)</f>
        <v>#REF!</v>
      </c>
      <c r="D14" s="798"/>
      <c r="E14" s="798"/>
      <c r="F14" s="799"/>
      <c r="G14" s="108"/>
      <c r="H14" s="64"/>
      <c r="I14" s="91" t="str">
        <f>Rentroll!D8</f>
        <v>Salon Beauty</v>
      </c>
      <c r="J14" s="92">
        <f>Rentroll!F8</f>
        <v>140.66</v>
      </c>
      <c r="K14" s="92" t="str">
        <f>Rentroll!E8</f>
        <v>full fit-out</v>
      </c>
      <c r="L14" s="93">
        <f>Rentroll!I8</f>
        <v>316.28999999999996</v>
      </c>
      <c r="M14" s="93">
        <f>Rentroll!L8</f>
        <v>36.494999999999997</v>
      </c>
      <c r="N14" s="94">
        <f>Rentroll!J8+Rentroll!M8</f>
        <v>49622.738099999988</v>
      </c>
      <c r="O14" s="64"/>
      <c r="P14" s="64"/>
      <c r="Q14" s="109" t="s">
        <v>157</v>
      </c>
      <c r="R14" s="110">
        <f>SUM(R7:R13)</f>
        <v>19</v>
      </c>
    </row>
    <row r="15" spans="1:18" ht="18" customHeight="1">
      <c r="A15" s="65"/>
      <c r="B15" s="111" t="s">
        <v>158</v>
      </c>
      <c r="C15" s="26"/>
      <c r="D15" s="26"/>
      <c r="E15" s="26"/>
      <c r="F15" s="112" t="e">
        <f>C14/$J$17</f>
        <v>#REF!</v>
      </c>
      <c r="G15" s="108"/>
      <c r="H15" s="64"/>
      <c r="I15" s="91" t="str">
        <f>Rentroll!D9</f>
        <v>Z-Box</v>
      </c>
      <c r="J15" s="92">
        <f>Rentroll!F9</f>
        <v>1</v>
      </c>
      <c r="K15" s="92" t="str">
        <f>Rentroll!E9</f>
        <v>pozemek</v>
      </c>
      <c r="L15" s="93">
        <f>Rentroll!I9</f>
        <v>0</v>
      </c>
      <c r="M15" s="93">
        <f>Rentroll!L9</f>
        <v>0</v>
      </c>
      <c r="N15" s="94">
        <f>Rentroll!J9+Rentroll!M9</f>
        <v>4166.666666666667</v>
      </c>
      <c r="O15" s="64"/>
      <c r="P15" s="64"/>
      <c r="Q15" s="64"/>
      <c r="R15" s="64"/>
    </row>
    <row r="16" spans="1:18" ht="18" customHeight="1">
      <c r="A16" s="65" t="s">
        <v>159</v>
      </c>
      <c r="B16" s="26"/>
      <c r="C16" s="26"/>
      <c r="D16" s="74"/>
      <c r="E16" s="76"/>
      <c r="F16" s="75"/>
      <c r="G16" s="108"/>
      <c r="H16" s="64"/>
      <c r="I16" s="91">
        <f>Rentroll!D10</f>
        <v>0</v>
      </c>
      <c r="J16" s="92">
        <f>Rentroll!F10</f>
        <v>0</v>
      </c>
      <c r="K16" s="92">
        <f>Rentroll!E10</f>
        <v>0</v>
      </c>
      <c r="L16" s="93">
        <f>Rentroll!I10</f>
        <v>0</v>
      </c>
      <c r="M16" s="93">
        <f>Rentroll!L10</f>
        <v>0</v>
      </c>
      <c r="N16" s="94">
        <f>Rentroll!J10+Rentroll!M10</f>
        <v>0</v>
      </c>
      <c r="O16" s="64"/>
      <c r="P16" s="64"/>
      <c r="Q16" s="64"/>
      <c r="R16" s="64"/>
    </row>
    <row r="17" spans="1:18" ht="18" customHeight="1">
      <c r="A17" s="65"/>
      <c r="B17" s="804" t="str">
        <f>'Cash-flow PLAN'!C23</f>
        <v>B. Architecture &amp; Engineering</v>
      </c>
      <c r="C17" s="798"/>
      <c r="D17" s="798"/>
      <c r="E17" s="798"/>
      <c r="F17" s="799"/>
      <c r="G17" s="108"/>
      <c r="H17" s="64"/>
      <c r="I17" s="113" t="s">
        <v>160</v>
      </c>
      <c r="J17" s="114">
        <f>SUM(J8:J16)</f>
        <v>2070.75</v>
      </c>
      <c r="K17" s="115" t="s">
        <v>161</v>
      </c>
      <c r="L17" s="116">
        <f t="shared" ref="L17:M17" si="1">SUM(L8:L16)</f>
        <v>25907.055360859147</v>
      </c>
      <c r="M17" s="117">
        <f t="shared" si="1"/>
        <v>692.279</v>
      </c>
      <c r="N17" s="118">
        <f>SUM(N8:N16)</f>
        <v>874817.99475666648</v>
      </c>
      <c r="O17" s="64"/>
      <c r="P17" s="64"/>
      <c r="Q17" s="805" t="s">
        <v>162</v>
      </c>
      <c r="R17" s="799"/>
    </row>
    <row r="18" spans="1:18" ht="18" customHeight="1">
      <c r="A18" s="65"/>
      <c r="B18" s="119"/>
      <c r="C18" s="120" t="s">
        <v>137</v>
      </c>
      <c r="D18" s="81" t="s">
        <v>163</v>
      </c>
      <c r="E18" s="120" t="s">
        <v>164</v>
      </c>
      <c r="F18" s="121"/>
      <c r="G18" s="108"/>
      <c r="H18" s="64"/>
      <c r="I18" s="122" t="s">
        <v>165</v>
      </c>
      <c r="J18" s="806">
        <f>SUM(N8:N16)*12</f>
        <v>10497815.937079998</v>
      </c>
      <c r="K18" s="798"/>
      <c r="L18" s="798"/>
      <c r="M18" s="798"/>
      <c r="N18" s="799"/>
      <c r="O18" s="64"/>
      <c r="P18" s="64"/>
      <c r="Q18" s="123" t="s">
        <v>166</v>
      </c>
      <c r="R18" s="124">
        <v>0.09</v>
      </c>
    </row>
    <row r="19" spans="1:18" ht="18" customHeight="1">
      <c r="B19" s="125" t="str">
        <f>'Cash-flow PLAN'!C24</f>
        <v>Projekt , architekt</v>
      </c>
      <c r="C19" s="126">
        <v>1</v>
      </c>
      <c r="D19" s="127" t="s">
        <v>153</v>
      </c>
      <c r="E19" s="128"/>
      <c r="F19" s="129">
        <f>SUM(F20:F21)</f>
        <v>1325000</v>
      </c>
      <c r="G19" s="130"/>
      <c r="H19" s="64"/>
      <c r="I19" s="123" t="s">
        <v>167</v>
      </c>
      <c r="J19" s="131"/>
      <c r="K19" s="131"/>
      <c r="L19" s="131"/>
      <c r="M19" s="132">
        <v>39</v>
      </c>
      <c r="N19" s="133">
        <f>J17*M19*12</f>
        <v>969111</v>
      </c>
      <c r="O19" s="64"/>
      <c r="P19" s="64"/>
      <c r="Q19" s="134" t="s">
        <v>168</v>
      </c>
      <c r="R19" s="135">
        <f>J18</f>
        <v>10497815.937079998</v>
      </c>
    </row>
    <row r="20" spans="1:18" ht="18" customHeight="1">
      <c r="A20" s="65"/>
      <c r="B20" s="572" t="s">
        <v>169</v>
      </c>
      <c r="C20" s="126">
        <v>1</v>
      </c>
      <c r="D20" s="127" t="s">
        <v>153</v>
      </c>
      <c r="E20" s="573"/>
      <c r="F20" s="585">
        <v>675000</v>
      </c>
      <c r="G20" s="78" t="s">
        <v>147</v>
      </c>
      <c r="H20" s="64"/>
      <c r="I20" s="136" t="s">
        <v>170</v>
      </c>
      <c r="J20" s="137"/>
      <c r="K20" s="137"/>
      <c r="L20" s="138"/>
      <c r="M20" s="139"/>
      <c r="N20" s="140">
        <v>7.0000000000000007E-2</v>
      </c>
      <c r="O20" s="64"/>
      <c r="P20" s="64"/>
      <c r="Q20" s="134" t="s">
        <v>171</v>
      </c>
      <c r="R20" s="135">
        <f>C23+C43+C51+C72</f>
        <v>96119843.790082648</v>
      </c>
    </row>
    <row r="21" spans="1:18" ht="18" customHeight="1">
      <c r="A21" s="65"/>
      <c r="B21" s="572" t="s">
        <v>612</v>
      </c>
      <c r="C21" s="126">
        <v>1</v>
      </c>
      <c r="D21" s="127" t="s">
        <v>153</v>
      </c>
      <c r="E21" s="575"/>
      <c r="F21" s="585">
        <v>650000</v>
      </c>
      <c r="G21" s="130" t="s">
        <v>147</v>
      </c>
      <c r="H21" s="64"/>
      <c r="I21" s="141" t="s">
        <v>173</v>
      </c>
      <c r="J21" s="142"/>
      <c r="K21" s="142"/>
      <c r="L21" s="143"/>
      <c r="M21" s="144">
        <v>5.0000000000000001E-3</v>
      </c>
      <c r="N21" s="576">
        <f>-J24*M21</f>
        <v>-680621.78121999977</v>
      </c>
      <c r="O21" s="64"/>
      <c r="P21" s="64"/>
      <c r="Q21" s="134" t="s">
        <v>174</v>
      </c>
      <c r="R21" s="145">
        <f>R19/R18</f>
        <v>116642399.30088887</v>
      </c>
    </row>
    <row r="22" spans="1:18" ht="18" customHeight="1">
      <c r="B22" s="146" t="str">
        <f>'Cash-flow PLAN'!C25</f>
        <v>Engineering</v>
      </c>
      <c r="C22" s="527">
        <v>1</v>
      </c>
      <c r="D22" s="577" t="s">
        <v>153</v>
      </c>
      <c r="E22" s="575"/>
      <c r="F22" s="522">
        <v>151260</v>
      </c>
      <c r="G22" s="147" t="s">
        <v>187</v>
      </c>
      <c r="H22" s="64"/>
      <c r="I22" s="148" t="s">
        <v>175</v>
      </c>
      <c r="J22" s="807">
        <f>0</f>
        <v>0</v>
      </c>
      <c r="K22" s="798"/>
      <c r="L22" s="798"/>
      <c r="M22" s="798"/>
      <c r="N22" s="799"/>
      <c r="O22" s="64"/>
      <c r="P22" s="64"/>
      <c r="Q22" s="149" t="s">
        <v>176</v>
      </c>
      <c r="R22" s="150">
        <f>R21-R20</f>
        <v>20522555.510806218</v>
      </c>
    </row>
    <row r="23" spans="1:18" ht="18" customHeight="1">
      <c r="B23" s="107" t="s">
        <v>156</v>
      </c>
      <c r="C23" s="803">
        <f>F19+F22</f>
        <v>1476260</v>
      </c>
      <c r="D23" s="798"/>
      <c r="E23" s="798"/>
      <c r="F23" s="799"/>
      <c r="G23" s="151"/>
      <c r="H23" s="64"/>
      <c r="I23" s="154" t="s">
        <v>177</v>
      </c>
      <c r="J23" s="808">
        <f>IF( J22&gt;0,1000000,0)</f>
        <v>0</v>
      </c>
      <c r="K23" s="773"/>
      <c r="L23" s="773"/>
      <c r="M23" s="773"/>
      <c r="N23" s="774"/>
      <c r="O23" s="152"/>
      <c r="P23" s="64"/>
      <c r="Q23" s="579" t="s">
        <v>178</v>
      </c>
      <c r="R23" s="153">
        <f>R21-R20-C104</f>
        <v>17558445.420806218</v>
      </c>
    </row>
    <row r="24" spans="1:18" ht="18" customHeight="1">
      <c r="A24" s="65"/>
      <c r="B24" s="111" t="s">
        <v>158</v>
      </c>
      <c r="C24" s="26"/>
      <c r="D24" s="26"/>
      <c r="E24" s="26"/>
      <c r="F24" s="112">
        <f>C23/$J$17</f>
        <v>712.91078111795241</v>
      </c>
      <c r="G24" s="151"/>
      <c r="H24" s="64"/>
      <c r="I24" s="154" t="s">
        <v>179</v>
      </c>
      <c r="J24" s="808">
        <f>(J18-N19)/N20</f>
        <v>136124356.24399996</v>
      </c>
      <c r="K24" s="773"/>
      <c r="L24" s="773"/>
      <c r="M24" s="773"/>
      <c r="N24" s="774"/>
      <c r="O24" s="64"/>
      <c r="P24" s="64"/>
      <c r="Q24" s="64"/>
      <c r="R24" s="64"/>
    </row>
    <row r="25" spans="1:18" ht="18" customHeight="1">
      <c r="G25" s="151"/>
      <c r="H25" s="64"/>
      <c r="I25" s="154" t="s">
        <v>180</v>
      </c>
      <c r="J25" s="806">
        <f>J24+J23</f>
        <v>136124356.24399996</v>
      </c>
      <c r="K25" s="798"/>
      <c r="L25" s="798"/>
      <c r="M25" s="798"/>
      <c r="N25" s="799"/>
      <c r="O25" s="64"/>
      <c r="P25" s="64"/>
      <c r="Q25" s="64"/>
      <c r="R25" s="64"/>
    </row>
    <row r="26" spans="1:18" ht="18" customHeight="1">
      <c r="A26" s="65" t="s">
        <v>181</v>
      </c>
      <c r="G26" s="151"/>
      <c r="H26" s="64"/>
      <c r="I26" s="64"/>
      <c r="J26" s="73"/>
      <c r="K26" s="73"/>
      <c r="L26" s="74"/>
      <c r="M26" s="76"/>
      <c r="N26" s="75"/>
      <c r="O26" s="64"/>
      <c r="P26" s="64"/>
      <c r="Q26" s="64"/>
      <c r="R26" s="64"/>
    </row>
    <row r="27" spans="1:18" ht="18" customHeight="1">
      <c r="B27" s="804" t="str">
        <f>'Cash-flow PLAN'!C26</f>
        <v>C. Constructions costs</v>
      </c>
      <c r="C27" s="798"/>
      <c r="D27" s="798"/>
      <c r="E27" s="798"/>
      <c r="F27" s="799"/>
      <c r="G27" s="151"/>
      <c r="H27" s="64"/>
      <c r="I27" s="64"/>
      <c r="J27" s="155"/>
      <c r="K27" s="73"/>
      <c r="L27" s="74"/>
      <c r="M27" s="76"/>
      <c r="N27" s="75"/>
      <c r="O27" s="64"/>
      <c r="P27" s="64"/>
      <c r="Q27" s="802" t="s">
        <v>182</v>
      </c>
      <c r="R27" s="799"/>
    </row>
    <row r="28" spans="1:18" ht="16">
      <c r="B28" s="119"/>
      <c r="C28" s="120" t="s">
        <v>137</v>
      </c>
      <c r="D28" s="81" t="s">
        <v>163</v>
      </c>
      <c r="E28" s="120" t="s">
        <v>164</v>
      </c>
      <c r="F28" s="121"/>
      <c r="G28" s="151"/>
      <c r="H28" s="64"/>
      <c r="I28" s="64"/>
      <c r="J28" s="73"/>
      <c r="K28" s="73"/>
      <c r="L28" s="74"/>
      <c r="M28" s="76"/>
      <c r="N28" s="75"/>
      <c r="O28" s="64"/>
      <c r="P28" s="64"/>
      <c r="Q28" s="158" t="s">
        <v>183</v>
      </c>
      <c r="R28" s="159">
        <v>0.2</v>
      </c>
    </row>
    <row r="29" spans="1:18" ht="18" customHeight="1">
      <c r="A29" s="65"/>
      <c r="B29" s="160" t="str">
        <f>'Cash-flow PLAN'!C27</f>
        <v>Náklady na realizace stavby</v>
      </c>
      <c r="C29" s="126">
        <v>1</v>
      </c>
      <c r="D29" s="127" t="s">
        <v>138</v>
      </c>
      <c r="E29" s="89"/>
      <c r="F29" s="90">
        <v>58593172</v>
      </c>
      <c r="G29" s="147" t="s">
        <v>147</v>
      </c>
      <c r="H29" s="64"/>
      <c r="I29" s="445"/>
      <c r="J29" s="446"/>
      <c r="K29" s="446"/>
      <c r="L29" s="446"/>
      <c r="M29" s="446"/>
      <c r="N29" s="447"/>
      <c r="O29" s="64"/>
      <c r="P29" s="64"/>
      <c r="Q29" s="158" t="s">
        <v>184</v>
      </c>
      <c r="R29" s="161">
        <f>J18/N20*R28</f>
        <v>29993759.820228565</v>
      </c>
    </row>
    <row r="30" spans="1:18" ht="27" customHeight="1">
      <c r="A30" s="65"/>
      <c r="B30" s="162" t="s">
        <v>185</v>
      </c>
      <c r="C30" s="126"/>
      <c r="D30" s="127"/>
      <c r="E30" s="89"/>
      <c r="F30" s="90">
        <v>1500000</v>
      </c>
      <c r="G30" s="147" t="s">
        <v>147</v>
      </c>
      <c r="H30" s="64"/>
      <c r="I30" s="854" t="s">
        <v>415</v>
      </c>
      <c r="J30" s="661"/>
      <c r="K30" s="661"/>
      <c r="L30" s="661"/>
      <c r="M30" s="856" t="e">
        <f>J25-C132++N21</f>
        <v>#REF!</v>
      </c>
      <c r="N30" s="771"/>
      <c r="O30" s="64"/>
      <c r="P30" s="64"/>
      <c r="Q30" s="123" t="s">
        <v>171</v>
      </c>
      <c r="R30" s="133">
        <f>C23+C43+C51+C72</f>
        <v>96119843.790082648</v>
      </c>
    </row>
    <row r="31" spans="1:18" ht="27" customHeight="1">
      <c r="A31" s="65"/>
      <c r="B31" s="162" t="s">
        <v>186</v>
      </c>
      <c r="C31" s="126">
        <v>1</v>
      </c>
      <c r="D31" s="127" t="s">
        <v>138</v>
      </c>
      <c r="E31" s="89">
        <v>26000</v>
      </c>
      <c r="F31" s="90">
        <f>E31*SUM(J11:J14)</f>
        <v>23377900</v>
      </c>
      <c r="G31" s="147" t="s">
        <v>187</v>
      </c>
      <c r="H31" s="64"/>
      <c r="I31" s="855"/>
      <c r="J31" s="661"/>
      <c r="K31" s="661"/>
      <c r="L31" s="661"/>
      <c r="M31" s="857"/>
      <c r="N31" s="771"/>
      <c r="O31" s="64"/>
      <c r="P31" s="64"/>
      <c r="Q31" s="163" t="s">
        <v>188</v>
      </c>
      <c r="R31" s="145" t="e">
        <f>J25+N21+#REF!+#REF!</f>
        <v>#REF!</v>
      </c>
    </row>
    <row r="32" spans="1:18" ht="37">
      <c r="A32" s="65"/>
      <c r="B32" s="164" t="s">
        <v>189</v>
      </c>
      <c r="C32" s="126">
        <v>1</v>
      </c>
      <c r="D32" s="127" t="s">
        <v>138</v>
      </c>
      <c r="E32" s="89"/>
      <c r="F32" s="90"/>
      <c r="G32" s="151"/>
      <c r="H32" s="64"/>
      <c r="I32" s="448" t="s">
        <v>613</v>
      </c>
      <c r="J32" s="449"/>
      <c r="K32" s="450" t="s">
        <v>614</v>
      </c>
      <c r="L32" s="449"/>
      <c r="M32" s="449"/>
      <c r="N32" s="662" t="e">
        <f>M30/J24</f>
        <v>#REF!</v>
      </c>
      <c r="O32" s="64"/>
      <c r="P32" s="64"/>
      <c r="Q32" s="165" t="s">
        <v>176</v>
      </c>
      <c r="R32" s="150" t="e">
        <f>R31-R30-R29</f>
        <v>#REF!</v>
      </c>
    </row>
    <row r="33" spans="1:18" ht="18" customHeight="1">
      <c r="A33" s="65"/>
      <c r="B33" s="164" t="s">
        <v>190</v>
      </c>
      <c r="C33" s="126">
        <v>1</v>
      </c>
      <c r="D33" s="127" t="s">
        <v>138</v>
      </c>
      <c r="E33" s="89"/>
      <c r="F33" s="90"/>
      <c r="G33" s="151"/>
      <c r="H33" s="64"/>
      <c r="I33" s="448" t="s">
        <v>615</v>
      </c>
      <c r="J33" s="449"/>
      <c r="K33" s="450" t="s">
        <v>616</v>
      </c>
      <c r="L33" s="449"/>
      <c r="M33" s="449"/>
      <c r="N33" s="662" t="e">
        <f>M30/C132</f>
        <v>#REF!</v>
      </c>
      <c r="O33" s="64"/>
      <c r="P33" s="64"/>
      <c r="Q33" s="166" t="s">
        <v>178</v>
      </c>
      <c r="R33" s="153" t="e">
        <f>R32-C104</f>
        <v>#REF!</v>
      </c>
    </row>
    <row r="34" spans="1:18" ht="18" customHeight="1">
      <c r="A34" s="65"/>
      <c r="B34" s="164" t="s">
        <v>191</v>
      </c>
      <c r="C34" s="126">
        <v>1</v>
      </c>
      <c r="D34" s="127" t="s">
        <v>146</v>
      </c>
      <c r="E34" s="89"/>
      <c r="F34" s="90">
        <v>1300000</v>
      </c>
      <c r="G34" s="147" t="s">
        <v>187</v>
      </c>
      <c r="H34" s="64"/>
      <c r="I34" s="451" t="s">
        <v>617</v>
      </c>
      <c r="J34" s="452"/>
      <c r="K34" s="450" t="s">
        <v>618</v>
      </c>
      <c r="L34" s="452"/>
      <c r="M34" s="453">
        <v>0.1</v>
      </c>
      <c r="N34" s="663" t="e">
        <f>M30*M34</f>
        <v>#REF!</v>
      </c>
      <c r="O34" s="64"/>
      <c r="P34" s="64"/>
    </row>
    <row r="35" spans="1:18" ht="18" customHeight="1">
      <c r="B35" s="125" t="str">
        <f>'Cash-flow PLAN'!C28</f>
        <v>Bourací práce</v>
      </c>
      <c r="C35" s="126">
        <v>1</v>
      </c>
      <c r="D35" s="127" t="s">
        <v>146</v>
      </c>
      <c r="E35" s="89"/>
      <c r="F35" s="90">
        <f>E35</f>
        <v>0</v>
      </c>
      <c r="G35" s="151"/>
      <c r="H35" s="64"/>
      <c r="I35" s="451" t="s">
        <v>619</v>
      </c>
      <c r="J35" s="452"/>
      <c r="K35" s="452"/>
      <c r="L35" s="452"/>
      <c r="M35" s="452"/>
      <c r="N35" s="664" t="e">
        <f>M30/D128</f>
        <v>#REF!</v>
      </c>
      <c r="O35" s="64"/>
      <c r="P35" s="64"/>
      <c r="Q35" s="802" t="s">
        <v>192</v>
      </c>
      <c r="R35" s="799"/>
    </row>
    <row r="36" spans="1:18" ht="18" customHeight="1">
      <c r="B36" s="125" t="s">
        <v>193</v>
      </c>
      <c r="C36" s="126">
        <v>1</v>
      </c>
      <c r="D36" s="167" t="s">
        <v>146</v>
      </c>
      <c r="E36" s="89"/>
      <c r="F36" s="168">
        <f>-50000</f>
        <v>-50000</v>
      </c>
      <c r="G36" s="75" t="s">
        <v>187</v>
      </c>
      <c r="H36" s="169"/>
      <c r="I36" s="64"/>
      <c r="J36" s="73"/>
      <c r="K36" s="73"/>
      <c r="L36" s="74"/>
      <c r="M36" s="76"/>
      <c r="N36" s="75"/>
      <c r="O36" s="64"/>
      <c r="P36" s="64"/>
      <c r="Q36" s="170" t="str">
        <f>B8</f>
        <v>Nákup nemovitosti/pozemků</v>
      </c>
      <c r="R36" s="171" t="e">
        <f>C14</f>
        <v>#REF!</v>
      </c>
    </row>
    <row r="37" spans="1:18" ht="18" customHeight="1">
      <c r="A37" s="65"/>
      <c r="B37" s="125" t="str">
        <f>'Cash-flow PLAN'!C30</f>
        <v>Náklady na inženýrské sítě</v>
      </c>
      <c r="C37" s="126">
        <v>1</v>
      </c>
      <c r="D37" s="127" t="s">
        <v>138</v>
      </c>
      <c r="E37" s="89">
        <v>170</v>
      </c>
      <c r="F37" s="90">
        <f>E37*3000</f>
        <v>510000</v>
      </c>
      <c r="G37" s="75" t="s">
        <v>187</v>
      </c>
      <c r="H37" s="169"/>
      <c r="I37" s="64"/>
      <c r="J37" s="73"/>
      <c r="K37" s="73"/>
      <c r="L37" s="74"/>
      <c r="M37" s="76"/>
      <c r="N37" s="75"/>
      <c r="O37" s="64"/>
      <c r="P37" s="64"/>
      <c r="Q37" s="158" t="s">
        <v>194</v>
      </c>
      <c r="R37" s="172">
        <v>0.25</v>
      </c>
    </row>
    <row r="38" spans="1:18" ht="24.75" customHeight="1">
      <c r="A38" s="65"/>
      <c r="B38" s="125" t="str">
        <f>'Cash-flow PLAN'!C31</f>
        <v>Operativní náklady spojené s realizaci stavby</v>
      </c>
      <c r="C38" s="126">
        <v>1</v>
      </c>
      <c r="D38" s="173" t="s">
        <v>153</v>
      </c>
      <c r="E38" s="174"/>
      <c r="F38" s="90">
        <v>130000</v>
      </c>
      <c r="G38" s="75" t="s">
        <v>187</v>
      </c>
      <c r="H38" s="169"/>
      <c r="I38" s="156"/>
      <c r="J38" s="64"/>
      <c r="K38" s="64"/>
      <c r="L38" s="156"/>
      <c r="M38" s="64"/>
      <c r="N38" s="454"/>
      <c r="O38" s="64"/>
      <c r="P38" s="64"/>
      <c r="Q38" s="123" t="s">
        <v>195</v>
      </c>
      <c r="R38" s="175" t="e">
        <f>M30*R37</f>
        <v>#REF!</v>
      </c>
    </row>
    <row r="39" spans="1:18" ht="18" customHeight="1">
      <c r="A39" s="65"/>
      <c r="B39" s="125" t="s">
        <v>196</v>
      </c>
      <c r="C39" s="527">
        <v>1</v>
      </c>
      <c r="D39" s="580" t="s">
        <v>153</v>
      </c>
      <c r="E39" s="581"/>
      <c r="F39" s="522">
        <f>-SUM('Cash-flow 04.02.2025'!I32)</f>
        <v>1081909</v>
      </c>
      <c r="G39" s="75" t="s">
        <v>147</v>
      </c>
      <c r="H39" s="64"/>
      <c r="I39" s="156"/>
      <c r="J39" s="157"/>
      <c r="K39" s="157"/>
      <c r="L39" s="156"/>
      <c r="M39" s="157"/>
      <c r="N39" s="157"/>
      <c r="O39" s="64"/>
      <c r="P39" s="64"/>
      <c r="Q39" s="176" t="str">
        <f>B17</f>
        <v>B. Architecture &amp; Engineering</v>
      </c>
      <c r="R39" s="150">
        <f>C23</f>
        <v>1476260</v>
      </c>
    </row>
    <row r="40" spans="1:18" ht="18" customHeight="1">
      <c r="B40" s="146" t="s">
        <v>197</v>
      </c>
      <c r="C40" s="527">
        <v>1</v>
      </c>
      <c r="D40" s="580" t="s">
        <v>153</v>
      </c>
      <c r="E40" s="581"/>
      <c r="F40" s="522">
        <f>102000+261000+150000+1081909+305500+50000-F39</f>
        <v>868500</v>
      </c>
      <c r="G40" s="75" t="s">
        <v>187</v>
      </c>
      <c r="H40" s="64"/>
      <c r="I40" s="156"/>
      <c r="J40" s="157"/>
      <c r="K40" s="157"/>
      <c r="L40" s="157"/>
      <c r="M40" s="157"/>
      <c r="N40" s="157"/>
      <c r="O40" s="64"/>
      <c r="P40" s="64"/>
      <c r="Q40" s="166" t="s">
        <v>192</v>
      </c>
      <c r="R40" s="153" t="e">
        <f>R36+R38+R39</f>
        <v>#REF!</v>
      </c>
    </row>
    <row r="41" spans="1:18" ht="18" customHeight="1">
      <c r="A41" s="65"/>
      <c r="B41" s="146" t="str">
        <f>'Cash-flow PLAN'!C33</f>
        <v>Rezerva</v>
      </c>
      <c r="C41" s="527">
        <v>1</v>
      </c>
      <c r="D41" s="580" t="s">
        <v>153</v>
      </c>
      <c r="E41" s="581">
        <v>0.1</v>
      </c>
      <c r="F41" s="522">
        <f>SUM(F31,F37:F38)*E41</f>
        <v>2401790</v>
      </c>
      <c r="G41" s="75" t="s">
        <v>187</v>
      </c>
      <c r="H41" s="64"/>
      <c r="I41" s="156"/>
      <c r="J41" s="157"/>
      <c r="K41" s="157"/>
      <c r="L41" s="156"/>
      <c r="M41" s="157"/>
      <c r="N41" s="156"/>
      <c r="O41" s="64"/>
      <c r="P41" s="64"/>
      <c r="Q41" s="64"/>
      <c r="R41" s="64"/>
    </row>
    <row r="42" spans="1:18" ht="18" customHeight="1">
      <c r="A42" s="65"/>
      <c r="B42" s="177" t="s">
        <v>198</v>
      </c>
      <c r="C42" s="178">
        <v>1</v>
      </c>
      <c r="D42" s="179" t="s">
        <v>153</v>
      </c>
      <c r="E42" s="180"/>
      <c r="F42" s="181">
        <f>-9100000</f>
        <v>-9100000</v>
      </c>
      <c r="G42" s="75" t="s">
        <v>147</v>
      </c>
      <c r="H42" s="64"/>
      <c r="I42" s="156"/>
      <c r="J42" s="157"/>
      <c r="K42" s="157"/>
      <c r="L42" s="157"/>
      <c r="M42" s="157"/>
      <c r="N42" s="157"/>
      <c r="O42" s="64"/>
      <c r="P42" s="64"/>
      <c r="Q42" s="64"/>
      <c r="R42" s="64"/>
    </row>
    <row r="43" spans="1:18" ht="18" customHeight="1">
      <c r="B43" s="582" t="s">
        <v>156</v>
      </c>
      <c r="C43" s="809">
        <f>SUM(F29:F42)</f>
        <v>80613271</v>
      </c>
      <c r="D43" s="773"/>
      <c r="E43" s="773"/>
      <c r="F43" s="774"/>
      <c r="G43" s="75"/>
      <c r="H43" s="64"/>
      <c r="I43" s="157"/>
      <c r="J43" s="157"/>
      <c r="K43" s="157"/>
      <c r="L43" s="156"/>
      <c r="M43" s="157"/>
      <c r="N43" s="157"/>
      <c r="O43" s="64"/>
      <c r="P43" s="64"/>
      <c r="Q43" s="64"/>
      <c r="R43" s="64"/>
    </row>
    <row r="44" spans="1:18" ht="18" customHeight="1">
      <c r="A44" s="65" t="s">
        <v>199</v>
      </c>
      <c r="B44" s="111" t="s">
        <v>158</v>
      </c>
      <c r="C44" s="26"/>
      <c r="D44" s="26"/>
      <c r="E44" s="26"/>
      <c r="F44" s="112">
        <f>C43/$J$17</f>
        <v>38929.504285886753</v>
      </c>
      <c r="G44" s="75"/>
      <c r="H44" s="64"/>
      <c r="I44" s="156"/>
      <c r="J44" s="157"/>
      <c r="K44" s="157"/>
      <c r="L44" s="157"/>
      <c r="M44" s="157"/>
      <c r="N44" s="157"/>
      <c r="O44" s="64"/>
      <c r="P44" s="64"/>
      <c r="Q44" s="64"/>
      <c r="R44" s="64"/>
    </row>
    <row r="45" spans="1:18" ht="18" customHeight="1">
      <c r="A45" s="65"/>
      <c r="G45" s="75"/>
      <c r="H45" s="64"/>
      <c r="I45" s="157"/>
      <c r="J45" s="157"/>
      <c r="K45" s="157"/>
      <c r="L45" s="157"/>
      <c r="M45" s="157"/>
      <c r="N45" s="157"/>
      <c r="O45" s="64"/>
      <c r="P45" s="64"/>
      <c r="Q45" s="64"/>
      <c r="R45" s="64"/>
    </row>
    <row r="46" spans="1:18" ht="18" customHeight="1">
      <c r="A46" s="65"/>
      <c r="G46" s="75"/>
      <c r="H46" s="64"/>
      <c r="I46" s="156"/>
      <c r="J46" s="157"/>
      <c r="K46" s="157"/>
      <c r="L46" s="157"/>
      <c r="M46" s="157"/>
      <c r="N46" s="157"/>
      <c r="O46" s="64"/>
      <c r="P46" s="64"/>
      <c r="Q46" s="64"/>
      <c r="R46" s="64"/>
    </row>
    <row r="47" spans="1:18" ht="18" customHeight="1">
      <c r="A47" s="65"/>
      <c r="B47" s="804" t="str">
        <f>'Cash-flow PLAN'!C34</f>
        <v>D. Tenant improvements</v>
      </c>
      <c r="C47" s="798"/>
      <c r="D47" s="798"/>
      <c r="E47" s="798"/>
      <c r="F47" s="799"/>
      <c r="G47" s="75"/>
      <c r="H47" s="64"/>
      <c r="I47" s="64"/>
      <c r="J47" s="157"/>
      <c r="K47" s="157"/>
      <c r="L47" s="157"/>
      <c r="M47" s="157"/>
      <c r="N47" s="157"/>
      <c r="O47" s="64"/>
      <c r="P47" s="64"/>
      <c r="Q47" s="801" t="s">
        <v>200</v>
      </c>
      <c r="R47" s="799"/>
    </row>
    <row r="48" spans="1:18" ht="18" customHeight="1">
      <c r="B48" s="119"/>
      <c r="C48" s="120" t="s">
        <v>137</v>
      </c>
      <c r="D48" s="81" t="s">
        <v>163</v>
      </c>
      <c r="E48" s="120" t="s">
        <v>164</v>
      </c>
      <c r="F48" s="121"/>
      <c r="G48" s="75"/>
      <c r="H48" s="64"/>
      <c r="I48" s="156"/>
      <c r="J48" s="157"/>
      <c r="K48" s="157"/>
      <c r="L48" s="157"/>
      <c r="M48" s="157"/>
      <c r="N48" s="157"/>
      <c r="O48" s="64"/>
      <c r="P48" s="64"/>
      <c r="Q48" s="183" t="s">
        <v>201</v>
      </c>
      <c r="R48" s="184" t="s">
        <v>202</v>
      </c>
    </row>
    <row r="49" spans="1:18" ht="18" customHeight="1">
      <c r="A49" s="65"/>
      <c r="B49" s="125" t="str">
        <f>'Cash-flow PLAN'!C35</f>
        <v>Tenant improvement</v>
      </c>
      <c r="C49" s="126">
        <v>1</v>
      </c>
      <c r="D49" s="127" t="s">
        <v>138</v>
      </c>
      <c r="E49" s="89">
        <v>11000</v>
      </c>
      <c r="F49" s="90">
        <f>SUMIF(K9:K15,"full fit-out",J9:J15)*E49</f>
        <v>9890650</v>
      </c>
      <c r="G49" s="75" t="s">
        <v>187</v>
      </c>
      <c r="H49" s="64"/>
      <c r="I49" s="157"/>
      <c r="J49" s="157"/>
      <c r="K49" s="157"/>
      <c r="L49" s="157"/>
      <c r="M49" s="157"/>
      <c r="N49" s="157"/>
      <c r="O49" s="64"/>
      <c r="P49" s="64"/>
      <c r="Q49" s="185" t="e">
        <f t="shared" ref="Q49:Q52" si="2">IF(($J$18/R49-$C$132+$J$23+#REF!+#REF!+$N$21)&gt;0,($J$18/R49-$C$132+$J$23+#REF!+#REF!+$N$21),0)</f>
        <v>#REF!</v>
      </c>
      <c r="R49" s="186">
        <f>N20</f>
        <v>7.0000000000000007E-2</v>
      </c>
    </row>
    <row r="50" spans="1:18" ht="18" customHeight="1">
      <c r="A50" s="65"/>
      <c r="B50" s="125" t="str">
        <f>'Cash-flow PLAN'!C36</f>
        <v>Tenant contribution</v>
      </c>
      <c r="C50" s="527">
        <v>1</v>
      </c>
      <c r="D50" s="577" t="s">
        <v>146</v>
      </c>
      <c r="E50" s="583">
        <v>0</v>
      </c>
      <c r="F50" s="522">
        <f>F49*E50</f>
        <v>0</v>
      </c>
      <c r="G50" s="75"/>
      <c r="H50" s="64"/>
      <c r="I50" s="64"/>
      <c r="J50" s="157"/>
      <c r="K50" s="157"/>
      <c r="L50" s="157"/>
      <c r="M50" s="157"/>
      <c r="N50" s="157"/>
      <c r="O50" s="64"/>
      <c r="P50" s="64"/>
      <c r="Q50" s="185" t="e">
        <f t="shared" si="2"/>
        <v>#REF!</v>
      </c>
      <c r="R50" s="188">
        <f t="shared" ref="R50:R52" si="3">R49+0.5%</f>
        <v>7.5000000000000011E-2</v>
      </c>
    </row>
    <row r="51" spans="1:18" ht="18" customHeight="1">
      <c r="A51" s="65"/>
      <c r="B51" s="107" t="s">
        <v>156</v>
      </c>
      <c r="C51" s="803">
        <f>SUM(F49:F50)</f>
        <v>9890650</v>
      </c>
      <c r="D51" s="798"/>
      <c r="E51" s="798"/>
      <c r="F51" s="799"/>
      <c r="G51" s="75"/>
      <c r="H51" s="64"/>
      <c r="I51" s="157"/>
      <c r="J51" s="157"/>
      <c r="K51" s="157"/>
      <c r="L51" s="157"/>
      <c r="M51" s="157"/>
      <c r="N51" s="157"/>
      <c r="O51" s="64"/>
      <c r="P51" s="64"/>
      <c r="Q51" s="185" t="e">
        <f t="shared" si="2"/>
        <v>#REF!</v>
      </c>
      <c r="R51" s="189">
        <f t="shared" si="3"/>
        <v>8.0000000000000016E-2</v>
      </c>
    </row>
    <row r="52" spans="1:18" ht="18" customHeight="1">
      <c r="A52" s="65" t="s">
        <v>203</v>
      </c>
      <c r="B52" s="111" t="s">
        <v>158</v>
      </c>
      <c r="C52" s="190"/>
      <c r="D52" s="190"/>
      <c r="E52" s="190"/>
      <c r="F52" s="112">
        <f>C51/$J$17</f>
        <v>4776.361221779548</v>
      </c>
      <c r="G52" s="75"/>
      <c r="H52" s="64"/>
      <c r="I52" s="156"/>
      <c r="J52" s="157"/>
      <c r="K52" s="157"/>
      <c r="L52" s="157"/>
      <c r="M52" s="157"/>
      <c r="N52" s="157"/>
      <c r="O52" s="64"/>
      <c r="P52" s="64"/>
      <c r="Q52" s="185" t="e">
        <f t="shared" si="2"/>
        <v>#REF!</v>
      </c>
      <c r="R52" s="584">
        <f t="shared" si="3"/>
        <v>8.500000000000002E-2</v>
      </c>
    </row>
    <row r="53" spans="1:18" ht="18" customHeight="1">
      <c r="A53" s="65"/>
      <c r="B53" s="64"/>
      <c r="C53" s="73"/>
      <c r="D53" s="74"/>
      <c r="E53" s="76"/>
      <c r="F53" s="75"/>
      <c r="G53" s="75"/>
      <c r="H53" s="64"/>
      <c r="I53" s="64"/>
      <c r="J53" s="157"/>
      <c r="K53" s="157"/>
      <c r="L53" s="157"/>
      <c r="M53" s="157"/>
      <c r="N53" s="157"/>
      <c r="O53" s="64"/>
      <c r="P53" s="64"/>
      <c r="Q53" s="191" t="e">
        <f>$J$18/R53-$C$132+#REF!+$N$21+$J$23</f>
        <v>#REF!</v>
      </c>
      <c r="R53" s="192" t="e">
        <f>J18/($C$132-#REF!-$N$21-#REF!-$J$23)</f>
        <v>#REF!</v>
      </c>
    </row>
    <row r="54" spans="1:18" ht="18" customHeight="1">
      <c r="A54" s="65"/>
      <c r="B54" s="64"/>
      <c r="C54" s="73"/>
      <c r="D54" s="74"/>
      <c r="E54" s="76"/>
      <c r="F54" s="75"/>
      <c r="G54" s="75"/>
      <c r="H54" s="64"/>
      <c r="I54" s="157"/>
      <c r="J54" s="157"/>
      <c r="K54" s="157"/>
      <c r="L54" s="157"/>
      <c r="M54" s="157"/>
      <c r="N54" s="157"/>
      <c r="O54" s="64"/>
      <c r="P54" s="64"/>
      <c r="Q54" s="64"/>
      <c r="R54" s="73"/>
    </row>
    <row r="55" spans="1:18" ht="18" customHeight="1">
      <c r="B55" s="804" t="str">
        <f>'Cash-flow PLAN'!C37</f>
        <v>E. Soft costs</v>
      </c>
      <c r="C55" s="798"/>
      <c r="D55" s="798"/>
      <c r="E55" s="798"/>
      <c r="F55" s="799"/>
      <c r="G55" s="75"/>
      <c r="H55" s="64"/>
      <c r="I55" s="182"/>
      <c r="J55" s="157"/>
      <c r="K55" s="157"/>
      <c r="L55" s="157"/>
      <c r="M55" s="157"/>
      <c r="N55" s="157"/>
      <c r="O55" s="64"/>
      <c r="P55" s="64"/>
      <c r="Q55" s="64"/>
      <c r="R55" s="64"/>
    </row>
    <row r="56" spans="1:18" ht="18" customHeight="1">
      <c r="B56" s="119"/>
      <c r="C56" s="120" t="s">
        <v>137</v>
      </c>
      <c r="D56" s="81" t="s">
        <v>163</v>
      </c>
      <c r="E56" s="120" t="s">
        <v>164</v>
      </c>
      <c r="F56" s="121"/>
      <c r="G56" s="75"/>
      <c r="H56" s="64"/>
      <c r="I56" s="157"/>
      <c r="J56" s="157"/>
      <c r="K56" s="157"/>
      <c r="L56" s="157"/>
      <c r="M56" s="157"/>
      <c r="N56" s="157"/>
      <c r="O56" s="64"/>
      <c r="P56" s="64"/>
      <c r="Q56" s="64"/>
      <c r="R56" s="73"/>
    </row>
    <row r="57" spans="1:18" ht="18" customHeight="1">
      <c r="A57" s="65"/>
      <c r="B57" s="125" t="str">
        <f>'Cash-flow PLAN'!C38</f>
        <v>Project management (Interní)</v>
      </c>
      <c r="C57" s="126">
        <v>1</v>
      </c>
      <c r="D57" s="127" t="s">
        <v>153</v>
      </c>
      <c r="E57" s="174">
        <f>F57/C43</f>
        <v>7.8150903962202443E-3</v>
      </c>
      <c r="F57" s="193">
        <v>630000</v>
      </c>
      <c r="G57" s="75" t="s">
        <v>147</v>
      </c>
      <c r="H57" s="64"/>
      <c r="I57" s="64"/>
      <c r="J57" s="157"/>
      <c r="K57" s="157"/>
      <c r="L57" s="157"/>
      <c r="M57" s="157"/>
      <c r="N57" s="157"/>
      <c r="O57" s="64"/>
      <c r="P57" s="64"/>
      <c r="Q57" s="801" t="s">
        <v>204</v>
      </c>
      <c r="R57" s="799"/>
    </row>
    <row r="58" spans="1:18" ht="18" customHeight="1">
      <c r="A58" s="65"/>
      <c r="B58" s="125" t="str">
        <f>'Cash-flow PLAN'!C39</f>
        <v>Project management (Externí)</v>
      </c>
      <c r="C58" s="126">
        <v>1</v>
      </c>
      <c r="D58" s="127" t="s">
        <v>153</v>
      </c>
      <c r="E58" s="174">
        <f>F58/C43</f>
        <v>1.4420702516834976E-2</v>
      </c>
      <c r="F58" s="129">
        <f>SUM(F59:F61)</f>
        <v>1162500</v>
      </c>
      <c r="G58" s="75" t="s">
        <v>147</v>
      </c>
      <c r="H58" s="64"/>
      <c r="I58" s="64"/>
      <c r="J58" s="157"/>
      <c r="K58" s="157"/>
      <c r="L58" s="157"/>
      <c r="M58" s="157"/>
      <c r="N58" s="157"/>
      <c r="O58" s="64"/>
      <c r="P58" s="64"/>
      <c r="Q58" s="183" t="s">
        <v>201</v>
      </c>
      <c r="R58" s="184" t="s">
        <v>205</v>
      </c>
    </row>
    <row r="59" spans="1:18" ht="18" customHeight="1">
      <c r="A59" s="65"/>
      <c r="B59" s="194" t="s">
        <v>206</v>
      </c>
      <c r="C59" s="126">
        <v>1</v>
      </c>
      <c r="D59" s="127" t="s">
        <v>153</v>
      </c>
      <c r="E59" s="174">
        <v>0</v>
      </c>
      <c r="F59" s="811">
        <f>930000+232500</f>
        <v>1162500</v>
      </c>
      <c r="G59" s="75"/>
      <c r="H59" s="64"/>
      <c r="I59" s="157"/>
      <c r="J59" s="157"/>
      <c r="K59" s="157"/>
      <c r="L59" s="157"/>
      <c r="M59" s="157"/>
      <c r="N59" s="157"/>
      <c r="O59" s="64"/>
      <c r="P59" s="64"/>
      <c r="Q59" s="185" t="e">
        <f t="shared" ref="Q59:Q62" si="4">$J$25-$C$14-$C$23-$C$43*(1+R59)-$C$51-$C$72-$C$104+$N$21+#REF!+#REF!</f>
        <v>#REF!</v>
      </c>
      <c r="R59" s="186">
        <v>0</v>
      </c>
    </row>
    <row r="60" spans="1:18" ht="18" customHeight="1">
      <c r="B60" s="194" t="s">
        <v>207</v>
      </c>
      <c r="C60" s="126">
        <v>1</v>
      </c>
      <c r="D60" s="127" t="s">
        <v>153</v>
      </c>
      <c r="E60" s="174">
        <v>0</v>
      </c>
      <c r="F60" s="812"/>
      <c r="G60" s="75"/>
      <c r="H60" s="64"/>
      <c r="I60" s="64"/>
      <c r="J60" s="157"/>
      <c r="K60" s="157"/>
      <c r="L60" s="157"/>
      <c r="M60" s="157"/>
      <c r="N60" s="157"/>
      <c r="O60" s="64"/>
      <c r="P60" s="64"/>
      <c r="Q60" s="185" t="e">
        <f t="shared" si="4"/>
        <v>#REF!</v>
      </c>
      <c r="R60" s="188">
        <v>0.1</v>
      </c>
    </row>
    <row r="61" spans="1:18" ht="18" customHeight="1">
      <c r="A61" s="65"/>
      <c r="B61" s="194" t="s">
        <v>208</v>
      </c>
      <c r="C61" s="126">
        <v>1</v>
      </c>
      <c r="D61" s="127" t="s">
        <v>153</v>
      </c>
      <c r="E61" s="174">
        <v>0</v>
      </c>
      <c r="F61" s="813"/>
      <c r="G61" s="75"/>
      <c r="H61" s="64"/>
      <c r="I61" s="157"/>
      <c r="J61" s="157"/>
      <c r="K61" s="157"/>
      <c r="L61" s="157"/>
      <c r="M61" s="157"/>
      <c r="N61" s="157"/>
      <c r="O61" s="64"/>
      <c r="P61" s="64"/>
      <c r="Q61" s="185" t="e">
        <f t="shared" si="4"/>
        <v>#REF!</v>
      </c>
      <c r="R61" s="189">
        <v>0.25</v>
      </c>
    </row>
    <row r="62" spans="1:18" ht="18" customHeight="1">
      <c r="A62" s="65"/>
      <c r="B62" s="125" t="str">
        <f>'Cash-flow PLAN'!C40</f>
        <v>Cost manager</v>
      </c>
      <c r="C62" s="126">
        <v>1</v>
      </c>
      <c r="D62" s="127" t="s">
        <v>153</v>
      </c>
      <c r="E62" s="174">
        <f>F62/C43</f>
        <v>1.0580888102158762E-2</v>
      </c>
      <c r="F62" s="129">
        <f>SUM(F63:F65)</f>
        <v>852960</v>
      </c>
      <c r="G62" s="75" t="s">
        <v>147</v>
      </c>
      <c r="H62" s="64"/>
      <c r="I62" s="157"/>
      <c r="J62" s="157"/>
      <c r="K62" s="157"/>
      <c r="L62" s="157"/>
      <c r="M62" s="157"/>
      <c r="N62" s="157"/>
      <c r="O62" s="64"/>
      <c r="P62" s="64"/>
      <c r="Q62" s="191" t="e">
        <f t="shared" si="4"/>
        <v>#REF!</v>
      </c>
      <c r="R62" s="195" t="e">
        <f>($J$25-$C$14-$C$23-$C$51-$C$72-$C$104+$N$21+#REF!+#REF!)/$C$43-1</f>
        <v>#REF!</v>
      </c>
    </row>
    <row r="63" spans="1:18" ht="18" customHeight="1">
      <c r="A63" s="65"/>
      <c r="B63" s="194" t="str">
        <f>Params!F3</f>
        <v>cost management VŘ GP</v>
      </c>
      <c r="C63" s="126">
        <v>1</v>
      </c>
      <c r="D63" s="127" t="s">
        <v>153</v>
      </c>
      <c r="E63" s="174">
        <v>0</v>
      </c>
      <c r="F63" s="196"/>
      <c r="G63" s="75"/>
      <c r="H63" s="64"/>
      <c r="I63" s="187"/>
      <c r="J63" s="157"/>
      <c r="K63" s="157"/>
      <c r="L63" s="157"/>
      <c r="M63" s="157"/>
      <c r="N63" s="157"/>
      <c r="O63" s="64"/>
      <c r="P63" s="64"/>
      <c r="Q63" s="64"/>
      <c r="R63" s="64"/>
    </row>
    <row r="64" spans="1:18" ht="18" customHeight="1">
      <c r="A64" s="65"/>
      <c r="B64" s="194" t="s">
        <v>209</v>
      </c>
      <c r="C64" s="126">
        <v>1</v>
      </c>
      <c r="D64" s="127" t="s">
        <v>153</v>
      </c>
      <c r="E64" s="174">
        <v>0</v>
      </c>
      <c r="F64" s="196">
        <v>690960</v>
      </c>
      <c r="G64" s="75"/>
      <c r="H64" s="64"/>
      <c r="I64" s="157"/>
      <c r="J64" s="157"/>
      <c r="K64" s="157"/>
      <c r="L64" s="157"/>
      <c r="M64" s="157"/>
      <c r="N64" s="157"/>
      <c r="O64" s="64"/>
      <c r="P64" s="64"/>
      <c r="Q64" s="64"/>
      <c r="R64" s="64"/>
    </row>
    <row r="65" spans="1:18" ht="18" customHeight="1">
      <c r="A65" s="65"/>
      <c r="B65" s="194" t="str">
        <f>Params!H3</f>
        <v>realizace cost management controling/měsíc</v>
      </c>
      <c r="C65" s="126">
        <v>1</v>
      </c>
      <c r="D65" s="127" t="s">
        <v>153</v>
      </c>
      <c r="E65" s="174"/>
      <c r="F65" s="196">
        <f>IF(J17&lt;Params!B4,Params!H4*R12,
    IF(AND(J17&gt;=Params!B4, J17&lt;Params!B5),Params!H5*R12,
        IF(AND(J17&gt;=Params!B5, J17&lt;Params!B6),Params!H6*R12,
            IF(J17&gt;=Params!B6,Params!H7*R12, "False")
        )
    )
)</f>
        <v>162000</v>
      </c>
      <c r="G65" s="75"/>
      <c r="H65" s="64"/>
      <c r="I65" s="157"/>
      <c r="J65" s="157"/>
      <c r="K65" s="157"/>
      <c r="L65" s="157"/>
      <c r="M65" s="157"/>
      <c r="N65" s="157"/>
      <c r="O65" s="64"/>
      <c r="P65" s="64"/>
      <c r="Q65" s="64"/>
      <c r="R65" s="64"/>
    </row>
    <row r="66" spans="1:18" ht="18" customHeight="1">
      <c r="A66" s="65" t="s">
        <v>210</v>
      </c>
      <c r="B66" s="125" t="str">
        <f>'Cash-flow PLAN'!C41</f>
        <v>Koordinátor BOZP</v>
      </c>
      <c r="C66" s="126">
        <v>1</v>
      </c>
      <c r="D66" s="127" t="s">
        <v>153</v>
      </c>
      <c r="E66" s="174">
        <f>F66/C43</f>
        <v>1.6463790434703984E-3</v>
      </c>
      <c r="F66" s="129">
        <f>IF(J17&lt;Params!B4, Params!I4*(R12),
    IF(AND(J17&gt;=Params!B4, J17&lt;Params!B5),Params!I5*(R12+1),
        IF(AND(J17&gt;=Params!B5, J17&lt;Params!B6),Params!I6*(R12+1),
            IF(J17&gt;=Params!B6,Params!I7*(R12+1), "False")
        )
    )
)</f>
        <v>132720</v>
      </c>
      <c r="G66" s="75" t="s">
        <v>147</v>
      </c>
      <c r="H66" s="64"/>
      <c r="I66" s="64"/>
      <c r="J66" s="64"/>
      <c r="K66" s="64"/>
      <c r="L66" s="64"/>
      <c r="M66" s="64"/>
      <c r="N66" s="64"/>
      <c r="O66" s="64"/>
      <c r="P66" s="64"/>
      <c r="Q66" s="801" t="s">
        <v>211</v>
      </c>
      <c r="R66" s="799"/>
    </row>
    <row r="67" spans="1:18" ht="18" customHeight="1">
      <c r="A67" s="65"/>
      <c r="B67" s="125" t="str">
        <f>'Cash-flow PLAN'!C42</f>
        <v>Administrativní náklady</v>
      </c>
      <c r="C67" s="126">
        <v>1</v>
      </c>
      <c r="D67" s="127" t="s">
        <v>153</v>
      </c>
      <c r="E67" s="174">
        <f>F67/C43</f>
        <v>1.2765672845952364E-3</v>
      </c>
      <c r="F67" s="193">
        <f>-SUM('Cash-flow 04.02.2025'!H43:R43,'Cash-flow 04.02.2025'!H44:Q44)/1.21</f>
        <v>102908.26446280992</v>
      </c>
      <c r="G67" s="75" t="s">
        <v>147</v>
      </c>
      <c r="H67" s="64"/>
      <c r="I67" s="64"/>
      <c r="J67" s="64"/>
      <c r="K67" s="64"/>
      <c r="L67" s="64"/>
      <c r="M67" s="64"/>
      <c r="N67" s="64"/>
      <c r="O67" s="64"/>
      <c r="P67" s="64"/>
      <c r="Q67" s="183" t="s">
        <v>201</v>
      </c>
      <c r="R67" s="184" t="s">
        <v>212</v>
      </c>
    </row>
    <row r="68" spans="1:18" ht="18" customHeight="1">
      <c r="A68" s="65"/>
      <c r="B68" s="125" t="str">
        <f>'Cash-flow PLAN'!C43</f>
        <v>Ostatní náklady</v>
      </c>
      <c r="C68" s="126">
        <v>1</v>
      </c>
      <c r="D68" s="173" t="s">
        <v>153</v>
      </c>
      <c r="E68" s="174">
        <v>2E-3</v>
      </c>
      <c r="F68" s="193">
        <f>-SUM('Cash-flow 04.02.2025'!H45:R45)/1.21</f>
        <v>188953.71900826448</v>
      </c>
      <c r="G68" s="75" t="s">
        <v>147</v>
      </c>
      <c r="H68" s="64"/>
      <c r="I68" s="64"/>
      <c r="J68" s="64"/>
      <c r="K68" s="64"/>
      <c r="L68" s="64"/>
      <c r="M68" s="64"/>
      <c r="N68" s="64"/>
      <c r="O68" s="64"/>
      <c r="P68" s="64"/>
      <c r="Q68" s="185" t="e">
        <f t="shared" ref="Q68:Q72" si="5">$J$25-$C$14-$C$23-$C$43-$C$51-$C$72+$N$21+#REF!+#REF!-$F$98-$F$102-$D$125*($E$100/12*(SUM($R$12:$R$13)+R68))</f>
        <v>#REF!</v>
      </c>
      <c r="R68" s="197">
        <v>0</v>
      </c>
    </row>
    <row r="69" spans="1:18" ht="18" customHeight="1">
      <c r="A69" s="65"/>
      <c r="B69" s="125" t="str">
        <f>'Cash-flow PLAN'!C44</f>
        <v>Právní služby</v>
      </c>
      <c r="C69" s="126">
        <v>1</v>
      </c>
      <c r="D69" s="173" t="s">
        <v>213</v>
      </c>
      <c r="E69" s="174">
        <f>F69/C43</f>
        <v>1.2075580782669178E-3</v>
      </c>
      <c r="F69" s="193">
        <f>-SUM('Cash-flow 04.02.2025'!H46:Q46)/1.21</f>
        <v>97345.206611570247</v>
      </c>
      <c r="G69" s="75" t="s">
        <v>147</v>
      </c>
      <c r="H69" s="64"/>
      <c r="I69" s="64"/>
      <c r="J69" s="64"/>
      <c r="K69" s="64"/>
      <c r="L69" s="64"/>
      <c r="M69" s="64"/>
      <c r="N69" s="64"/>
      <c r="O69" s="64"/>
      <c r="P69" s="64"/>
      <c r="Q69" s="185" t="e">
        <f t="shared" si="5"/>
        <v>#REF!</v>
      </c>
      <c r="R69" s="197">
        <v>6</v>
      </c>
    </row>
    <row r="70" spans="1:18" ht="18" customHeight="1">
      <c r="A70" s="65"/>
      <c r="B70" s="125" t="str">
        <f>'Cash-flow PLAN'!C45</f>
        <v>Marketing</v>
      </c>
      <c r="C70" s="126">
        <v>1</v>
      </c>
      <c r="D70" s="173" t="s">
        <v>153</v>
      </c>
      <c r="E70" s="174">
        <v>0</v>
      </c>
      <c r="F70" s="193">
        <f>$C$43*E70</f>
        <v>0</v>
      </c>
      <c r="G70" s="75" t="s">
        <v>147</v>
      </c>
      <c r="H70" s="64"/>
      <c r="I70" s="64"/>
      <c r="J70" s="64"/>
      <c r="K70" s="64"/>
      <c r="L70" s="64"/>
      <c r="M70" s="64"/>
      <c r="N70" s="64"/>
      <c r="O70" s="64"/>
      <c r="P70" s="64"/>
      <c r="Q70" s="185" t="e">
        <f t="shared" si="5"/>
        <v>#REF!</v>
      </c>
      <c r="R70" s="197">
        <v>12</v>
      </c>
    </row>
    <row r="71" spans="1:18" ht="18" customHeight="1">
      <c r="A71" s="65"/>
      <c r="B71" s="125" t="str">
        <f>'Cash-flow PLAN'!C46</f>
        <v>Letting fee</v>
      </c>
      <c r="C71" s="527">
        <v>1</v>
      </c>
      <c r="D71" s="580" t="s">
        <v>214</v>
      </c>
      <c r="E71" s="586">
        <v>0</v>
      </c>
      <c r="F71" s="587">
        <f>-SUM('Cash-flow 04.02.2025'!H48:R48)/1.21</f>
        <v>972275.60000000009</v>
      </c>
      <c r="G71" s="75" t="s">
        <v>147</v>
      </c>
      <c r="H71" s="64"/>
      <c r="I71" s="64"/>
      <c r="J71" s="64"/>
      <c r="K71" s="64"/>
      <c r="L71" s="64"/>
      <c r="M71" s="64"/>
      <c r="N71" s="64"/>
      <c r="O71" s="64"/>
      <c r="P71" s="64"/>
      <c r="Q71" s="185" t="e">
        <f t="shared" si="5"/>
        <v>#REF!</v>
      </c>
      <c r="R71" s="588">
        <v>24</v>
      </c>
    </row>
    <row r="72" spans="1:18" ht="18" customHeight="1">
      <c r="A72" s="65"/>
      <c r="B72" s="107" t="s">
        <v>156</v>
      </c>
      <c r="C72" s="803">
        <f>F57+F58+F62+F66+SUM(F67:F71)</f>
        <v>4139662.7900826447</v>
      </c>
      <c r="D72" s="798"/>
      <c r="E72" s="798"/>
      <c r="F72" s="799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191" t="e">
        <f t="shared" si="5"/>
        <v>#REF!</v>
      </c>
      <c r="R72" s="198" t="e">
        <f>(($J$25-$C$14-$C$23-$C$43-$C$51-$C$72+$N$21+#REF!-$F$98-$F$102)/D125/E100*12)-SUM($R$12:$R$13)</f>
        <v>#REF!</v>
      </c>
    </row>
    <row r="73" spans="1:18" ht="18" customHeight="1">
      <c r="A73" s="65"/>
      <c r="B73" s="111" t="s">
        <v>158</v>
      </c>
      <c r="C73" s="190"/>
      <c r="D73" s="190"/>
      <c r="E73" s="190"/>
      <c r="F73" s="112">
        <f>C72/$J$17</f>
        <v>1999.1127804334876</v>
      </c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</row>
    <row r="74" spans="1:18" ht="18" customHeight="1">
      <c r="A74" s="65"/>
      <c r="B74" s="64"/>
      <c r="C74" s="73"/>
      <c r="D74" s="74"/>
      <c r="E74" s="76"/>
      <c r="F74" s="75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</row>
    <row r="75" spans="1:18" ht="18" customHeight="1">
      <c r="A75" s="65"/>
      <c r="B75" s="64"/>
      <c r="C75" s="73"/>
      <c r="D75" s="74"/>
      <c r="E75" s="76"/>
      <c r="F75" s="75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</row>
    <row r="76" spans="1:18" ht="18" customHeight="1">
      <c r="A76" s="65"/>
      <c r="B76" s="804" t="s">
        <v>215</v>
      </c>
      <c r="C76" s="798"/>
      <c r="D76" s="798"/>
      <c r="E76" s="798"/>
      <c r="F76" s="799"/>
      <c r="G76" s="75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</row>
    <row r="77" spans="1:18" ht="18" customHeight="1">
      <c r="A77" s="65"/>
      <c r="B77" s="589"/>
      <c r="C77" s="199" t="s">
        <v>137</v>
      </c>
      <c r="D77" s="199" t="s">
        <v>163</v>
      </c>
      <c r="E77" s="200" t="s">
        <v>164</v>
      </c>
      <c r="F77" s="590"/>
      <c r="G77" s="75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</row>
    <row r="78" spans="1:18" ht="18" customHeight="1">
      <c r="A78" s="65"/>
      <c r="B78" s="201" t="s">
        <v>216</v>
      </c>
      <c r="C78" s="202">
        <v>1</v>
      </c>
      <c r="D78" s="203" t="s">
        <v>153</v>
      </c>
      <c r="E78" s="204">
        <v>0.02</v>
      </c>
      <c r="F78" s="205">
        <f>E78*SUM(F31:F38,F41,C51)</f>
        <v>751206.8</v>
      </c>
      <c r="G78" s="75" t="s">
        <v>147</v>
      </c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</row>
    <row r="79" spans="1:18" ht="18" customHeight="1">
      <c r="A79" s="65"/>
      <c r="B79" s="201" t="s">
        <v>217</v>
      </c>
      <c r="C79" s="202">
        <v>1</v>
      </c>
      <c r="D79" s="203" t="s">
        <v>153</v>
      </c>
      <c r="E79" s="204"/>
      <c r="F79" s="206">
        <f>SUM(F80:F82)</f>
        <v>1160000</v>
      </c>
      <c r="G79" s="75" t="s">
        <v>147</v>
      </c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</row>
    <row r="80" spans="1:18" ht="18" customHeight="1">
      <c r="A80" s="65"/>
      <c r="B80" s="207" t="s">
        <v>206</v>
      </c>
      <c r="C80" s="202">
        <v>1</v>
      </c>
      <c r="D80" s="203" t="s">
        <v>153</v>
      </c>
      <c r="E80" s="591"/>
      <c r="F80" s="592"/>
      <c r="G80" s="75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</row>
    <row r="81" spans="2:7" ht="18" customHeight="1">
      <c r="B81" s="207" t="s">
        <v>207</v>
      </c>
      <c r="C81" s="202">
        <v>1</v>
      </c>
      <c r="D81" s="203" t="s">
        <v>153</v>
      </c>
      <c r="E81" s="591"/>
      <c r="F81" s="592"/>
      <c r="G81" s="75"/>
    </row>
    <row r="82" spans="2:7" ht="18" customHeight="1">
      <c r="B82" s="207" t="s">
        <v>208</v>
      </c>
      <c r="C82" s="202">
        <v>1</v>
      </c>
      <c r="D82" s="203" t="s">
        <v>153</v>
      </c>
      <c r="E82" s="591"/>
      <c r="F82" s="592">
        <f>8*145000</f>
        <v>1160000</v>
      </c>
      <c r="G82" s="75"/>
    </row>
    <row r="83" spans="2:7" ht="18" customHeight="1">
      <c r="B83" s="201" t="s">
        <v>218</v>
      </c>
      <c r="C83" s="202">
        <v>1</v>
      </c>
      <c r="D83" s="203" t="s">
        <v>153</v>
      </c>
      <c r="E83" s="204"/>
      <c r="F83" s="206"/>
      <c r="G83" s="75"/>
    </row>
    <row r="84" spans="2:7" ht="18" customHeight="1">
      <c r="B84" s="207" t="s">
        <v>219</v>
      </c>
      <c r="C84" s="202">
        <v>1</v>
      </c>
      <c r="D84" s="203" t="s">
        <v>153</v>
      </c>
      <c r="E84" s="591"/>
      <c r="F84" s="592"/>
      <c r="G84" s="75"/>
    </row>
    <row r="85" spans="2:7" ht="18" customHeight="1">
      <c r="B85" s="207" t="s">
        <v>220</v>
      </c>
      <c r="C85" s="202">
        <v>1</v>
      </c>
      <c r="D85" s="203" t="s">
        <v>153</v>
      </c>
      <c r="E85" s="591"/>
      <c r="F85" s="592"/>
      <c r="G85" s="75"/>
    </row>
    <row r="86" spans="2:7" ht="18" customHeight="1">
      <c r="B86" s="207" t="s">
        <v>221</v>
      </c>
      <c r="C86" s="202">
        <v>1</v>
      </c>
      <c r="D86" s="203" t="s">
        <v>153</v>
      </c>
      <c r="E86" s="591"/>
      <c r="F86" s="592"/>
      <c r="G86" s="75"/>
    </row>
    <row r="87" spans="2:7" ht="18" customHeight="1">
      <c r="B87" s="201" t="s">
        <v>222</v>
      </c>
      <c r="C87" s="202">
        <v>1</v>
      </c>
      <c r="D87" s="203" t="s">
        <v>153</v>
      </c>
      <c r="E87" s="204"/>
      <c r="F87" s="206">
        <f>9*Params!I4</f>
        <v>170640</v>
      </c>
      <c r="G87" s="75" t="s">
        <v>147</v>
      </c>
    </row>
    <row r="88" spans="2:7" ht="18" customHeight="1">
      <c r="B88" s="201" t="s">
        <v>223</v>
      </c>
      <c r="C88" s="202">
        <v>1</v>
      </c>
      <c r="D88" s="203" t="s">
        <v>153</v>
      </c>
      <c r="E88" s="204"/>
      <c r="F88" s="205">
        <f>10000*11+3000*25</f>
        <v>185000</v>
      </c>
      <c r="G88" s="75" t="s">
        <v>187</v>
      </c>
    </row>
    <row r="89" spans="2:7" ht="18" customHeight="1">
      <c r="B89" s="201" t="s">
        <v>224</v>
      </c>
      <c r="C89" s="202">
        <v>1</v>
      </c>
      <c r="D89" s="209" t="s">
        <v>153</v>
      </c>
      <c r="E89" s="204"/>
      <c r="F89" s="205">
        <f>-SUM('Cash-flow 04.02.2025'!R45:AA45)/1.21</f>
        <v>131000</v>
      </c>
      <c r="G89" s="75" t="s">
        <v>187</v>
      </c>
    </row>
    <row r="90" spans="2:7" ht="18" customHeight="1">
      <c r="B90" s="201" t="s">
        <v>225</v>
      </c>
      <c r="C90" s="202">
        <v>1</v>
      </c>
      <c r="D90" s="209" t="s">
        <v>213</v>
      </c>
      <c r="E90" s="204"/>
      <c r="F90" s="205">
        <v>0</v>
      </c>
      <c r="G90" s="75"/>
    </row>
    <row r="91" spans="2:7" ht="18" customHeight="1">
      <c r="B91" s="201" t="s">
        <v>226</v>
      </c>
      <c r="C91" s="202">
        <v>1</v>
      </c>
      <c r="D91" s="209" t="s">
        <v>153</v>
      </c>
      <c r="E91" s="204"/>
      <c r="F91" s="205">
        <v>180000</v>
      </c>
      <c r="G91" s="75" t="s">
        <v>187</v>
      </c>
    </row>
    <row r="92" spans="2:7" ht="18" customHeight="1">
      <c r="B92" s="201" t="s">
        <v>227</v>
      </c>
      <c r="C92" s="593">
        <v>1</v>
      </c>
      <c r="D92" s="594" t="s">
        <v>214</v>
      </c>
      <c r="E92" s="595">
        <v>2</v>
      </c>
      <c r="F92" s="596">
        <f>E92*SUM(N9:N14)</f>
        <v>757207.18249999988</v>
      </c>
      <c r="G92" s="75" t="s">
        <v>187</v>
      </c>
    </row>
    <row r="93" spans="2:7" ht="18" customHeight="1">
      <c r="B93" s="107" t="s">
        <v>156</v>
      </c>
      <c r="C93" s="810">
        <f>F78+F79+F83+F87+SUM(F88:F92)</f>
        <v>3335053.9824999999</v>
      </c>
      <c r="D93" s="798"/>
      <c r="E93" s="798"/>
      <c r="F93" s="799"/>
      <c r="G93" s="75"/>
    </row>
    <row r="94" spans="2:7" ht="18" customHeight="1">
      <c r="B94" s="64"/>
      <c r="C94" s="73"/>
      <c r="D94" s="74"/>
      <c r="E94" s="76"/>
      <c r="F94" s="75"/>
      <c r="G94" s="75"/>
    </row>
    <row r="95" spans="2:7" ht="18" customHeight="1">
      <c r="B95" s="64"/>
      <c r="C95" s="73"/>
      <c r="D95" s="74"/>
      <c r="E95" s="76"/>
      <c r="F95" s="75"/>
      <c r="G95" s="75"/>
    </row>
    <row r="96" spans="2:7" ht="18" customHeight="1">
      <c r="B96" s="804" t="s">
        <v>228</v>
      </c>
      <c r="C96" s="798"/>
      <c r="D96" s="798"/>
      <c r="E96" s="798"/>
      <c r="F96" s="799"/>
      <c r="G96" s="75"/>
    </row>
    <row r="97" spans="2:7" ht="18" customHeight="1">
      <c r="B97" s="119"/>
      <c r="C97" s="120" t="s">
        <v>137</v>
      </c>
      <c r="D97" s="81" t="s">
        <v>163</v>
      </c>
      <c r="E97" s="120" t="s">
        <v>164</v>
      </c>
      <c r="F97" s="121"/>
      <c r="G97" s="75"/>
    </row>
    <row r="98" spans="2:7" ht="18" customHeight="1">
      <c r="B98" s="125" t="s">
        <v>229</v>
      </c>
      <c r="C98" s="126">
        <v>1</v>
      </c>
      <c r="D98" s="127" t="s">
        <v>153</v>
      </c>
      <c r="E98" s="174"/>
      <c r="F98" s="90">
        <v>100000</v>
      </c>
      <c r="G98" s="75" t="s">
        <v>147</v>
      </c>
    </row>
    <row r="99" spans="2:7" ht="18" customHeight="1">
      <c r="B99" s="125" t="str">
        <f>'Cash-flow PLAN'!C49</f>
        <v>Poplatek za přístav</v>
      </c>
      <c r="C99" s="126">
        <v>1</v>
      </c>
      <c r="D99" s="127" t="s">
        <v>153</v>
      </c>
      <c r="E99" s="174">
        <v>5.0000000000000001E-3</v>
      </c>
      <c r="F99" s="90"/>
      <c r="G99" s="75"/>
    </row>
    <row r="100" spans="2:7" ht="18" customHeight="1">
      <c r="B100" s="125" t="s">
        <v>230</v>
      </c>
      <c r="C100" s="126">
        <v>1</v>
      </c>
      <c r="D100" s="127" t="s">
        <v>231</v>
      </c>
      <c r="E100" s="174"/>
      <c r="F100" s="90">
        <f>-SUM('Cash-flow 04.02.2025'!M62:R62)</f>
        <v>1031193.8549999999</v>
      </c>
      <c r="G100" s="75" t="s">
        <v>147</v>
      </c>
    </row>
    <row r="101" spans="2:7" ht="18" customHeight="1">
      <c r="B101" s="210" t="s">
        <v>235</v>
      </c>
      <c r="C101" s="211">
        <v>1</v>
      </c>
      <c r="D101" s="212" t="s">
        <v>231</v>
      </c>
      <c r="E101" s="213">
        <v>5.1499999999999997E-2</v>
      </c>
      <c r="F101" s="578">
        <f>-SUM('Cash-flow 04.02.2025'!S62:AA62)</f>
        <v>1808000</v>
      </c>
      <c r="G101" s="75" t="s">
        <v>187</v>
      </c>
    </row>
    <row r="102" spans="2:7" ht="18" customHeight="1">
      <c r="B102" s="125" t="str">
        <f>'Cash-flow PLAN'!C51</f>
        <v>Bankovní poplatky</v>
      </c>
      <c r="C102" s="126">
        <v>1</v>
      </c>
      <c r="D102" s="580" t="s">
        <v>146</v>
      </c>
      <c r="E102" s="89">
        <v>2000</v>
      </c>
      <c r="F102" s="522">
        <f>-SUM('Cash-flow 04.02.2025'!H53:R53)</f>
        <v>24916.235000000001</v>
      </c>
      <c r="G102" s="75" t="s">
        <v>147</v>
      </c>
    </row>
    <row r="103" spans="2:7" ht="18" customHeight="1">
      <c r="B103" s="125" t="str">
        <f>'Cash-flow PLAN'!C52</f>
        <v>Daně</v>
      </c>
      <c r="C103" s="527">
        <v>1</v>
      </c>
      <c r="D103" s="580" t="s">
        <v>146</v>
      </c>
      <c r="E103" s="528">
        <v>0</v>
      </c>
      <c r="F103" s="522">
        <f>E103</f>
        <v>0</v>
      </c>
      <c r="G103" s="75"/>
    </row>
    <row r="104" spans="2:7" ht="18" customHeight="1">
      <c r="B104" s="107" t="s">
        <v>156</v>
      </c>
      <c r="C104" s="803">
        <f>SUM(F98:F103)</f>
        <v>2964110.09</v>
      </c>
      <c r="D104" s="798"/>
      <c r="E104" s="798"/>
      <c r="F104" s="799"/>
      <c r="G104" s="75"/>
    </row>
    <row r="105" spans="2:7" ht="18" customHeight="1">
      <c r="B105" s="111" t="s">
        <v>158</v>
      </c>
      <c r="C105" s="190"/>
      <c r="D105" s="190"/>
      <c r="E105" s="190"/>
      <c r="F105" s="112">
        <f>C104/$J$17</f>
        <v>1431.4186116141493</v>
      </c>
      <c r="G105" s="75"/>
    </row>
    <row r="106" spans="2:7" ht="18" customHeight="1">
      <c r="B106" s="64"/>
      <c r="C106" s="73"/>
      <c r="D106" s="74"/>
      <c r="E106" s="76"/>
      <c r="F106" s="75"/>
      <c r="G106" s="75"/>
    </row>
    <row r="107" spans="2:7" ht="18" customHeight="1">
      <c r="B107" s="64"/>
      <c r="C107" s="73"/>
      <c r="D107" s="74"/>
      <c r="E107" s="76"/>
      <c r="F107" s="75"/>
      <c r="G107" s="75"/>
    </row>
    <row r="108" spans="2:7" ht="18" customHeight="1">
      <c r="B108" s="804" t="s">
        <v>232</v>
      </c>
      <c r="C108" s="798"/>
      <c r="D108" s="798"/>
      <c r="E108" s="798"/>
      <c r="F108" s="799"/>
      <c r="G108" s="75"/>
    </row>
    <row r="109" spans="2:7" ht="18" customHeight="1">
      <c r="B109" s="119"/>
      <c r="C109" s="120" t="s">
        <v>137</v>
      </c>
      <c r="D109" s="81" t="s">
        <v>163</v>
      </c>
      <c r="E109" s="120" t="s">
        <v>164</v>
      </c>
      <c r="F109" s="121"/>
      <c r="G109" s="75"/>
    </row>
    <row r="110" spans="2:7" ht="18" customHeight="1">
      <c r="B110" s="125" t="s">
        <v>229</v>
      </c>
      <c r="C110" s="126">
        <v>1</v>
      </c>
      <c r="D110" s="127" t="s">
        <v>153</v>
      </c>
      <c r="E110" s="174"/>
      <c r="F110" s="90">
        <v>60000</v>
      </c>
      <c r="G110" s="75" t="s">
        <v>187</v>
      </c>
    </row>
    <row r="111" spans="2:7" ht="18" customHeight="1">
      <c r="B111" s="125" t="s">
        <v>233</v>
      </c>
      <c r="C111" s="126">
        <v>1</v>
      </c>
      <c r="D111" s="127" t="s">
        <v>153</v>
      </c>
      <c r="E111" s="174"/>
      <c r="F111" s="90">
        <v>80000</v>
      </c>
      <c r="G111" s="75" t="s">
        <v>187</v>
      </c>
    </row>
    <row r="112" spans="2:7" ht="18" customHeight="1">
      <c r="B112" s="125" t="s">
        <v>230</v>
      </c>
      <c r="C112" s="126">
        <v>1</v>
      </c>
      <c r="D112" s="127" t="s">
        <v>231</v>
      </c>
      <c r="E112" s="174">
        <v>5.8799999999999998E-2</v>
      </c>
      <c r="F112" s="90">
        <f>-SUM('Cash-flow 04.02.2025'!U61:AA61)</f>
        <v>545370</v>
      </c>
      <c r="G112" s="75" t="s">
        <v>187</v>
      </c>
    </row>
    <row r="113" spans="2:7" ht="18" customHeight="1">
      <c r="B113" s="125" t="s">
        <v>235</v>
      </c>
      <c r="C113" s="126">
        <v>1</v>
      </c>
      <c r="D113" s="127" t="s">
        <v>231</v>
      </c>
      <c r="E113" s="214"/>
      <c r="F113" s="522">
        <v>0</v>
      </c>
      <c r="G113" s="75"/>
    </row>
    <row r="114" spans="2:7" ht="18" customHeight="1">
      <c r="B114" s="125" t="s">
        <v>236</v>
      </c>
      <c r="C114" s="126">
        <v>1</v>
      </c>
      <c r="D114" s="580" t="s">
        <v>146</v>
      </c>
      <c r="E114" s="89"/>
      <c r="F114" s="522">
        <f>-SUM('Cash-flow 04.02.2025'!S53:AA53)</f>
        <v>11612.430000000002</v>
      </c>
      <c r="G114" s="75" t="s">
        <v>187</v>
      </c>
    </row>
    <row r="115" spans="2:7" ht="18" customHeight="1">
      <c r="B115" s="125" t="s">
        <v>237</v>
      </c>
      <c r="C115" s="527">
        <v>1</v>
      </c>
      <c r="D115" s="580" t="s">
        <v>146</v>
      </c>
      <c r="E115" s="528"/>
      <c r="F115" s="522">
        <v>0</v>
      </c>
      <c r="G115" s="75"/>
    </row>
    <row r="116" spans="2:7" ht="18" customHeight="1">
      <c r="B116" s="107" t="s">
        <v>156</v>
      </c>
      <c r="C116" s="803">
        <f>SUM(F110:F115)</f>
        <v>696982.43</v>
      </c>
      <c r="D116" s="798"/>
      <c r="E116" s="798"/>
      <c r="F116" s="799"/>
      <c r="G116" s="75"/>
    </row>
    <row r="117" spans="2:7" ht="18" customHeight="1">
      <c r="B117" s="64"/>
      <c r="C117" s="73"/>
      <c r="D117" s="74"/>
      <c r="E117" s="76"/>
      <c r="F117" s="75"/>
      <c r="G117" s="75"/>
    </row>
    <row r="118" spans="2:7" ht="18" customHeight="1">
      <c r="B118" s="64"/>
      <c r="C118" s="73"/>
      <c r="D118" s="74"/>
      <c r="E118" s="76"/>
      <c r="F118" s="75"/>
      <c r="G118" s="75"/>
    </row>
    <row r="119" spans="2:7" ht="18" customHeight="1">
      <c r="B119" s="64"/>
      <c r="C119" s="73"/>
      <c r="D119" s="74"/>
      <c r="E119" s="76"/>
      <c r="F119" s="75"/>
      <c r="G119" s="75"/>
    </row>
    <row r="120" spans="2:7" ht="18" customHeight="1">
      <c r="B120" s="64"/>
      <c r="C120" s="73"/>
      <c r="D120" s="74"/>
      <c r="E120" s="76"/>
      <c r="F120" s="75"/>
      <c r="G120" s="75"/>
    </row>
    <row r="121" spans="2:7" ht="18" customHeight="1">
      <c r="B121" s="64"/>
      <c r="C121" s="73"/>
      <c r="D121" s="74"/>
      <c r="E121" s="76"/>
      <c r="F121" s="75"/>
      <c r="G121" s="75"/>
    </row>
    <row r="122" spans="2:7" ht="18" customHeight="1">
      <c r="B122" s="64"/>
      <c r="C122" s="73"/>
      <c r="D122" s="74"/>
      <c r="E122" s="76"/>
      <c r="F122" s="75"/>
      <c r="G122" s="75"/>
    </row>
    <row r="123" spans="2:7" ht="18" customHeight="1">
      <c r="B123" s="64"/>
      <c r="C123" s="73"/>
      <c r="D123" s="74"/>
      <c r="E123" s="76"/>
      <c r="F123" s="75"/>
      <c r="G123" s="75"/>
    </row>
    <row r="124" spans="2:7" ht="18" customHeight="1">
      <c r="B124" s="215" t="s">
        <v>238</v>
      </c>
      <c r="C124" s="216"/>
      <c r="D124" s="217"/>
      <c r="E124" s="218"/>
      <c r="F124" s="219"/>
      <c r="G124" s="75"/>
    </row>
    <row r="125" spans="2:7" ht="18" customHeight="1">
      <c r="B125" s="597" t="s">
        <v>239</v>
      </c>
      <c r="C125" s="220"/>
      <c r="D125" s="598" t="e">
        <f>(C14+C23+C43+C51+C72+C93)*C127</f>
        <v>#REF!</v>
      </c>
      <c r="E125" s="75"/>
      <c r="F125" s="64"/>
      <c r="G125" s="75"/>
    </row>
    <row r="126" spans="2:7" ht="18" customHeight="1">
      <c r="B126" s="597" t="s">
        <v>240</v>
      </c>
      <c r="C126" s="220"/>
      <c r="D126" s="598">
        <f>(F98+F100)</f>
        <v>1131193.855</v>
      </c>
      <c r="E126" s="75"/>
      <c r="F126" s="64"/>
      <c r="G126" s="75"/>
    </row>
    <row r="127" spans="2:7" ht="18" customHeight="1">
      <c r="B127" s="599" t="s">
        <v>241</v>
      </c>
      <c r="C127" s="221">
        <v>0.65</v>
      </c>
      <c r="D127" s="600" t="e">
        <f>SUM(D125:D126)</f>
        <v>#REF!</v>
      </c>
      <c r="E127" s="75"/>
      <c r="F127" s="64"/>
      <c r="G127" s="75"/>
    </row>
    <row r="128" spans="2:7" ht="18" customHeight="1">
      <c r="B128" s="599" t="s">
        <v>242</v>
      </c>
      <c r="C128" s="221">
        <f>100%-C127</f>
        <v>0.35</v>
      </c>
      <c r="D128" s="601" t="e">
        <f>C132-D127</f>
        <v>#REF!</v>
      </c>
      <c r="E128" s="75"/>
      <c r="F128" s="64"/>
      <c r="G128" s="75"/>
    </row>
    <row r="129" spans="2:6" ht="18" customHeight="1">
      <c r="B129" s="222" t="s">
        <v>243</v>
      </c>
      <c r="C129" s="223">
        <v>1</v>
      </c>
      <c r="D129" s="602" t="e">
        <f>C132</f>
        <v>#REF!</v>
      </c>
      <c r="E129" s="75"/>
      <c r="F129" s="64"/>
    </row>
    <row r="130" spans="2:6" ht="18" customHeight="1">
      <c r="B130" s="64"/>
      <c r="C130" s="73"/>
      <c r="D130" s="74"/>
      <c r="E130" s="76"/>
      <c r="F130" s="75"/>
    </row>
    <row r="131" spans="2:6" ht="18" customHeight="1">
      <c r="B131" s="64"/>
      <c r="C131" s="73"/>
      <c r="D131" s="74"/>
      <c r="E131" s="76"/>
      <c r="F131" s="75"/>
    </row>
    <row r="132" spans="2:6" ht="18" customHeight="1">
      <c r="B132" s="224" t="s">
        <v>244</v>
      </c>
      <c r="C132" s="814" t="e">
        <f>C14+C23+C43+C51+C72+C93+C104+C116</f>
        <v>#REF!</v>
      </c>
      <c r="D132" s="798"/>
      <c r="E132" s="798"/>
      <c r="F132" s="799"/>
    </row>
    <row r="133" spans="2:6" ht="18" customHeight="1">
      <c r="B133" s="64"/>
      <c r="C133" s="73"/>
      <c r="D133" s="74"/>
      <c r="E133" s="76"/>
      <c r="F133" s="75"/>
    </row>
    <row r="134" spans="2:6" ht="18" customHeight="1">
      <c r="B134" s="225" t="s">
        <v>245</v>
      </c>
      <c r="C134" s="815" t="e">
        <f>C132/$J$17</f>
        <v>#REF!</v>
      </c>
      <c r="D134" s="798"/>
      <c r="E134" s="798"/>
      <c r="F134" s="799"/>
    </row>
  </sheetData>
  <mergeCells count="38">
    <mergeCell ref="Q66:R66"/>
    <mergeCell ref="C116:F116"/>
    <mergeCell ref="C132:F132"/>
    <mergeCell ref="C134:F134"/>
    <mergeCell ref="F59:F61"/>
    <mergeCell ref="C72:F72"/>
    <mergeCell ref="B76:F76"/>
    <mergeCell ref="C93:F93"/>
    <mergeCell ref="B96:F96"/>
    <mergeCell ref="C104:F104"/>
    <mergeCell ref="B108:F108"/>
    <mergeCell ref="B47:F47"/>
    <mergeCell ref="Q47:R47"/>
    <mergeCell ref="C51:F51"/>
    <mergeCell ref="B55:F55"/>
    <mergeCell ref="Q57:R57"/>
    <mergeCell ref="Q27:R27"/>
    <mergeCell ref="I30:I31"/>
    <mergeCell ref="M30:N31"/>
    <mergeCell ref="Q35:R35"/>
    <mergeCell ref="C43:F43"/>
    <mergeCell ref="C23:F23"/>
    <mergeCell ref="J23:N23"/>
    <mergeCell ref="J24:N24"/>
    <mergeCell ref="J25:N25"/>
    <mergeCell ref="B27:F27"/>
    <mergeCell ref="C14:F14"/>
    <mergeCell ref="B17:F17"/>
    <mergeCell ref="Q17:R17"/>
    <mergeCell ref="J18:N18"/>
    <mergeCell ref="J22:N22"/>
    <mergeCell ref="B1:N1"/>
    <mergeCell ref="B4:F4"/>
    <mergeCell ref="I4:N4"/>
    <mergeCell ref="Q4:R4"/>
    <mergeCell ref="B6:F6"/>
    <mergeCell ref="I6:N6"/>
    <mergeCell ref="Q6:R6"/>
  </mergeCells>
  <conditionalFormatting sqref="B2">
    <cfRule type="notContainsBlanks" dxfId="27" priority="5">
      <formula>LEN(TRIM(B2))&gt;0</formula>
    </cfRule>
  </conditionalFormatting>
  <conditionalFormatting sqref="I30 M30">
    <cfRule type="cellIs" dxfId="26" priority="1" operator="lessThan">
      <formula>0</formula>
    </cfRule>
  </conditionalFormatting>
  <conditionalFormatting sqref="J26:L41 I32:I41 M32:M41">
    <cfRule type="cellIs" dxfId="25" priority="2" operator="lessThan">
      <formula>0</formula>
    </cfRule>
  </conditionalFormatting>
  <conditionalFormatting sqref="J22:N22">
    <cfRule type="notContainsBlanks" dxfId="24" priority="6">
      <formula>LEN(TRIM(J22))&gt;0</formula>
    </cfRule>
  </conditionalFormatting>
  <conditionalFormatting sqref="R16 R20:R26 U22:U24 R28:R34">
    <cfRule type="cellIs" dxfId="23" priority="3" operator="lessThan">
      <formula>0</formula>
    </cfRule>
  </conditionalFormatting>
  <conditionalFormatting sqref="R36:R42">
    <cfRule type="cellIs" dxfId="22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CF18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ColWidth="12.6640625" defaultRowHeight="15" customHeight="1" outlineLevelRow="1" outlineLevelCol="2"/>
  <cols>
    <col min="1" max="1" width="2.33203125" customWidth="1"/>
    <col min="3" max="3" width="40.1640625" customWidth="1"/>
    <col min="4" max="4" width="12.6640625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8" width="6.5" customWidth="1" outlineLevel="2"/>
    <col min="29" max="29" width="6.5" customWidth="1" outlineLevel="1" collapsed="1"/>
    <col min="30" max="40" width="6.5" hidden="1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1:84">
      <c r="A1" s="226"/>
      <c r="B1" s="455" t="s">
        <v>246</v>
      </c>
      <c r="C1" s="456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6"/>
      <c r="CB1" s="226"/>
      <c r="CC1" s="226"/>
      <c r="CD1" s="226"/>
      <c r="CE1" s="226"/>
      <c r="CF1" s="226"/>
    </row>
    <row r="2" spans="1:84">
      <c r="A2" s="603"/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  <c r="CA2" s="226"/>
      <c r="CB2" s="226"/>
      <c r="CC2" s="226"/>
      <c r="CD2" s="226"/>
      <c r="CE2" s="226"/>
      <c r="CF2" s="226"/>
    </row>
    <row r="3" spans="1:84">
      <c r="A3" s="603"/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  <c r="CA3" s="226"/>
      <c r="CB3" s="226" t="s">
        <v>249</v>
      </c>
      <c r="CC3" s="226" t="s">
        <v>250</v>
      </c>
      <c r="CD3" s="226"/>
      <c r="CE3" s="226"/>
      <c r="CF3" s="226"/>
    </row>
    <row r="4" spans="1:84">
      <c r="A4" s="603"/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231">
        <v>45597</v>
      </c>
      <c r="P4" s="231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  <c r="CA4" s="226"/>
      <c r="CB4" s="226" t="s">
        <v>116</v>
      </c>
      <c r="CC4" s="226"/>
      <c r="CD4" s="226"/>
      <c r="CE4" s="226"/>
      <c r="CF4" s="226"/>
    </row>
    <row r="5" spans="1:84">
      <c r="A5" s="603"/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>
        <v>3000000</v>
      </c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5" si="0">SUM(E5:BX5)</f>
        <v>19365002</v>
      </c>
      <c r="BZ5" s="775">
        <f>SUM(BY5:BY8)</f>
        <v>22465002</v>
      </c>
      <c r="CA5" s="226"/>
      <c r="CB5" s="237">
        <f t="shared" ref="CB5:CB15" si="1">SUM(H5:CA5)</f>
        <v>61195006</v>
      </c>
      <c r="CC5" s="775">
        <f>SUM(CB5:CB8)</f>
        <v>128715673</v>
      </c>
      <c r="CD5" s="226"/>
      <c r="CE5" s="226"/>
      <c r="CF5" s="226"/>
    </row>
    <row r="6" spans="1:84">
      <c r="A6" s="603"/>
      <c r="B6" s="787"/>
      <c r="C6" s="232" t="s">
        <v>254</v>
      </c>
      <c r="D6" s="233" t="s">
        <v>253</v>
      </c>
      <c r="E6" s="235"/>
      <c r="F6" s="235"/>
      <c r="G6" s="235"/>
      <c r="H6" s="235"/>
      <c r="I6" s="235">
        <v>1000000</v>
      </c>
      <c r="J6" s="235"/>
      <c r="K6" s="235"/>
      <c r="L6" s="235"/>
      <c r="M6" s="235"/>
      <c r="N6" s="235"/>
      <c r="O6" s="235"/>
      <c r="P6" s="235">
        <v>2100000</v>
      </c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3100000</v>
      </c>
      <c r="BZ6" s="771"/>
      <c r="CA6" s="226">
        <f>9870667</f>
        <v>9870667</v>
      </c>
      <c r="CB6" s="237">
        <f t="shared" si="1"/>
        <v>16070667</v>
      </c>
      <c r="CC6" s="771"/>
      <c r="CD6" s="226"/>
      <c r="CE6" s="226"/>
      <c r="CF6" s="226"/>
    </row>
    <row r="7" spans="1:84">
      <c r="A7" s="603"/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0</v>
      </c>
      <c r="BZ7" s="771"/>
      <c r="CA7" s="226">
        <f>2100000*24.5</f>
        <v>51450000</v>
      </c>
      <c r="CB7" s="237">
        <f t="shared" si="1"/>
        <v>51450000</v>
      </c>
      <c r="CC7" s="771"/>
      <c r="CD7" s="226"/>
      <c r="CE7" s="226"/>
      <c r="CF7" s="226"/>
    </row>
    <row r="8" spans="1:84">
      <c r="A8" s="603"/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  <c r="CA8" s="226"/>
      <c r="CB8" s="241">
        <f t="shared" si="1"/>
        <v>0</v>
      </c>
      <c r="CC8" s="774"/>
      <c r="CD8" s="226"/>
      <c r="CE8" s="226"/>
      <c r="CF8" s="226"/>
    </row>
    <row r="9" spans="1:84">
      <c r="A9" s="603"/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0</v>
      </c>
      <c r="BZ9" s="775">
        <f>SUM(BY9:BY11)</f>
        <v>51450000</v>
      </c>
      <c r="CA9" s="226"/>
      <c r="CB9" s="237">
        <f t="shared" si="1"/>
        <v>51450000</v>
      </c>
      <c r="CC9" s="775">
        <f>SUM(CB9:CB11)</f>
        <v>154350000</v>
      </c>
      <c r="CD9" s="226"/>
      <c r="CE9" s="226"/>
      <c r="CF9" s="226"/>
    </row>
    <row r="10" spans="1:84">
      <c r="A10" s="603"/>
      <c r="B10" s="787"/>
      <c r="C10" s="236" t="s">
        <v>620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0</v>
      </c>
      <c r="BZ10" s="771"/>
      <c r="CA10" s="226"/>
      <c r="CB10" s="237">
        <f t="shared" si="1"/>
        <v>0</v>
      </c>
      <c r="CC10" s="771"/>
      <c r="CD10" s="226"/>
      <c r="CE10" s="226">
        <f>BY5+BY11</f>
        <v>70815002</v>
      </c>
      <c r="CF10" s="226"/>
    </row>
    <row r="11" spans="1:84">
      <c r="A11" s="603"/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>
        <f>22000000</f>
        <v>22000000</v>
      </c>
      <c r="L11" s="240"/>
      <c r="M11" s="240">
        <f>CA7-K11</f>
        <v>29450000</v>
      </c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51450000</v>
      </c>
      <c r="BZ11" s="776"/>
      <c r="CA11" s="245"/>
      <c r="CB11" s="241">
        <f t="shared" si="1"/>
        <v>102900000</v>
      </c>
      <c r="CC11" s="776"/>
      <c r="CD11" s="245"/>
      <c r="CE11" s="245">
        <f>BY11/CE10</f>
        <v>0.72654096655959988</v>
      </c>
      <c r="CF11" s="245">
        <f>BY11/2100000</f>
        <v>24.5</v>
      </c>
    </row>
    <row r="12" spans="1:84">
      <c r="A12" s="603"/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>
        <f>SUM(Rentroll!$P$2:$P$4)</f>
        <v>613346.05139999976</v>
      </c>
      <c r="R12" s="234">
        <f>SUM(Rentroll!$P$2:$P$4)</f>
        <v>613346.05139999976</v>
      </c>
      <c r="S12" s="234">
        <f>SUM(Rentroll!$P$2:$P$4)</f>
        <v>613346.05139999976</v>
      </c>
      <c r="T12" s="234">
        <f>SUM(Rentroll!$P$2:$P$4)</f>
        <v>613346.05139999976</v>
      </c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2453384.2055999991</v>
      </c>
      <c r="BZ12" s="775">
        <f>SUM(BY12:BY15)</f>
        <v>141857309.69855797</v>
      </c>
      <c r="CA12" s="226"/>
      <c r="CB12" s="237">
        <f t="shared" si="1"/>
        <v>146764078.10975796</v>
      </c>
      <c r="CC12" s="775">
        <f>SUM(CB12:CB15)</f>
        <v>425571929.09567392</v>
      </c>
      <c r="CD12" s="226"/>
      <c r="CE12" s="242">
        <f>BY5/CE10</f>
        <v>0.27345903344040012</v>
      </c>
      <c r="CF12" s="226"/>
    </row>
    <row r="13" spans="1:84">
      <c r="A13" s="603"/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>
        <f>Businessplan_prodej!J25</f>
        <v>134227900.78571424</v>
      </c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  <c r="CA13" s="226"/>
      <c r="CB13" s="237">
        <f t="shared" si="1"/>
        <v>268455801.57142848</v>
      </c>
      <c r="CC13" s="771"/>
      <c r="CD13" s="226"/>
      <c r="CE13" s="226"/>
      <c r="CF13" s="226"/>
    </row>
    <row r="14" spans="1:84">
      <c r="A14" s="603"/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/>
      <c r="J14" s="235"/>
      <c r="K14" s="235">
        <f t="shared" ref="K14:O14" si="2">-(SUM(I17,I23,I37)-SUM(I17,I23,I37)/1.21)</f>
        <v>613405.5856586257</v>
      </c>
      <c r="L14" s="235">
        <f t="shared" si="2"/>
        <v>126563.30619834713</v>
      </c>
      <c r="M14" s="235">
        <f t="shared" si="2"/>
        <v>176637.80619834713</v>
      </c>
      <c r="N14" s="235">
        <f t="shared" si="2"/>
        <v>82463.306198347069</v>
      </c>
      <c r="O14" s="235">
        <f t="shared" si="2"/>
        <v>82463.306198347069</v>
      </c>
      <c r="P14" s="235">
        <f>-O15+4000000-(SUM(M17,M23,M37)-SUM(M17,M23,M37)/1.21)</f>
        <v>-757536.69380165287</v>
      </c>
      <c r="Q14" s="235">
        <f>-(SUM(M17,M23,M37)-SUM(M17,M23,M37)/1.21)</f>
        <v>82463.306198347069</v>
      </c>
      <c r="R14" s="235">
        <f>-(SUM(Rentroll!$K$2:$K$4)+Rentroll!$N$2)-(SUM(M17,M23,M37)-SUM(M17,M23,M37)/1.21)</f>
        <v>-23478.405201652917</v>
      </c>
      <c r="S14" s="235">
        <f>-(SUM(Rentroll!$K$2:$K$4)+Rentroll!$N$2)-(SUM(M17,M23,M37)-SUM(M17,M23,M37)/1.21)</f>
        <v>-23478.405201652917</v>
      </c>
      <c r="T14" s="235">
        <f>-(SUM(Rentroll!$K$2:$K$4)+Rentroll!$N$2)-(SUM(N17,N23,N37)-SUM(N17,N23,N37)/1.21)</f>
        <v>-23478.405201652917</v>
      </c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336024.7072437497</v>
      </c>
      <c r="BZ14" s="771"/>
      <c r="CA14" s="226"/>
      <c r="CB14" s="237">
        <f t="shared" si="1"/>
        <v>672049.41448749939</v>
      </c>
      <c r="CC14" s="771"/>
      <c r="CD14" s="226"/>
      <c r="CE14" s="226"/>
      <c r="CF14" s="226"/>
    </row>
    <row r="15" spans="1:84">
      <c r="A15" s="603"/>
      <c r="B15" s="768"/>
      <c r="C15" s="238" t="s">
        <v>265</v>
      </c>
      <c r="D15" s="239" t="s">
        <v>264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>
        <f>4000000*1.21</f>
        <v>4840000</v>
      </c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38"/>
      <c r="BY15" s="241">
        <f t="shared" si="0"/>
        <v>4840000</v>
      </c>
      <c r="BZ15" s="776"/>
      <c r="CA15" s="226"/>
      <c r="CB15" s="241">
        <f t="shared" si="1"/>
        <v>9680000</v>
      </c>
      <c r="CC15" s="776"/>
      <c r="CD15" s="226"/>
      <c r="CE15" s="226"/>
      <c r="CF15" s="226"/>
    </row>
    <row r="16" spans="1:84" ht="16">
      <c r="A16" s="603"/>
      <c r="B16" s="788" t="s">
        <v>266</v>
      </c>
      <c r="C16" s="774"/>
      <c r="D16" s="246"/>
      <c r="E16" s="247">
        <f t="shared" ref="E16:BX16" si="3">SUM(E5:E15)</f>
        <v>0</v>
      </c>
      <c r="F16" s="247">
        <f t="shared" si="3"/>
        <v>0</v>
      </c>
      <c r="G16" s="247">
        <f t="shared" si="3"/>
        <v>0</v>
      </c>
      <c r="H16" s="247">
        <f t="shared" si="3"/>
        <v>16365002</v>
      </c>
      <c r="I16" s="247">
        <f t="shared" si="3"/>
        <v>1000000</v>
      </c>
      <c r="J16" s="247">
        <f t="shared" si="3"/>
        <v>0</v>
      </c>
      <c r="K16" s="247">
        <f t="shared" si="3"/>
        <v>22613405.585658625</v>
      </c>
      <c r="L16" s="247">
        <f t="shared" si="3"/>
        <v>126563.30619834713</v>
      </c>
      <c r="M16" s="247">
        <f t="shared" si="3"/>
        <v>29626637.806198347</v>
      </c>
      <c r="N16" s="247">
        <f t="shared" si="3"/>
        <v>82463.306198347069</v>
      </c>
      <c r="O16" s="247">
        <f t="shared" si="3"/>
        <v>7922463.3061983474</v>
      </c>
      <c r="P16" s="247">
        <f t="shared" si="3"/>
        <v>1342463.3061983471</v>
      </c>
      <c r="Q16" s="247">
        <f t="shared" si="3"/>
        <v>695809.35759834689</v>
      </c>
      <c r="R16" s="247">
        <f t="shared" si="3"/>
        <v>589867.64619834686</v>
      </c>
      <c r="S16" s="247">
        <f t="shared" si="3"/>
        <v>589867.64619834686</v>
      </c>
      <c r="T16" s="247">
        <f t="shared" si="3"/>
        <v>134817768.4319126</v>
      </c>
      <c r="U16" s="247">
        <f t="shared" si="3"/>
        <v>0</v>
      </c>
      <c r="V16" s="247">
        <f t="shared" si="3"/>
        <v>0</v>
      </c>
      <c r="W16" s="247">
        <f t="shared" si="3"/>
        <v>0</v>
      </c>
      <c r="X16" s="247">
        <f t="shared" si="3"/>
        <v>0</v>
      </c>
      <c r="Y16" s="247">
        <f t="shared" si="3"/>
        <v>0</v>
      </c>
      <c r="Z16" s="247">
        <f t="shared" si="3"/>
        <v>0</v>
      </c>
      <c r="AA16" s="247">
        <f t="shared" si="3"/>
        <v>0</v>
      </c>
      <c r="AB16" s="247">
        <f t="shared" si="3"/>
        <v>0</v>
      </c>
      <c r="AC16" s="247">
        <f t="shared" si="3"/>
        <v>0</v>
      </c>
      <c r="AD16" s="247">
        <f t="shared" si="3"/>
        <v>0</v>
      </c>
      <c r="AE16" s="247">
        <f t="shared" si="3"/>
        <v>0</v>
      </c>
      <c r="AF16" s="247">
        <f t="shared" si="3"/>
        <v>0</v>
      </c>
      <c r="AG16" s="247">
        <f t="shared" si="3"/>
        <v>0</v>
      </c>
      <c r="AH16" s="247">
        <f t="shared" si="3"/>
        <v>0</v>
      </c>
      <c r="AI16" s="247">
        <f t="shared" si="3"/>
        <v>0</v>
      </c>
      <c r="AJ16" s="247">
        <f t="shared" si="3"/>
        <v>0</v>
      </c>
      <c r="AK16" s="247">
        <f t="shared" si="3"/>
        <v>0</v>
      </c>
      <c r="AL16" s="247">
        <f t="shared" si="3"/>
        <v>0</v>
      </c>
      <c r="AM16" s="247">
        <f t="shared" si="3"/>
        <v>0</v>
      </c>
      <c r="AN16" s="247">
        <f t="shared" si="3"/>
        <v>0</v>
      </c>
      <c r="AO16" s="247">
        <f t="shared" si="3"/>
        <v>0</v>
      </c>
      <c r="AP16" s="247">
        <f t="shared" si="3"/>
        <v>0</v>
      </c>
      <c r="AQ16" s="247">
        <f t="shared" si="3"/>
        <v>0</v>
      </c>
      <c r="AR16" s="247">
        <f t="shared" si="3"/>
        <v>0</v>
      </c>
      <c r="AS16" s="247">
        <f t="shared" si="3"/>
        <v>0</v>
      </c>
      <c r="AT16" s="247">
        <f t="shared" si="3"/>
        <v>0</v>
      </c>
      <c r="AU16" s="247">
        <f t="shared" si="3"/>
        <v>0</v>
      </c>
      <c r="AV16" s="247">
        <f t="shared" si="3"/>
        <v>0</v>
      </c>
      <c r="AW16" s="247">
        <f t="shared" si="3"/>
        <v>0</v>
      </c>
      <c r="AX16" s="247">
        <f t="shared" si="3"/>
        <v>0</v>
      </c>
      <c r="AY16" s="247">
        <f t="shared" si="3"/>
        <v>0</v>
      </c>
      <c r="AZ16" s="247">
        <f t="shared" si="3"/>
        <v>0</v>
      </c>
      <c r="BA16" s="247">
        <f t="shared" si="3"/>
        <v>0</v>
      </c>
      <c r="BB16" s="247">
        <f t="shared" si="3"/>
        <v>0</v>
      </c>
      <c r="BC16" s="247">
        <f t="shared" si="3"/>
        <v>0</v>
      </c>
      <c r="BD16" s="247">
        <f t="shared" si="3"/>
        <v>0</v>
      </c>
      <c r="BE16" s="247">
        <f t="shared" si="3"/>
        <v>0</v>
      </c>
      <c r="BF16" s="247">
        <f t="shared" si="3"/>
        <v>0</v>
      </c>
      <c r="BG16" s="247">
        <f t="shared" si="3"/>
        <v>0</v>
      </c>
      <c r="BH16" s="247">
        <f t="shared" si="3"/>
        <v>0</v>
      </c>
      <c r="BI16" s="247">
        <f t="shared" si="3"/>
        <v>0</v>
      </c>
      <c r="BJ16" s="247">
        <f t="shared" si="3"/>
        <v>0</v>
      </c>
      <c r="BK16" s="247">
        <f t="shared" si="3"/>
        <v>0</v>
      </c>
      <c r="BL16" s="247">
        <f t="shared" si="3"/>
        <v>0</v>
      </c>
      <c r="BM16" s="247">
        <f t="shared" si="3"/>
        <v>0</v>
      </c>
      <c r="BN16" s="247">
        <f t="shared" si="3"/>
        <v>0</v>
      </c>
      <c r="BO16" s="247">
        <f t="shared" si="3"/>
        <v>0</v>
      </c>
      <c r="BP16" s="247">
        <f t="shared" si="3"/>
        <v>0</v>
      </c>
      <c r="BQ16" s="247">
        <f t="shared" si="3"/>
        <v>0</v>
      </c>
      <c r="BR16" s="247">
        <f t="shared" si="3"/>
        <v>0</v>
      </c>
      <c r="BS16" s="247">
        <f t="shared" si="3"/>
        <v>0</v>
      </c>
      <c r="BT16" s="247">
        <f t="shared" si="3"/>
        <v>0</v>
      </c>
      <c r="BU16" s="247">
        <f t="shared" si="3"/>
        <v>0</v>
      </c>
      <c r="BV16" s="247">
        <f t="shared" si="3"/>
        <v>0</v>
      </c>
      <c r="BW16" s="247">
        <f t="shared" si="3"/>
        <v>0</v>
      </c>
      <c r="BX16" s="247">
        <f t="shared" si="3"/>
        <v>0</v>
      </c>
      <c r="BY16" s="778">
        <f>BZ5+BZ9+BZ12</f>
        <v>215772311.69855797</v>
      </c>
      <c r="BZ16" s="774"/>
      <c r="CA16" s="226"/>
      <c r="CB16" s="778">
        <f>CC5+CC9+CC12</f>
        <v>708637602.09567392</v>
      </c>
      <c r="CC16" s="774"/>
      <c r="CD16" s="226"/>
      <c r="CE16" s="226"/>
      <c r="CF16" s="226"/>
    </row>
    <row r="17" spans="1:81" ht="16">
      <c r="A17" s="603"/>
      <c r="B17" s="789" t="s">
        <v>267</v>
      </c>
      <c r="C17" s="248" t="s">
        <v>268</v>
      </c>
      <c r="D17" s="249"/>
      <c r="E17" s="250">
        <f t="shared" ref="E17:BY17" si="4">SUM(E18:E22)</f>
        <v>0</v>
      </c>
      <c r="F17" s="250">
        <f t="shared" si="4"/>
        <v>0</v>
      </c>
      <c r="G17" s="250">
        <f t="shared" si="4"/>
        <v>0</v>
      </c>
      <c r="H17" s="250">
        <f t="shared" si="4"/>
        <v>-10620712</v>
      </c>
      <c r="I17" s="250">
        <f t="shared" si="4"/>
        <v>-836061.6</v>
      </c>
      <c r="J17" s="250">
        <f t="shared" si="4"/>
        <v>0</v>
      </c>
      <c r="K17" s="250">
        <f t="shared" si="4"/>
        <v>0</v>
      </c>
      <c r="L17" s="250">
        <f t="shared" si="4"/>
        <v>0</v>
      </c>
      <c r="M17" s="250">
        <f t="shared" si="4"/>
        <v>0</v>
      </c>
      <c r="N17" s="250">
        <f t="shared" si="4"/>
        <v>0</v>
      </c>
      <c r="O17" s="250">
        <f t="shared" si="4"/>
        <v>0</v>
      </c>
      <c r="P17" s="250">
        <f t="shared" si="4"/>
        <v>0</v>
      </c>
      <c r="Q17" s="250">
        <f t="shared" si="4"/>
        <v>0</v>
      </c>
      <c r="R17" s="250">
        <f t="shared" si="4"/>
        <v>0</v>
      </c>
      <c r="S17" s="250">
        <f t="shared" si="4"/>
        <v>0</v>
      </c>
      <c r="T17" s="250">
        <f t="shared" si="4"/>
        <v>0</v>
      </c>
      <c r="U17" s="250">
        <f t="shared" si="4"/>
        <v>0</v>
      </c>
      <c r="V17" s="250">
        <f t="shared" si="4"/>
        <v>0</v>
      </c>
      <c r="W17" s="250">
        <f t="shared" si="4"/>
        <v>0</v>
      </c>
      <c r="X17" s="250">
        <f t="shared" si="4"/>
        <v>0</v>
      </c>
      <c r="Y17" s="250">
        <f t="shared" si="4"/>
        <v>0</v>
      </c>
      <c r="Z17" s="250">
        <f t="shared" si="4"/>
        <v>0</v>
      </c>
      <c r="AA17" s="250">
        <f t="shared" si="4"/>
        <v>0</v>
      </c>
      <c r="AB17" s="250">
        <f t="shared" si="4"/>
        <v>0</v>
      </c>
      <c r="AC17" s="250">
        <f t="shared" si="4"/>
        <v>0</v>
      </c>
      <c r="AD17" s="250">
        <f t="shared" si="4"/>
        <v>0</v>
      </c>
      <c r="AE17" s="250">
        <f t="shared" si="4"/>
        <v>0</v>
      </c>
      <c r="AF17" s="250">
        <f t="shared" si="4"/>
        <v>0</v>
      </c>
      <c r="AG17" s="250">
        <f t="shared" si="4"/>
        <v>0</v>
      </c>
      <c r="AH17" s="250">
        <f t="shared" si="4"/>
        <v>0</v>
      </c>
      <c r="AI17" s="250">
        <f t="shared" si="4"/>
        <v>0</v>
      </c>
      <c r="AJ17" s="250">
        <f t="shared" si="4"/>
        <v>0</v>
      </c>
      <c r="AK17" s="250">
        <f t="shared" si="4"/>
        <v>0</v>
      </c>
      <c r="AL17" s="250">
        <f t="shared" si="4"/>
        <v>0</v>
      </c>
      <c r="AM17" s="250">
        <f t="shared" si="4"/>
        <v>0</v>
      </c>
      <c r="AN17" s="250">
        <f t="shared" si="4"/>
        <v>0</v>
      </c>
      <c r="AO17" s="250">
        <f t="shared" si="4"/>
        <v>0</v>
      </c>
      <c r="AP17" s="250">
        <f t="shared" si="4"/>
        <v>0</v>
      </c>
      <c r="AQ17" s="250">
        <f t="shared" si="4"/>
        <v>0</v>
      </c>
      <c r="AR17" s="250">
        <f t="shared" si="4"/>
        <v>0</v>
      </c>
      <c r="AS17" s="250">
        <f t="shared" si="4"/>
        <v>0</v>
      </c>
      <c r="AT17" s="250">
        <f t="shared" si="4"/>
        <v>0</v>
      </c>
      <c r="AU17" s="250">
        <f t="shared" si="4"/>
        <v>0</v>
      </c>
      <c r="AV17" s="250">
        <f t="shared" si="4"/>
        <v>0</v>
      </c>
      <c r="AW17" s="250">
        <f t="shared" si="4"/>
        <v>0</v>
      </c>
      <c r="AX17" s="250">
        <f t="shared" si="4"/>
        <v>0</v>
      </c>
      <c r="AY17" s="250">
        <f t="shared" si="4"/>
        <v>0</v>
      </c>
      <c r="AZ17" s="250">
        <f t="shared" si="4"/>
        <v>0</v>
      </c>
      <c r="BA17" s="250">
        <f t="shared" si="4"/>
        <v>0</v>
      </c>
      <c r="BB17" s="250">
        <f t="shared" si="4"/>
        <v>0</v>
      </c>
      <c r="BC17" s="250">
        <f t="shared" si="4"/>
        <v>0</v>
      </c>
      <c r="BD17" s="250">
        <f t="shared" si="4"/>
        <v>0</v>
      </c>
      <c r="BE17" s="250">
        <f t="shared" si="4"/>
        <v>0</v>
      </c>
      <c r="BF17" s="250">
        <f t="shared" si="4"/>
        <v>0</v>
      </c>
      <c r="BG17" s="250">
        <f t="shared" si="4"/>
        <v>0</v>
      </c>
      <c r="BH17" s="250">
        <f t="shared" si="4"/>
        <v>0</v>
      </c>
      <c r="BI17" s="250">
        <f t="shared" si="4"/>
        <v>0</v>
      </c>
      <c r="BJ17" s="250">
        <f t="shared" si="4"/>
        <v>0</v>
      </c>
      <c r="BK17" s="250">
        <f t="shared" si="4"/>
        <v>0</v>
      </c>
      <c r="BL17" s="250">
        <f t="shared" si="4"/>
        <v>0</v>
      </c>
      <c r="BM17" s="250">
        <f t="shared" si="4"/>
        <v>0</v>
      </c>
      <c r="BN17" s="250">
        <f t="shared" si="4"/>
        <v>0</v>
      </c>
      <c r="BO17" s="250">
        <f t="shared" si="4"/>
        <v>0</v>
      </c>
      <c r="BP17" s="250">
        <f t="shared" si="4"/>
        <v>0</v>
      </c>
      <c r="BQ17" s="250">
        <f t="shared" si="4"/>
        <v>0</v>
      </c>
      <c r="BR17" s="250">
        <f t="shared" si="4"/>
        <v>0</v>
      </c>
      <c r="BS17" s="250">
        <f t="shared" si="4"/>
        <v>0</v>
      </c>
      <c r="BT17" s="250">
        <f t="shared" si="4"/>
        <v>0</v>
      </c>
      <c r="BU17" s="250">
        <f t="shared" si="4"/>
        <v>0</v>
      </c>
      <c r="BV17" s="250">
        <f t="shared" si="4"/>
        <v>0</v>
      </c>
      <c r="BW17" s="250">
        <f t="shared" si="4"/>
        <v>0</v>
      </c>
      <c r="BX17" s="250">
        <f t="shared" si="4"/>
        <v>0</v>
      </c>
      <c r="BY17" s="251">
        <f t="shared" si="4"/>
        <v>-11456773.6</v>
      </c>
      <c r="BZ17" s="777">
        <f>BY17+BY23+BY26+BY34+BY37+BY47+BY53+BY61+BY85</f>
        <v>-82154986.544424996</v>
      </c>
      <c r="CA17" s="226"/>
      <c r="CB17" s="252" t="e">
        <f t="array" ref="CB17">SUM(INDEX(E17:BX17, , 1):INDEX(E17:BX17, ,MATCH($CB$4, $E$3:$BX$3,0) ))</f>
        <v>#N/A</v>
      </c>
      <c r="CC17" s="777" t="e">
        <f>CB17+CB23+CB26+CB34+CB37+CB47+CB53+CB61+CB85</f>
        <v>#N/A</v>
      </c>
    </row>
    <row r="18" spans="1:81" ht="16" outlineLevel="1">
      <c r="A18" s="603"/>
      <c r="B18" s="787"/>
      <c r="C18" s="253" t="s">
        <v>621</v>
      </c>
      <c r="D18" s="254" t="s">
        <v>270</v>
      </c>
      <c r="E18" s="255"/>
      <c r="F18" s="255"/>
      <c r="G18" s="255"/>
      <c r="H18" s="255">
        <f>-8458812-2161900</f>
        <v>-10620712</v>
      </c>
      <c r="I18" s="255">
        <f>-(245000+189000+100000+138000+18960)*1.21</f>
        <v>-836061.6</v>
      </c>
      <c r="J18" s="255"/>
      <c r="K18" s="255"/>
      <c r="L18" s="255"/>
      <c r="M18" s="255"/>
      <c r="N18" s="255"/>
      <c r="O18" s="255"/>
      <c r="P18" s="255"/>
      <c r="Q18" s="255"/>
      <c r="R18" s="255"/>
      <c r="S18" s="255"/>
      <c r="T18" s="255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7">
        <f t="shared" ref="BY18:BY22" si="5">SUM(E18:BX18)</f>
        <v>-11456773.6</v>
      </c>
      <c r="BZ18" s="771"/>
      <c r="CA18" s="226"/>
      <c r="CB18" s="252" t="e">
        <f t="shared" ref="CB18:CB22" si="6">SUM(INDEX(AC18:BX18, , 1):INDEX(AC18:BX18, ,MATCH($CB$4, $E$3:$BX$3,0) ))</f>
        <v>#N/A</v>
      </c>
      <c r="CC18" s="771"/>
    </row>
    <row r="19" spans="1:81" ht="16" outlineLevel="1">
      <c r="A19" s="603"/>
      <c r="B19" s="787"/>
      <c r="C19" s="253" t="s">
        <v>271</v>
      </c>
      <c r="D19" s="254" t="s">
        <v>270</v>
      </c>
      <c r="E19" s="255"/>
      <c r="F19" s="255"/>
      <c r="G19" s="255"/>
      <c r="H19" s="255"/>
      <c r="I19" s="255"/>
      <c r="J19" s="255"/>
      <c r="K19" s="255"/>
      <c r="L19" s="255"/>
      <c r="M19" s="255"/>
      <c r="N19" s="255"/>
      <c r="O19" s="255"/>
      <c r="P19" s="255"/>
      <c r="Q19" s="255"/>
      <c r="R19" s="255"/>
      <c r="S19" s="255"/>
      <c r="T19" s="255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si="5"/>
        <v>0</v>
      </c>
      <c r="BZ19" s="771"/>
      <c r="CA19" s="226"/>
      <c r="CB19" s="252" t="e">
        <f t="shared" si="6"/>
        <v>#N/A</v>
      </c>
      <c r="CC19" s="771"/>
    </row>
    <row r="20" spans="1:81" ht="16" outlineLevel="1">
      <c r="A20" s="603"/>
      <c r="B20" s="787"/>
      <c r="C20" s="253" t="s">
        <v>272</v>
      </c>
      <c r="D20" s="254" t="s">
        <v>270</v>
      </c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5"/>
        <v>0</v>
      </c>
      <c r="BZ20" s="771"/>
      <c r="CA20" s="226"/>
      <c r="CB20" s="252" t="e">
        <f t="shared" si="6"/>
        <v>#N/A</v>
      </c>
      <c r="CC20" s="771"/>
    </row>
    <row r="21" spans="1:81" ht="16" outlineLevel="1">
      <c r="A21" s="603"/>
      <c r="B21" s="787"/>
      <c r="C21" s="253" t="s">
        <v>273</v>
      </c>
      <c r="D21" s="254" t="s">
        <v>270</v>
      </c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5"/>
        <v>0</v>
      </c>
      <c r="BZ21" s="771"/>
      <c r="CA21" s="226"/>
      <c r="CB21" s="252" t="e">
        <f t="shared" si="6"/>
        <v>#N/A</v>
      </c>
      <c r="CC21" s="771"/>
    </row>
    <row r="22" spans="1:81" ht="16" outlineLevel="1">
      <c r="A22" s="603"/>
      <c r="B22" s="787"/>
      <c r="C22" s="253" t="s">
        <v>274</v>
      </c>
      <c r="D22" s="258" t="s">
        <v>270</v>
      </c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5"/>
        <v>0</v>
      </c>
      <c r="BZ22" s="771"/>
      <c r="CA22" s="226"/>
      <c r="CB22" s="252" t="e">
        <f t="shared" si="6"/>
        <v>#N/A</v>
      </c>
      <c r="CC22" s="771"/>
    </row>
    <row r="23" spans="1:81" ht="16">
      <c r="A23" s="603"/>
      <c r="B23" s="787"/>
      <c r="C23" s="248" t="s">
        <v>275</v>
      </c>
      <c r="D23" s="249"/>
      <c r="E23" s="250">
        <f t="shared" ref="E23:BY23" si="7">SUM(E24:E25)</f>
        <v>0</v>
      </c>
      <c r="F23" s="250">
        <f t="shared" si="7"/>
        <v>0</v>
      </c>
      <c r="G23" s="250">
        <f t="shared" si="7"/>
        <v>0</v>
      </c>
      <c r="H23" s="250">
        <f t="shared" si="7"/>
        <v>0</v>
      </c>
      <c r="I23" s="250">
        <f t="shared" si="7"/>
        <v>-366025</v>
      </c>
      <c r="J23" s="250">
        <f t="shared" si="7"/>
        <v>0</v>
      </c>
      <c r="K23" s="250">
        <f t="shared" si="7"/>
        <v>-288524.5</v>
      </c>
      <c r="L23" s="250">
        <f t="shared" si="7"/>
        <v>0</v>
      </c>
      <c r="M23" s="250">
        <f t="shared" si="7"/>
        <v>0</v>
      </c>
      <c r="N23" s="250">
        <f t="shared" si="7"/>
        <v>0</v>
      </c>
      <c r="O23" s="250">
        <f t="shared" si="7"/>
        <v>0</v>
      </c>
      <c r="P23" s="250">
        <f t="shared" si="7"/>
        <v>0</v>
      </c>
      <c r="Q23" s="250">
        <f t="shared" si="7"/>
        <v>0</v>
      </c>
      <c r="R23" s="250">
        <f t="shared" si="7"/>
        <v>0</v>
      </c>
      <c r="S23" s="250">
        <f t="shared" si="7"/>
        <v>0</v>
      </c>
      <c r="T23" s="250">
        <f t="shared" si="7"/>
        <v>0</v>
      </c>
      <c r="U23" s="250">
        <f t="shared" si="7"/>
        <v>0</v>
      </c>
      <c r="V23" s="250">
        <f t="shared" si="7"/>
        <v>0</v>
      </c>
      <c r="W23" s="250">
        <f t="shared" si="7"/>
        <v>0</v>
      </c>
      <c r="X23" s="250">
        <f t="shared" si="7"/>
        <v>0</v>
      </c>
      <c r="Y23" s="250">
        <f t="shared" si="7"/>
        <v>0</v>
      </c>
      <c r="Z23" s="250">
        <f t="shared" si="7"/>
        <v>0</v>
      </c>
      <c r="AA23" s="250">
        <f t="shared" si="7"/>
        <v>0</v>
      </c>
      <c r="AB23" s="250">
        <f t="shared" si="7"/>
        <v>0</v>
      </c>
      <c r="AC23" s="250">
        <f t="shared" si="7"/>
        <v>0</v>
      </c>
      <c r="AD23" s="250">
        <f t="shared" si="7"/>
        <v>0</v>
      </c>
      <c r="AE23" s="250">
        <f t="shared" si="7"/>
        <v>0</v>
      </c>
      <c r="AF23" s="250">
        <f t="shared" si="7"/>
        <v>0</v>
      </c>
      <c r="AG23" s="250">
        <f t="shared" si="7"/>
        <v>0</v>
      </c>
      <c r="AH23" s="250">
        <f t="shared" si="7"/>
        <v>0</v>
      </c>
      <c r="AI23" s="250">
        <f t="shared" si="7"/>
        <v>0</v>
      </c>
      <c r="AJ23" s="250">
        <f t="shared" si="7"/>
        <v>0</v>
      </c>
      <c r="AK23" s="250">
        <f t="shared" si="7"/>
        <v>0</v>
      </c>
      <c r="AL23" s="250">
        <f t="shared" si="7"/>
        <v>0</v>
      </c>
      <c r="AM23" s="250">
        <f t="shared" si="7"/>
        <v>0</v>
      </c>
      <c r="AN23" s="250">
        <f t="shared" si="7"/>
        <v>0</v>
      </c>
      <c r="AO23" s="250">
        <f t="shared" si="7"/>
        <v>0</v>
      </c>
      <c r="AP23" s="250">
        <f t="shared" si="7"/>
        <v>0</v>
      </c>
      <c r="AQ23" s="250">
        <f t="shared" si="7"/>
        <v>0</v>
      </c>
      <c r="AR23" s="250">
        <f t="shared" si="7"/>
        <v>0</v>
      </c>
      <c r="AS23" s="250">
        <f t="shared" si="7"/>
        <v>0</v>
      </c>
      <c r="AT23" s="250">
        <f t="shared" si="7"/>
        <v>0</v>
      </c>
      <c r="AU23" s="250">
        <f t="shared" si="7"/>
        <v>0</v>
      </c>
      <c r="AV23" s="250">
        <f t="shared" si="7"/>
        <v>0</v>
      </c>
      <c r="AW23" s="250">
        <f t="shared" si="7"/>
        <v>0</v>
      </c>
      <c r="AX23" s="250">
        <f t="shared" si="7"/>
        <v>0</v>
      </c>
      <c r="AY23" s="250">
        <f t="shared" si="7"/>
        <v>0</v>
      </c>
      <c r="AZ23" s="250">
        <f t="shared" si="7"/>
        <v>0</v>
      </c>
      <c r="BA23" s="250">
        <f t="shared" si="7"/>
        <v>0</v>
      </c>
      <c r="BB23" s="250">
        <f t="shared" si="7"/>
        <v>0</v>
      </c>
      <c r="BC23" s="250">
        <f t="shared" si="7"/>
        <v>0</v>
      </c>
      <c r="BD23" s="250">
        <f t="shared" si="7"/>
        <v>0</v>
      </c>
      <c r="BE23" s="250">
        <f t="shared" si="7"/>
        <v>0</v>
      </c>
      <c r="BF23" s="250">
        <f t="shared" si="7"/>
        <v>0</v>
      </c>
      <c r="BG23" s="250">
        <f t="shared" si="7"/>
        <v>0</v>
      </c>
      <c r="BH23" s="250">
        <f t="shared" si="7"/>
        <v>0</v>
      </c>
      <c r="BI23" s="250">
        <f t="shared" si="7"/>
        <v>0</v>
      </c>
      <c r="BJ23" s="250">
        <f t="shared" si="7"/>
        <v>0</v>
      </c>
      <c r="BK23" s="250">
        <f t="shared" si="7"/>
        <v>0</v>
      </c>
      <c r="BL23" s="250">
        <f t="shared" si="7"/>
        <v>0</v>
      </c>
      <c r="BM23" s="250">
        <f t="shared" si="7"/>
        <v>0</v>
      </c>
      <c r="BN23" s="250">
        <f t="shared" si="7"/>
        <v>0</v>
      </c>
      <c r="BO23" s="250">
        <f t="shared" si="7"/>
        <v>0</v>
      </c>
      <c r="BP23" s="250">
        <f t="shared" si="7"/>
        <v>0</v>
      </c>
      <c r="BQ23" s="250">
        <f t="shared" si="7"/>
        <v>0</v>
      </c>
      <c r="BR23" s="250">
        <f t="shared" si="7"/>
        <v>0</v>
      </c>
      <c r="BS23" s="250">
        <f t="shared" si="7"/>
        <v>0</v>
      </c>
      <c r="BT23" s="250">
        <f t="shared" si="7"/>
        <v>0</v>
      </c>
      <c r="BU23" s="250">
        <f t="shared" si="7"/>
        <v>0</v>
      </c>
      <c r="BV23" s="250">
        <f t="shared" si="7"/>
        <v>0</v>
      </c>
      <c r="BW23" s="250">
        <f t="shared" si="7"/>
        <v>0</v>
      </c>
      <c r="BX23" s="250">
        <f t="shared" si="7"/>
        <v>0</v>
      </c>
      <c r="BY23" s="251">
        <f t="shared" si="7"/>
        <v>-654549.5</v>
      </c>
      <c r="BZ23" s="771"/>
      <c r="CA23" s="226"/>
      <c r="CB23" s="252" t="e">
        <f t="array" ref="CB23">SUM(INDEX(E23:BX23, , 1):INDEX(E23:BX23, ,MATCH($CB$4, $E$3:$BX$3,0) ))</f>
        <v>#N/A</v>
      </c>
      <c r="CC23" s="771"/>
    </row>
    <row r="24" spans="1:81" ht="16" outlineLevel="1">
      <c r="A24" s="603"/>
      <c r="B24" s="787"/>
      <c r="C24" s="253" t="s">
        <v>276</v>
      </c>
      <c r="D24" s="258" t="s">
        <v>270</v>
      </c>
      <c r="E24" s="259"/>
      <c r="F24" s="259"/>
      <c r="G24" s="259"/>
      <c r="H24" s="259"/>
      <c r="I24" s="259">
        <f>-302500*1.21</f>
        <v>-366025</v>
      </c>
      <c r="J24" s="259"/>
      <c r="K24" s="259">
        <f>-152500*1.21</f>
        <v>-184525</v>
      </c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61">
        <f t="shared" ref="BY24:BY25" si="8">SUM(E24:BX24)</f>
        <v>-550550</v>
      </c>
      <c r="BZ24" s="771"/>
      <c r="CA24" s="226"/>
      <c r="CB24" s="252" t="e">
        <f t="shared" ref="CB24:CB25" si="9">SUM(INDEX(AC24:BX24, , 1):INDEX(AC24:BX24, ,MATCH(#REF!, $E$3:$BX$3,0) ))</f>
        <v>#REF!</v>
      </c>
      <c r="CC24" s="771"/>
    </row>
    <row r="25" spans="1:81" ht="16" outlineLevel="1">
      <c r="A25" s="603"/>
      <c r="B25" s="787"/>
      <c r="C25" s="253" t="s">
        <v>277</v>
      </c>
      <c r="D25" s="258" t="s">
        <v>270</v>
      </c>
      <c r="E25" s="259"/>
      <c r="F25" s="259"/>
      <c r="G25" s="259"/>
      <c r="H25" s="259"/>
      <c r="I25" s="259"/>
      <c r="J25" s="259"/>
      <c r="K25" s="259">
        <f>-Businessplan_prodej!$F$22*1.21</f>
        <v>-103999.5</v>
      </c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1">
        <f t="shared" si="8"/>
        <v>-103999.5</v>
      </c>
      <c r="BZ25" s="771"/>
      <c r="CA25" s="226"/>
      <c r="CB25" s="252" t="e">
        <f t="shared" si="9"/>
        <v>#REF!</v>
      </c>
      <c r="CC25" s="771"/>
    </row>
    <row r="26" spans="1:81" ht="16">
      <c r="A26" s="603"/>
      <c r="B26" s="787"/>
      <c r="C26" s="248" t="s">
        <v>278</v>
      </c>
      <c r="D26" s="249"/>
      <c r="E26" s="250">
        <f t="shared" ref="E26:BX26" si="10">SUM(E27:E33)</f>
        <v>0</v>
      </c>
      <c r="F26" s="250">
        <f t="shared" si="10"/>
        <v>0</v>
      </c>
      <c r="G26" s="250">
        <f t="shared" si="10"/>
        <v>0</v>
      </c>
      <c r="H26" s="250">
        <f t="shared" si="10"/>
        <v>-182738.16666666666</v>
      </c>
      <c r="I26" s="250">
        <f t="shared" si="10"/>
        <v>-180318.16666666666</v>
      </c>
      <c r="J26" s="250">
        <f t="shared" si="10"/>
        <v>-180318.16666666666</v>
      </c>
      <c r="K26" s="250">
        <f t="shared" si="10"/>
        <v>-7211499.166666667</v>
      </c>
      <c r="L26" s="250">
        <f t="shared" si="10"/>
        <v>-7211499.166666667</v>
      </c>
      <c r="M26" s="250">
        <f t="shared" si="10"/>
        <v>-21273860.166666668</v>
      </c>
      <c r="N26" s="250">
        <f t="shared" si="10"/>
        <v>-8788976</v>
      </c>
      <c r="O26" s="250">
        <f t="shared" si="10"/>
        <v>-8788977</v>
      </c>
      <c r="P26" s="250">
        <f t="shared" si="10"/>
        <v>-5859318</v>
      </c>
      <c r="Q26" s="250">
        <f t="shared" si="10"/>
        <v>0</v>
      </c>
      <c r="R26" s="250">
        <f t="shared" si="10"/>
        <v>0</v>
      </c>
      <c r="S26" s="250">
        <f t="shared" si="10"/>
        <v>0</v>
      </c>
      <c r="T26" s="250">
        <f t="shared" si="10"/>
        <v>0</v>
      </c>
      <c r="U26" s="250">
        <f t="shared" si="10"/>
        <v>0</v>
      </c>
      <c r="V26" s="250">
        <f t="shared" si="10"/>
        <v>0</v>
      </c>
      <c r="W26" s="250">
        <f t="shared" si="10"/>
        <v>0</v>
      </c>
      <c r="X26" s="250">
        <f t="shared" si="10"/>
        <v>0</v>
      </c>
      <c r="Y26" s="250">
        <f t="shared" si="10"/>
        <v>0</v>
      </c>
      <c r="Z26" s="250">
        <f t="shared" si="10"/>
        <v>0</v>
      </c>
      <c r="AA26" s="250">
        <f t="shared" si="10"/>
        <v>0</v>
      </c>
      <c r="AB26" s="250">
        <f t="shared" si="10"/>
        <v>0</v>
      </c>
      <c r="AC26" s="250">
        <f t="shared" si="10"/>
        <v>0</v>
      </c>
      <c r="AD26" s="250">
        <f t="shared" si="10"/>
        <v>0</v>
      </c>
      <c r="AE26" s="250">
        <f t="shared" si="10"/>
        <v>0</v>
      </c>
      <c r="AF26" s="250">
        <f t="shared" si="10"/>
        <v>0</v>
      </c>
      <c r="AG26" s="250">
        <f t="shared" si="10"/>
        <v>0</v>
      </c>
      <c r="AH26" s="250">
        <f t="shared" si="10"/>
        <v>0</v>
      </c>
      <c r="AI26" s="250">
        <f t="shared" si="10"/>
        <v>0</v>
      </c>
      <c r="AJ26" s="250">
        <f t="shared" si="10"/>
        <v>0</v>
      </c>
      <c r="AK26" s="250">
        <f t="shared" si="10"/>
        <v>0</v>
      </c>
      <c r="AL26" s="250">
        <f t="shared" si="10"/>
        <v>0</v>
      </c>
      <c r="AM26" s="250">
        <f t="shared" si="10"/>
        <v>0</v>
      </c>
      <c r="AN26" s="250">
        <f t="shared" si="10"/>
        <v>0</v>
      </c>
      <c r="AO26" s="250">
        <f t="shared" si="10"/>
        <v>0</v>
      </c>
      <c r="AP26" s="250">
        <f t="shared" si="10"/>
        <v>0</v>
      </c>
      <c r="AQ26" s="250">
        <f t="shared" si="10"/>
        <v>0</v>
      </c>
      <c r="AR26" s="250">
        <f t="shared" si="10"/>
        <v>0</v>
      </c>
      <c r="AS26" s="250">
        <f t="shared" si="10"/>
        <v>0</v>
      </c>
      <c r="AT26" s="250">
        <f t="shared" si="10"/>
        <v>0</v>
      </c>
      <c r="AU26" s="250">
        <f t="shared" si="10"/>
        <v>0</v>
      </c>
      <c r="AV26" s="250">
        <f t="shared" si="10"/>
        <v>0</v>
      </c>
      <c r="AW26" s="250">
        <f t="shared" si="10"/>
        <v>0</v>
      </c>
      <c r="AX26" s="250">
        <f t="shared" si="10"/>
        <v>0</v>
      </c>
      <c r="AY26" s="250">
        <f t="shared" si="10"/>
        <v>0</v>
      </c>
      <c r="AZ26" s="250">
        <f t="shared" si="10"/>
        <v>0</v>
      </c>
      <c r="BA26" s="250">
        <f t="shared" si="10"/>
        <v>0</v>
      </c>
      <c r="BB26" s="250">
        <f t="shared" si="10"/>
        <v>0</v>
      </c>
      <c r="BC26" s="250">
        <f t="shared" si="10"/>
        <v>0</v>
      </c>
      <c r="BD26" s="250">
        <f t="shared" si="10"/>
        <v>0</v>
      </c>
      <c r="BE26" s="250">
        <f t="shared" si="10"/>
        <v>0</v>
      </c>
      <c r="BF26" s="250">
        <f t="shared" si="10"/>
        <v>0</v>
      </c>
      <c r="BG26" s="250">
        <f t="shared" si="10"/>
        <v>0</v>
      </c>
      <c r="BH26" s="250">
        <f t="shared" si="10"/>
        <v>0</v>
      </c>
      <c r="BI26" s="250">
        <f t="shared" si="10"/>
        <v>0</v>
      </c>
      <c r="BJ26" s="250">
        <f t="shared" si="10"/>
        <v>0</v>
      </c>
      <c r="BK26" s="250">
        <f t="shared" si="10"/>
        <v>0</v>
      </c>
      <c r="BL26" s="250">
        <f t="shared" si="10"/>
        <v>0</v>
      </c>
      <c r="BM26" s="250">
        <f t="shared" si="10"/>
        <v>0</v>
      </c>
      <c r="BN26" s="250">
        <f t="shared" si="10"/>
        <v>0</v>
      </c>
      <c r="BO26" s="250">
        <f t="shared" si="10"/>
        <v>0</v>
      </c>
      <c r="BP26" s="250">
        <f t="shared" si="10"/>
        <v>0</v>
      </c>
      <c r="BQ26" s="250">
        <f t="shared" si="10"/>
        <v>0</v>
      </c>
      <c r="BR26" s="250">
        <f t="shared" si="10"/>
        <v>0</v>
      </c>
      <c r="BS26" s="250">
        <f t="shared" si="10"/>
        <v>0</v>
      </c>
      <c r="BT26" s="250">
        <f t="shared" si="10"/>
        <v>0</v>
      </c>
      <c r="BU26" s="250">
        <f t="shared" si="10"/>
        <v>0</v>
      </c>
      <c r="BV26" s="250">
        <f t="shared" si="10"/>
        <v>0</v>
      </c>
      <c r="BW26" s="250">
        <f t="shared" si="10"/>
        <v>0</v>
      </c>
      <c r="BX26" s="250">
        <f t="shared" si="10"/>
        <v>0</v>
      </c>
      <c r="BY26" s="252">
        <f>SUM(BY27:BY33)</f>
        <v>-59677504</v>
      </c>
      <c r="BZ26" s="771"/>
      <c r="CA26" s="226"/>
      <c r="CB26" s="252" t="e">
        <f t="array" ref="CB26">SUM(INDEX(E26:BX26, , 1):INDEX(E26:BX26, ,MATCH($CB$4, $E$3:$BX$3,0) ))</f>
        <v>#N/A</v>
      </c>
      <c r="CC26" s="771"/>
    </row>
    <row r="27" spans="1:81" ht="16" outlineLevel="1">
      <c r="A27" s="603"/>
      <c r="B27" s="787"/>
      <c r="C27" s="253" t="s">
        <v>279</v>
      </c>
      <c r="D27" s="254" t="s">
        <v>270</v>
      </c>
      <c r="E27" s="255"/>
      <c r="F27" s="255"/>
      <c r="G27" s="255"/>
      <c r="H27" s="255"/>
      <c r="I27" s="255"/>
      <c r="J27" s="255"/>
      <c r="K27" s="255">
        <f t="shared" ref="K27:L27" si="11">-7031181</f>
        <v>-7031181</v>
      </c>
      <c r="L27" s="255">
        <f t="shared" si="11"/>
        <v>-7031181</v>
      </c>
      <c r="M27" s="255">
        <f>-6445249-5859317-5859317-2929659</f>
        <v>-21093542</v>
      </c>
      <c r="N27" s="255">
        <f>-2929659-5859317</f>
        <v>-8788976</v>
      </c>
      <c r="O27" s="255">
        <f>-2929659-2929659-2929659</f>
        <v>-8788977</v>
      </c>
      <c r="P27" s="255">
        <f>-2929659-2929659</f>
        <v>-5859318</v>
      </c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64"/>
      <c r="BY27" s="265">
        <f t="shared" ref="BY27:BY33" si="12">SUM(E27:BX27)</f>
        <v>-58593175</v>
      </c>
      <c r="BZ27" s="771"/>
      <c r="CA27" s="226"/>
      <c r="CB27" s="252" t="e">
        <f t="shared" ref="CB27:CB33" si="13">SUM(INDEX(AC27:BX27, , 1):INDEX(AC27:BX27, ,MATCH(#REF!, $E$3:$BX$3,0) ))</f>
        <v>#REF!</v>
      </c>
      <c r="CC27" s="771"/>
    </row>
    <row r="28" spans="1:81" ht="16" outlineLevel="1">
      <c r="A28" s="603"/>
      <c r="B28" s="787"/>
      <c r="C28" s="253" t="s">
        <v>280</v>
      </c>
      <c r="D28" s="254" t="s">
        <v>270</v>
      </c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66">
        <f t="shared" si="12"/>
        <v>0</v>
      </c>
      <c r="BZ28" s="771"/>
      <c r="CA28" s="226"/>
      <c r="CB28" s="252" t="e">
        <f t="shared" si="13"/>
        <v>#REF!</v>
      </c>
      <c r="CC28" s="771"/>
    </row>
    <row r="29" spans="1:81" ht="16" outlineLevel="1">
      <c r="A29" s="603"/>
      <c r="B29" s="787"/>
      <c r="C29" s="253" t="s">
        <v>281</v>
      </c>
      <c r="D29" s="254" t="s">
        <v>270</v>
      </c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66">
        <f t="shared" si="12"/>
        <v>0</v>
      </c>
      <c r="BZ29" s="771"/>
      <c r="CA29" s="226"/>
      <c r="CB29" s="252" t="e">
        <f t="shared" si="13"/>
        <v>#REF!</v>
      </c>
      <c r="CC29" s="771"/>
    </row>
    <row r="30" spans="1:81" ht="16" outlineLevel="1">
      <c r="A30" s="603"/>
      <c r="B30" s="787"/>
      <c r="C30" s="253" t="s">
        <v>282</v>
      </c>
      <c r="D30" s="254" t="s">
        <v>270</v>
      </c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5"/>
      <c r="T30" s="255"/>
      <c r="U30" s="255"/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66">
        <f t="shared" si="12"/>
        <v>0</v>
      </c>
      <c r="BZ30" s="771"/>
      <c r="CA30" s="226"/>
      <c r="CB30" s="252" t="e">
        <f t="shared" si="13"/>
        <v>#REF!</v>
      </c>
      <c r="CC30" s="771"/>
    </row>
    <row r="31" spans="1:81" ht="16" outlineLevel="1">
      <c r="A31" s="603"/>
      <c r="B31" s="787"/>
      <c r="C31" s="253" t="s">
        <v>283</v>
      </c>
      <c r="D31" s="254" t="s">
        <v>270</v>
      </c>
      <c r="E31" s="255"/>
      <c r="F31" s="255"/>
      <c r="G31" s="255"/>
      <c r="H31" s="255">
        <f>-2420</f>
        <v>-2420</v>
      </c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  <c r="V31" s="255"/>
      <c r="W31" s="255"/>
      <c r="X31" s="255"/>
      <c r="Y31" s="255"/>
      <c r="Z31" s="255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66">
        <f t="shared" si="12"/>
        <v>-2420</v>
      </c>
      <c r="BZ31" s="771"/>
      <c r="CA31" s="226"/>
      <c r="CB31" s="252" t="e">
        <f t="shared" si="13"/>
        <v>#REF!</v>
      </c>
      <c r="CC31" s="771"/>
    </row>
    <row r="32" spans="1:81" ht="16" outlineLevel="1">
      <c r="A32" s="603"/>
      <c r="B32" s="787"/>
      <c r="C32" s="267" t="s">
        <v>284</v>
      </c>
      <c r="D32" s="254" t="s">
        <v>270</v>
      </c>
      <c r="E32" s="255"/>
      <c r="F32" s="255"/>
      <c r="G32" s="255"/>
      <c r="H32" s="255">
        <f>-Businessplan_prodej!$F$39/6</f>
        <v>-180318.16666666666</v>
      </c>
      <c r="I32" s="255">
        <f>-Businessplan_prodej!$F$39/6</f>
        <v>-180318.16666666666</v>
      </c>
      <c r="J32" s="255">
        <f>-Businessplan_prodej!$F$39/6</f>
        <v>-180318.16666666666</v>
      </c>
      <c r="K32" s="255">
        <f>-Businessplan_prodej!$F$39/6</f>
        <v>-180318.16666666666</v>
      </c>
      <c r="L32" s="255">
        <f>-Businessplan_prodej!$F$39/6</f>
        <v>-180318.16666666666</v>
      </c>
      <c r="M32" s="255">
        <f>-Businessplan_prodej!$F$39/6</f>
        <v>-180318.16666666666</v>
      </c>
      <c r="N32" s="255"/>
      <c r="O32" s="255"/>
      <c r="P32" s="255"/>
      <c r="Q32" s="255"/>
      <c r="R32" s="255"/>
      <c r="S32" s="255"/>
      <c r="T32" s="255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66">
        <f t="shared" si="12"/>
        <v>-1081909</v>
      </c>
      <c r="BZ32" s="771"/>
      <c r="CA32" s="226"/>
      <c r="CB32" s="252" t="e">
        <f t="shared" si="13"/>
        <v>#REF!</v>
      </c>
      <c r="CC32" s="771"/>
    </row>
    <row r="33" spans="1:83" ht="16" outlineLevel="1">
      <c r="A33" s="603"/>
      <c r="B33" s="787"/>
      <c r="C33" s="253" t="s">
        <v>285</v>
      </c>
      <c r="D33" s="258" t="s">
        <v>270</v>
      </c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68">
        <f t="shared" si="12"/>
        <v>0</v>
      </c>
      <c r="BZ33" s="771"/>
      <c r="CA33" s="226"/>
      <c r="CB33" s="252" t="e">
        <f t="shared" si="13"/>
        <v>#REF!</v>
      </c>
      <c r="CC33" s="771"/>
      <c r="CD33" s="226"/>
      <c r="CE33" s="226"/>
    </row>
    <row r="34" spans="1:83" ht="16">
      <c r="A34" s="603"/>
      <c r="B34" s="787"/>
      <c r="C34" s="248" t="s">
        <v>286</v>
      </c>
      <c r="D34" s="249"/>
      <c r="E34" s="250">
        <f t="shared" ref="E34:BX34" si="14">SUM(E35:E36)</f>
        <v>0</v>
      </c>
      <c r="F34" s="250">
        <f t="shared" si="14"/>
        <v>0</v>
      </c>
      <c r="G34" s="250">
        <f t="shared" si="14"/>
        <v>0</v>
      </c>
      <c r="H34" s="250">
        <f t="shared" si="14"/>
        <v>0</v>
      </c>
      <c r="I34" s="250">
        <f t="shared" si="14"/>
        <v>0</v>
      </c>
      <c r="J34" s="250">
        <f t="shared" si="14"/>
        <v>0</v>
      </c>
      <c r="K34" s="250">
        <f t="shared" si="14"/>
        <v>0</v>
      </c>
      <c r="L34" s="250">
        <f t="shared" si="14"/>
        <v>0</v>
      </c>
      <c r="M34" s="250">
        <f t="shared" si="14"/>
        <v>0</v>
      </c>
      <c r="N34" s="250">
        <f t="shared" si="14"/>
        <v>0</v>
      </c>
      <c r="O34" s="250">
        <f t="shared" si="14"/>
        <v>0</v>
      </c>
      <c r="P34" s="250">
        <f t="shared" si="14"/>
        <v>0</v>
      </c>
      <c r="Q34" s="250">
        <f t="shared" si="14"/>
        <v>0</v>
      </c>
      <c r="R34" s="250">
        <f t="shared" si="14"/>
        <v>0</v>
      </c>
      <c r="S34" s="250">
        <f t="shared" si="14"/>
        <v>0</v>
      </c>
      <c r="T34" s="250">
        <f t="shared" si="14"/>
        <v>0</v>
      </c>
      <c r="U34" s="250">
        <f t="shared" si="14"/>
        <v>0</v>
      </c>
      <c r="V34" s="250">
        <f t="shared" si="14"/>
        <v>0</v>
      </c>
      <c r="W34" s="250">
        <f t="shared" si="14"/>
        <v>0</v>
      </c>
      <c r="X34" s="250">
        <f t="shared" si="14"/>
        <v>0</v>
      </c>
      <c r="Y34" s="250">
        <f t="shared" si="14"/>
        <v>0</v>
      </c>
      <c r="Z34" s="250">
        <f t="shared" si="14"/>
        <v>0</v>
      </c>
      <c r="AA34" s="250">
        <f t="shared" si="14"/>
        <v>0</v>
      </c>
      <c r="AB34" s="250">
        <f t="shared" si="14"/>
        <v>0</v>
      </c>
      <c r="AC34" s="250">
        <f t="shared" si="14"/>
        <v>0</v>
      </c>
      <c r="AD34" s="250">
        <f t="shared" si="14"/>
        <v>0</v>
      </c>
      <c r="AE34" s="250">
        <f t="shared" si="14"/>
        <v>0</v>
      </c>
      <c r="AF34" s="250">
        <f t="shared" si="14"/>
        <v>0</v>
      </c>
      <c r="AG34" s="250">
        <f t="shared" si="14"/>
        <v>0</v>
      </c>
      <c r="AH34" s="250">
        <f t="shared" si="14"/>
        <v>0</v>
      </c>
      <c r="AI34" s="250">
        <f t="shared" si="14"/>
        <v>0</v>
      </c>
      <c r="AJ34" s="250">
        <f t="shared" si="14"/>
        <v>0</v>
      </c>
      <c r="AK34" s="250">
        <f t="shared" si="14"/>
        <v>0</v>
      </c>
      <c r="AL34" s="250">
        <f t="shared" si="14"/>
        <v>0</v>
      </c>
      <c r="AM34" s="250">
        <f t="shared" si="14"/>
        <v>0</v>
      </c>
      <c r="AN34" s="250">
        <f t="shared" si="14"/>
        <v>0</v>
      </c>
      <c r="AO34" s="250">
        <f t="shared" si="14"/>
        <v>0</v>
      </c>
      <c r="AP34" s="250">
        <f t="shared" si="14"/>
        <v>0</v>
      </c>
      <c r="AQ34" s="250">
        <f t="shared" si="14"/>
        <v>0</v>
      </c>
      <c r="AR34" s="250">
        <f t="shared" si="14"/>
        <v>0</v>
      </c>
      <c r="AS34" s="250">
        <f t="shared" si="14"/>
        <v>0</v>
      </c>
      <c r="AT34" s="250">
        <f t="shared" si="14"/>
        <v>0</v>
      </c>
      <c r="AU34" s="250">
        <f t="shared" si="14"/>
        <v>0</v>
      </c>
      <c r="AV34" s="250">
        <f t="shared" si="14"/>
        <v>0</v>
      </c>
      <c r="AW34" s="250">
        <f t="shared" si="14"/>
        <v>0</v>
      </c>
      <c r="AX34" s="250">
        <f t="shared" si="14"/>
        <v>0</v>
      </c>
      <c r="AY34" s="250">
        <f t="shared" si="14"/>
        <v>0</v>
      </c>
      <c r="AZ34" s="250">
        <f t="shared" si="14"/>
        <v>0</v>
      </c>
      <c r="BA34" s="250">
        <f t="shared" si="14"/>
        <v>0</v>
      </c>
      <c r="BB34" s="250">
        <f t="shared" si="14"/>
        <v>0</v>
      </c>
      <c r="BC34" s="250">
        <f t="shared" si="14"/>
        <v>0</v>
      </c>
      <c r="BD34" s="250">
        <f t="shared" si="14"/>
        <v>0</v>
      </c>
      <c r="BE34" s="250">
        <f t="shared" si="14"/>
        <v>0</v>
      </c>
      <c r="BF34" s="250">
        <f t="shared" si="14"/>
        <v>0</v>
      </c>
      <c r="BG34" s="250">
        <f t="shared" si="14"/>
        <v>0</v>
      </c>
      <c r="BH34" s="250">
        <f t="shared" si="14"/>
        <v>0</v>
      </c>
      <c r="BI34" s="250">
        <f t="shared" si="14"/>
        <v>0</v>
      </c>
      <c r="BJ34" s="250">
        <f t="shared" si="14"/>
        <v>0</v>
      </c>
      <c r="BK34" s="250">
        <f t="shared" si="14"/>
        <v>0</v>
      </c>
      <c r="BL34" s="250">
        <f t="shared" si="14"/>
        <v>0</v>
      </c>
      <c r="BM34" s="250">
        <f t="shared" si="14"/>
        <v>0</v>
      </c>
      <c r="BN34" s="250">
        <f t="shared" si="14"/>
        <v>0</v>
      </c>
      <c r="BO34" s="250">
        <f t="shared" si="14"/>
        <v>0</v>
      </c>
      <c r="BP34" s="250">
        <f t="shared" si="14"/>
        <v>0</v>
      </c>
      <c r="BQ34" s="250">
        <f t="shared" si="14"/>
        <v>0</v>
      </c>
      <c r="BR34" s="250">
        <f t="shared" si="14"/>
        <v>0</v>
      </c>
      <c r="BS34" s="250">
        <f t="shared" si="14"/>
        <v>0</v>
      </c>
      <c r="BT34" s="250">
        <f t="shared" si="14"/>
        <v>0</v>
      </c>
      <c r="BU34" s="250">
        <f t="shared" si="14"/>
        <v>0</v>
      </c>
      <c r="BV34" s="250">
        <f t="shared" si="14"/>
        <v>0</v>
      </c>
      <c r="BW34" s="250">
        <f t="shared" si="14"/>
        <v>0</v>
      </c>
      <c r="BX34" s="250">
        <f t="shared" si="14"/>
        <v>0</v>
      </c>
      <c r="BY34" s="252">
        <f>SUM(BY35:BY36)</f>
        <v>0</v>
      </c>
      <c r="BZ34" s="771"/>
      <c r="CA34" s="226"/>
      <c r="CB34" s="252" t="e">
        <f t="array" ref="CB34">SUM(INDEX(E34:BX34, , 1):INDEX(E34:BX34, ,MATCH($CB$4, $E$3:$BX$3,0) ))</f>
        <v>#N/A</v>
      </c>
      <c r="CC34" s="771"/>
      <c r="CD34" s="226"/>
      <c r="CE34" s="226"/>
    </row>
    <row r="35" spans="1:83" ht="16" outlineLevel="1">
      <c r="A35" s="603"/>
      <c r="B35" s="787"/>
      <c r="C35" s="253" t="s">
        <v>287</v>
      </c>
      <c r="D35" s="254" t="s">
        <v>270</v>
      </c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70"/>
      <c r="T35" s="255"/>
      <c r="U35" s="255"/>
      <c r="V35" s="255"/>
      <c r="W35" s="255"/>
      <c r="X35" s="255"/>
      <c r="Y35" s="255"/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64"/>
      <c r="BY35" s="265">
        <f t="shared" ref="BY35:BY36" si="15">SUM(E35:BX35)</f>
        <v>0</v>
      </c>
      <c r="BZ35" s="771"/>
      <c r="CA35" s="226"/>
      <c r="CB35" s="252" t="e">
        <f t="shared" ref="CB35:CB36" si="16">SUM(INDEX(AC35:BX35, , 1):INDEX(AC35:BX35, ,MATCH(#REF!, $E$3:$BX$3,0) ))</f>
        <v>#REF!</v>
      </c>
      <c r="CC35" s="771"/>
      <c r="CD35" s="226"/>
      <c r="CE35" s="226"/>
    </row>
    <row r="36" spans="1:83" ht="16" outlineLevel="1">
      <c r="A36" s="603"/>
      <c r="B36" s="787"/>
      <c r="C36" s="253" t="s">
        <v>288</v>
      </c>
      <c r="D36" s="258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70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68">
        <f t="shared" si="15"/>
        <v>0</v>
      </c>
      <c r="BZ36" s="771"/>
      <c r="CA36" s="226"/>
      <c r="CB36" s="252" t="e">
        <f t="shared" si="16"/>
        <v>#REF!</v>
      </c>
      <c r="CC36" s="771"/>
      <c r="CD36" s="226"/>
      <c r="CE36" s="226"/>
    </row>
    <row r="37" spans="1:83" ht="16">
      <c r="A37" s="603"/>
      <c r="B37" s="787"/>
      <c r="C37" s="248" t="s">
        <v>289</v>
      </c>
      <c r="D37" s="249"/>
      <c r="E37" s="250">
        <f t="shared" ref="E37:BX37" si="17">SUM(E38:E46)</f>
        <v>0</v>
      </c>
      <c r="F37" s="250">
        <f t="shared" si="17"/>
        <v>0</v>
      </c>
      <c r="G37" s="250">
        <f t="shared" si="17"/>
        <v>0</v>
      </c>
      <c r="H37" s="250">
        <f t="shared" si="17"/>
        <v>-113225.2</v>
      </c>
      <c r="I37" s="250">
        <f t="shared" si="17"/>
        <v>-2332297.9649854163</v>
      </c>
      <c r="J37" s="250">
        <f t="shared" si="17"/>
        <v>-729245.71666666667</v>
      </c>
      <c r="K37" s="250">
        <f t="shared" si="17"/>
        <v>-729245.71666666667</v>
      </c>
      <c r="L37" s="250">
        <f t="shared" si="17"/>
        <v>-475145.71666666662</v>
      </c>
      <c r="M37" s="250">
        <f t="shared" si="17"/>
        <v>-475145.71666666662</v>
      </c>
      <c r="N37" s="250">
        <f t="shared" si="17"/>
        <v>-475145.71666666662</v>
      </c>
      <c r="O37" s="250">
        <f t="shared" si="17"/>
        <v>-564501.39610624989</v>
      </c>
      <c r="P37" s="250">
        <f t="shared" si="17"/>
        <v>-65486.956666666672</v>
      </c>
      <c r="Q37" s="250">
        <f t="shared" si="17"/>
        <v>-41929.416666666672</v>
      </c>
      <c r="R37" s="250">
        <f t="shared" si="17"/>
        <v>-41929.416666666672</v>
      </c>
      <c r="S37" s="250">
        <f t="shared" si="17"/>
        <v>-41929.416666666672</v>
      </c>
      <c r="T37" s="250">
        <f t="shared" si="17"/>
        <v>-100823.26666666666</v>
      </c>
      <c r="U37" s="250">
        <f t="shared" si="17"/>
        <v>0</v>
      </c>
      <c r="V37" s="250">
        <f t="shared" si="17"/>
        <v>0</v>
      </c>
      <c r="W37" s="250">
        <f t="shared" si="17"/>
        <v>0</v>
      </c>
      <c r="X37" s="250">
        <f t="shared" si="17"/>
        <v>0</v>
      </c>
      <c r="Y37" s="250">
        <f t="shared" si="17"/>
        <v>0</v>
      </c>
      <c r="Z37" s="250">
        <f t="shared" si="17"/>
        <v>0</v>
      </c>
      <c r="AA37" s="250">
        <f t="shared" si="17"/>
        <v>0</v>
      </c>
      <c r="AB37" s="250">
        <f t="shared" si="17"/>
        <v>0</v>
      </c>
      <c r="AC37" s="250">
        <f t="shared" si="17"/>
        <v>0</v>
      </c>
      <c r="AD37" s="250">
        <f t="shared" si="17"/>
        <v>0</v>
      </c>
      <c r="AE37" s="250">
        <f t="shared" si="17"/>
        <v>0</v>
      </c>
      <c r="AF37" s="250">
        <f t="shared" si="17"/>
        <v>0</v>
      </c>
      <c r="AG37" s="250">
        <f t="shared" si="17"/>
        <v>0</v>
      </c>
      <c r="AH37" s="250">
        <f t="shared" si="17"/>
        <v>0</v>
      </c>
      <c r="AI37" s="250">
        <f t="shared" si="17"/>
        <v>0</v>
      </c>
      <c r="AJ37" s="250">
        <f t="shared" si="17"/>
        <v>0</v>
      </c>
      <c r="AK37" s="250">
        <f t="shared" si="17"/>
        <v>0</v>
      </c>
      <c r="AL37" s="250">
        <f t="shared" si="17"/>
        <v>0</v>
      </c>
      <c r="AM37" s="250">
        <f t="shared" si="17"/>
        <v>0</v>
      </c>
      <c r="AN37" s="250">
        <f t="shared" si="17"/>
        <v>0</v>
      </c>
      <c r="AO37" s="250">
        <f t="shared" si="17"/>
        <v>0</v>
      </c>
      <c r="AP37" s="250">
        <f t="shared" si="17"/>
        <v>0</v>
      </c>
      <c r="AQ37" s="250">
        <f t="shared" si="17"/>
        <v>0</v>
      </c>
      <c r="AR37" s="250">
        <f t="shared" si="17"/>
        <v>0</v>
      </c>
      <c r="AS37" s="250">
        <f t="shared" si="17"/>
        <v>0</v>
      </c>
      <c r="AT37" s="250">
        <f t="shared" si="17"/>
        <v>0</v>
      </c>
      <c r="AU37" s="250">
        <f t="shared" si="17"/>
        <v>0</v>
      </c>
      <c r="AV37" s="250">
        <f t="shared" si="17"/>
        <v>0</v>
      </c>
      <c r="AW37" s="250">
        <f t="shared" si="17"/>
        <v>0</v>
      </c>
      <c r="AX37" s="250">
        <f t="shared" si="17"/>
        <v>0</v>
      </c>
      <c r="AY37" s="250">
        <f t="shared" si="17"/>
        <v>0</v>
      </c>
      <c r="AZ37" s="250">
        <f t="shared" si="17"/>
        <v>0</v>
      </c>
      <c r="BA37" s="250">
        <f t="shared" si="17"/>
        <v>0</v>
      </c>
      <c r="BB37" s="250">
        <f t="shared" si="17"/>
        <v>0</v>
      </c>
      <c r="BC37" s="250">
        <f t="shared" si="17"/>
        <v>0</v>
      </c>
      <c r="BD37" s="250">
        <f t="shared" si="17"/>
        <v>0</v>
      </c>
      <c r="BE37" s="250">
        <f t="shared" si="17"/>
        <v>0</v>
      </c>
      <c r="BF37" s="250">
        <f t="shared" si="17"/>
        <v>0</v>
      </c>
      <c r="BG37" s="250">
        <f t="shared" si="17"/>
        <v>0</v>
      </c>
      <c r="BH37" s="250">
        <f t="shared" si="17"/>
        <v>0</v>
      </c>
      <c r="BI37" s="250">
        <f t="shared" si="17"/>
        <v>0</v>
      </c>
      <c r="BJ37" s="250">
        <f t="shared" si="17"/>
        <v>0</v>
      </c>
      <c r="BK37" s="250">
        <f t="shared" si="17"/>
        <v>0</v>
      </c>
      <c r="BL37" s="250">
        <f t="shared" si="17"/>
        <v>0</v>
      </c>
      <c r="BM37" s="250">
        <f t="shared" si="17"/>
        <v>0</v>
      </c>
      <c r="BN37" s="250">
        <f t="shared" si="17"/>
        <v>0</v>
      </c>
      <c r="BO37" s="250">
        <f t="shared" si="17"/>
        <v>0</v>
      </c>
      <c r="BP37" s="250">
        <f t="shared" si="17"/>
        <v>0</v>
      </c>
      <c r="BQ37" s="250">
        <f t="shared" si="17"/>
        <v>0</v>
      </c>
      <c r="BR37" s="250">
        <f t="shared" si="17"/>
        <v>0</v>
      </c>
      <c r="BS37" s="250">
        <f t="shared" si="17"/>
        <v>0</v>
      </c>
      <c r="BT37" s="250">
        <f t="shared" si="17"/>
        <v>0</v>
      </c>
      <c r="BU37" s="250">
        <f t="shared" si="17"/>
        <v>0</v>
      </c>
      <c r="BV37" s="250">
        <f t="shared" si="17"/>
        <v>0</v>
      </c>
      <c r="BW37" s="250">
        <f t="shared" si="17"/>
        <v>0</v>
      </c>
      <c r="BX37" s="250">
        <f t="shared" si="17"/>
        <v>0</v>
      </c>
      <c r="BY37" s="252">
        <f>SUM(BY38:BY46)</f>
        <v>-6186051.6177583337</v>
      </c>
      <c r="BZ37" s="771"/>
      <c r="CA37" s="226"/>
      <c r="CB37" s="252" t="e">
        <f t="array" ref="CB37">SUM(INDEX(E37:BX37, , 1):INDEX(E37:BX37, ,MATCH($CB$4, $E$3:$BX$3,0) ))</f>
        <v>#N/A</v>
      </c>
      <c r="CC37" s="771"/>
      <c r="CD37" s="226"/>
      <c r="CE37" s="226"/>
    </row>
    <row r="38" spans="1:83" ht="16" outlineLevel="1">
      <c r="A38" s="603"/>
      <c r="B38" s="787"/>
      <c r="C38" s="267" t="s">
        <v>216</v>
      </c>
      <c r="D38" s="254" t="s">
        <v>270</v>
      </c>
      <c r="E38" s="259"/>
      <c r="F38" s="259"/>
      <c r="G38" s="259"/>
      <c r="H38" s="259"/>
      <c r="I38" s="259">
        <f>-Businessplan_prodej!$F$57/3*1.21</f>
        <v>-254100</v>
      </c>
      <c r="J38" s="259">
        <f>-Businessplan_prodej!$F$57/3*1.21</f>
        <v>-254100</v>
      </c>
      <c r="K38" s="259">
        <f>-Businessplan_prodej!$F$57/3*1.21</f>
        <v>-254100</v>
      </c>
      <c r="L38" s="259"/>
      <c r="M38" s="259"/>
      <c r="N38" s="259"/>
      <c r="O38" s="259"/>
      <c r="P38" s="259"/>
      <c r="Q38" s="259"/>
      <c r="R38" s="259"/>
      <c r="S38" s="272"/>
      <c r="T38" s="259"/>
      <c r="U38" s="259"/>
      <c r="V38" s="259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71"/>
      <c r="BY38" s="265">
        <f t="shared" ref="BY38:BY46" si="18">SUM(E38:BX38)</f>
        <v>-762300</v>
      </c>
      <c r="BZ38" s="771"/>
      <c r="CA38" s="226"/>
      <c r="CB38" s="252" t="e">
        <f t="shared" ref="CB38:CB40" si="19">SUM(INDEX(AC38:BX38, , 1):INDEX(AC38:BX38, ,MATCH(#REF!, $E$3:$BX$3,0) ))</f>
        <v>#REF!</v>
      </c>
      <c r="CC38" s="771"/>
      <c r="CD38" s="226"/>
      <c r="CE38" s="226"/>
    </row>
    <row r="39" spans="1:83" ht="16" outlineLevel="1">
      <c r="A39" s="603"/>
      <c r="B39" s="787"/>
      <c r="C39" s="267" t="s">
        <v>217</v>
      </c>
      <c r="D39" s="254" t="s">
        <v>270</v>
      </c>
      <c r="E39" s="259"/>
      <c r="F39" s="259"/>
      <c r="G39" s="259"/>
      <c r="H39" s="259"/>
      <c r="I39" s="259">
        <f>-Businessplan_prodej!$F$59*1.21/6</f>
        <v>-234437.5</v>
      </c>
      <c r="J39" s="259">
        <f>-Businessplan_prodej!$F$59*1.21/6</f>
        <v>-234437.5</v>
      </c>
      <c r="K39" s="259">
        <f>-Businessplan_prodej!$F$59*1.21/6</f>
        <v>-234437.5</v>
      </c>
      <c r="L39" s="259">
        <f>-Businessplan_prodej!$F$59*1.21/6</f>
        <v>-234437.5</v>
      </c>
      <c r="M39" s="259">
        <f>-Businessplan_prodej!$F$59*1.21/6</f>
        <v>-234437.5</v>
      </c>
      <c r="N39" s="259">
        <f>-Businessplan_prodej!$F$59*1.21/6</f>
        <v>-234437.5</v>
      </c>
      <c r="O39" s="259"/>
      <c r="P39" s="259"/>
      <c r="Q39" s="259"/>
      <c r="R39" s="259"/>
      <c r="S39" s="272"/>
      <c r="T39" s="259"/>
      <c r="U39" s="259"/>
      <c r="V39" s="259"/>
      <c r="W39" s="259"/>
      <c r="X39" s="259"/>
      <c r="Y39" s="259"/>
      <c r="Z39" s="259"/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66">
        <f t="shared" si="18"/>
        <v>-1406625</v>
      </c>
      <c r="BZ39" s="771"/>
      <c r="CA39" s="226"/>
      <c r="CB39" s="252" t="e">
        <f t="shared" si="19"/>
        <v>#REF!</v>
      </c>
      <c r="CC39" s="771"/>
      <c r="CD39" s="226"/>
      <c r="CE39" s="226">
        <f>BY39/1.21</f>
        <v>-1162500</v>
      </c>
    </row>
    <row r="40" spans="1:83" ht="16" outlineLevel="1">
      <c r="A40" s="603"/>
      <c r="B40" s="787"/>
      <c r="C40" s="267" t="s">
        <v>218</v>
      </c>
      <c r="D40" s="254" t="s">
        <v>270</v>
      </c>
      <c r="E40" s="259"/>
      <c r="F40" s="259"/>
      <c r="G40" s="259"/>
      <c r="H40" s="259"/>
      <c r="I40" s="259">
        <f>-Businessplan_prodej!$F$62*1.21/6</f>
        <v>-172013.6</v>
      </c>
      <c r="J40" s="259">
        <f>-Businessplan_prodej!$F$62*1.21/6</f>
        <v>-172013.6</v>
      </c>
      <c r="K40" s="259">
        <f>-Businessplan_prodej!$F$62*1.21/6</f>
        <v>-172013.6</v>
      </c>
      <c r="L40" s="259">
        <f>-Businessplan_prodej!$F$62*1.21/6</f>
        <v>-172013.6</v>
      </c>
      <c r="M40" s="259">
        <f>-Businessplan_prodej!$F$62*1.21/6</f>
        <v>-172013.6</v>
      </c>
      <c r="N40" s="259">
        <f>-Businessplan_prodej!$F$62*1.21/6</f>
        <v>-172013.6</v>
      </c>
      <c r="O40" s="259"/>
      <c r="P40" s="259"/>
      <c r="Q40" s="259"/>
      <c r="R40" s="259"/>
      <c r="S40" s="272"/>
      <c r="T40" s="259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66">
        <f t="shared" si="18"/>
        <v>-1032081.6</v>
      </c>
      <c r="BZ40" s="771"/>
      <c r="CA40" s="226"/>
      <c r="CB40" s="252" t="e">
        <f t="shared" si="19"/>
        <v>#REF!</v>
      </c>
      <c r="CC40" s="771"/>
      <c r="CD40" s="226"/>
      <c r="CE40" s="226"/>
    </row>
    <row r="41" spans="1:83" ht="16" outlineLevel="1">
      <c r="A41" s="603"/>
      <c r="B41" s="787"/>
      <c r="C41" s="267" t="s">
        <v>222</v>
      </c>
      <c r="D41" s="254" t="s">
        <v>270</v>
      </c>
      <c r="E41" s="259"/>
      <c r="F41" s="259"/>
      <c r="G41" s="259"/>
      <c r="H41" s="259"/>
      <c r="I41" s="259">
        <f>-Businessplan_prodej!$F$66*1.21/6</f>
        <v>-26765.199999999997</v>
      </c>
      <c r="J41" s="259">
        <f>-Businessplan_prodej!$F$66*1.21/6</f>
        <v>-26765.199999999997</v>
      </c>
      <c r="K41" s="259">
        <f>-Businessplan_prodej!$F$66*1.21/6</f>
        <v>-26765.199999999997</v>
      </c>
      <c r="L41" s="259">
        <f>-Businessplan_prodej!$F$66*1.21/6</f>
        <v>-26765.199999999997</v>
      </c>
      <c r="M41" s="259">
        <f>-Businessplan_prodej!$F$66*1.21/6</f>
        <v>-26765.199999999997</v>
      </c>
      <c r="N41" s="259">
        <f>-Businessplan_prodej!$F$66*1.21/6</f>
        <v>-26765.199999999997</v>
      </c>
      <c r="O41" s="259"/>
      <c r="P41" s="259"/>
      <c r="Q41" s="259"/>
      <c r="R41" s="259"/>
      <c r="S41" s="272"/>
      <c r="T41" s="259"/>
      <c r="U41" s="259"/>
      <c r="V41" s="259"/>
      <c r="W41" s="259"/>
      <c r="X41" s="259"/>
      <c r="Y41" s="259"/>
      <c r="Z41" s="259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66">
        <f t="shared" si="18"/>
        <v>-160591.20000000001</v>
      </c>
      <c r="BZ41" s="771"/>
      <c r="CA41" s="226"/>
      <c r="CB41" s="252"/>
      <c r="CC41" s="771"/>
      <c r="CD41" s="226"/>
      <c r="CE41" s="226"/>
    </row>
    <row r="42" spans="1:83" ht="16" outlineLevel="1">
      <c r="A42" s="603"/>
      <c r="B42" s="787"/>
      <c r="C42" s="253" t="s">
        <v>223</v>
      </c>
      <c r="D42" s="254" t="s">
        <v>270</v>
      </c>
      <c r="E42" s="255"/>
      <c r="F42" s="255"/>
      <c r="G42" s="255"/>
      <c r="H42" s="255">
        <f>-11364-25000</f>
        <v>-36364</v>
      </c>
      <c r="I42" s="255">
        <f>-Businessplan_prodej!$F$67/12*1.21</f>
        <v>-22876.583333333336</v>
      </c>
      <c r="J42" s="255">
        <f>-Businessplan_prodej!$F$67/12*1.21</f>
        <v>-22876.583333333336</v>
      </c>
      <c r="K42" s="255">
        <f>-Businessplan_prodej!$F$67/12*1.21</f>
        <v>-22876.583333333336</v>
      </c>
      <c r="L42" s="255">
        <f>-Businessplan_prodej!$F$67/12*1.21</f>
        <v>-22876.583333333336</v>
      </c>
      <c r="M42" s="255">
        <f>-Businessplan_prodej!$F$67/12*1.21</f>
        <v>-22876.583333333336</v>
      </c>
      <c r="N42" s="255">
        <f>-Businessplan_prodej!$F$67/12*1.21</f>
        <v>-22876.583333333336</v>
      </c>
      <c r="O42" s="255">
        <f>-Businessplan_prodej!$F$67/12*1.21</f>
        <v>-22876.583333333336</v>
      </c>
      <c r="P42" s="255">
        <f>-Businessplan_prodej!$F$67/12*1.21</f>
        <v>-22876.583333333336</v>
      </c>
      <c r="Q42" s="255">
        <f>-Businessplan_prodej!$F$67/12*1.21</f>
        <v>-22876.583333333336</v>
      </c>
      <c r="R42" s="255">
        <f>-Businessplan_prodej!$F$67/12*1.21</f>
        <v>-22876.583333333336</v>
      </c>
      <c r="S42" s="255">
        <f>-Businessplan_prodej!$F$67/12*1.21</f>
        <v>-22876.583333333336</v>
      </c>
      <c r="T42" s="255">
        <f>-Businessplan_prodej!$F$67/12*1.21</f>
        <v>-22876.583333333336</v>
      </c>
      <c r="U42" s="255"/>
      <c r="V42" s="255"/>
      <c r="W42" s="255"/>
      <c r="X42" s="255"/>
      <c r="Y42" s="255"/>
      <c r="Z42" s="255"/>
      <c r="AA42" s="255"/>
      <c r="AB42" s="255"/>
      <c r="AC42" s="255"/>
      <c r="AD42" s="255"/>
      <c r="AE42" s="255"/>
      <c r="AF42" s="255"/>
      <c r="AG42" s="255"/>
      <c r="AH42" s="255"/>
      <c r="AI42" s="255"/>
      <c r="AJ42" s="255"/>
      <c r="AK42" s="255"/>
      <c r="AL42" s="255"/>
      <c r="AM42" s="255"/>
      <c r="AN42" s="255"/>
      <c r="AO42" s="255"/>
      <c r="AP42" s="255"/>
      <c r="AQ42" s="255"/>
      <c r="AR42" s="255"/>
      <c r="AS42" s="255"/>
      <c r="AT42" s="255"/>
      <c r="AU42" s="255"/>
      <c r="AV42" s="255"/>
      <c r="AW42" s="255"/>
      <c r="AX42" s="255"/>
      <c r="AY42" s="255"/>
      <c r="AZ42" s="255"/>
      <c r="BA42" s="255"/>
      <c r="BB42" s="255"/>
      <c r="BC42" s="255"/>
      <c r="BD42" s="255"/>
      <c r="BE42" s="255"/>
      <c r="BF42" s="255"/>
      <c r="BG42" s="255"/>
      <c r="BH42" s="255"/>
      <c r="BI42" s="255"/>
      <c r="BJ42" s="255"/>
      <c r="BK42" s="255"/>
      <c r="BL42" s="255"/>
      <c r="BM42" s="255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64"/>
      <c r="BY42" s="266">
        <f t="shared" si="18"/>
        <v>-310883</v>
      </c>
      <c r="BZ42" s="771"/>
      <c r="CA42" s="226"/>
      <c r="CB42" s="252" t="e">
        <f t="shared" ref="CB42:CB43" si="20">SUM(INDEX(AC42:BX42, , 1):INDEX(AC42:BX42, ,MATCH(#REF!, $E$3:$BX$3,0) ))</f>
        <v>#REF!</v>
      </c>
      <c r="CC42" s="771"/>
      <c r="CD42" s="226"/>
      <c r="CE42" s="226"/>
    </row>
    <row r="43" spans="1:83" ht="16" outlineLevel="1">
      <c r="A43" s="603"/>
      <c r="B43" s="787"/>
      <c r="C43" s="253" t="s">
        <v>224</v>
      </c>
      <c r="D43" s="254" t="s">
        <v>270</v>
      </c>
      <c r="E43" s="255"/>
      <c r="F43" s="255"/>
      <c r="G43" s="255"/>
      <c r="H43" s="255">
        <f>-1000-65673</f>
        <v>-66673</v>
      </c>
      <c r="I43" s="255">
        <f>-Businessplan_prodej!$F$68/12*1.21</f>
        <v>-19052.833333333336</v>
      </c>
      <c r="J43" s="255">
        <f>-Businessplan_prodej!$F$68/12*1.21</f>
        <v>-19052.833333333336</v>
      </c>
      <c r="K43" s="255">
        <f>-Businessplan_prodej!$F$68/12*1.21</f>
        <v>-19052.833333333336</v>
      </c>
      <c r="L43" s="255">
        <f>-Businessplan_prodej!$F$68/12*1.21</f>
        <v>-19052.833333333336</v>
      </c>
      <c r="M43" s="255">
        <f>-Businessplan_prodej!$F$68/12*1.21</f>
        <v>-19052.833333333336</v>
      </c>
      <c r="N43" s="255">
        <f>-Businessplan_prodej!$F$68/12*1.21</f>
        <v>-19052.833333333336</v>
      </c>
      <c r="O43" s="255">
        <f>-Businessplan_prodej!$F$68/12*1.21</f>
        <v>-19052.833333333336</v>
      </c>
      <c r="P43" s="255">
        <f>-Businessplan_prodej!$F$68/12*1.21</f>
        <v>-19052.833333333336</v>
      </c>
      <c r="Q43" s="255">
        <f>-Businessplan_prodej!$F$68/12*1.21</f>
        <v>-19052.833333333336</v>
      </c>
      <c r="R43" s="255">
        <f>-Businessplan_prodej!$F$68/12*1.21</f>
        <v>-19052.833333333336</v>
      </c>
      <c r="S43" s="255">
        <f>-Businessplan_prodej!$F$68/12*1.21</f>
        <v>-19052.833333333336</v>
      </c>
      <c r="T43" s="255">
        <f>-Businessplan_prodej!$F$68/12*1.21</f>
        <v>-19052.833333333336</v>
      </c>
      <c r="U43" s="255"/>
      <c r="V43" s="255"/>
      <c r="W43" s="255"/>
      <c r="X43" s="255"/>
      <c r="Y43" s="255"/>
      <c r="Z43" s="255"/>
      <c r="AA43" s="255"/>
      <c r="AB43" s="255"/>
      <c r="AC43" s="255"/>
      <c r="AD43" s="255"/>
      <c r="AE43" s="255"/>
      <c r="AF43" s="255"/>
      <c r="AG43" s="255"/>
      <c r="AH43" s="255"/>
      <c r="AI43" s="255"/>
      <c r="AJ43" s="255"/>
      <c r="AK43" s="255"/>
      <c r="AL43" s="255"/>
      <c r="AM43" s="255"/>
      <c r="AN43" s="255"/>
      <c r="AO43" s="255"/>
      <c r="AP43" s="255"/>
      <c r="AQ43" s="255"/>
      <c r="AR43" s="255"/>
      <c r="AS43" s="255"/>
      <c r="AT43" s="255"/>
      <c r="AU43" s="255"/>
      <c r="AV43" s="255"/>
      <c r="AW43" s="255"/>
      <c r="AX43" s="255"/>
      <c r="AY43" s="255"/>
      <c r="AZ43" s="255"/>
      <c r="BA43" s="255"/>
      <c r="BB43" s="255"/>
      <c r="BC43" s="255"/>
      <c r="BD43" s="255"/>
      <c r="BE43" s="255"/>
      <c r="BF43" s="255"/>
      <c r="BG43" s="255"/>
      <c r="BH43" s="255"/>
      <c r="BI43" s="255"/>
      <c r="BJ43" s="255"/>
      <c r="BK43" s="255"/>
      <c r="BL43" s="255"/>
      <c r="BM43" s="255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66">
        <f t="shared" si="18"/>
        <v>-295307.00000000006</v>
      </c>
      <c r="BZ43" s="771"/>
      <c r="CA43" s="226"/>
      <c r="CB43" s="252" t="e">
        <f t="shared" si="20"/>
        <v>#REF!</v>
      </c>
      <c r="CC43" s="771"/>
      <c r="CD43" s="226"/>
      <c r="CE43" s="226"/>
    </row>
    <row r="44" spans="1:83" ht="14.25" customHeight="1" outlineLevel="1">
      <c r="A44" s="603"/>
      <c r="B44" s="787"/>
      <c r="C44" s="253" t="s">
        <v>225</v>
      </c>
      <c r="D44" s="254" t="s">
        <v>270</v>
      </c>
      <c r="E44" s="255"/>
      <c r="F44" s="255"/>
      <c r="G44" s="255"/>
      <c r="H44" s="255">
        <f>-10188.2</f>
        <v>-10188.200000000001</v>
      </c>
      <c r="I44" s="255">
        <f>-Businessplan_prodej!$F$69*0.3*1.21</f>
        <v>-35336.31</v>
      </c>
      <c r="J44" s="255"/>
      <c r="K44" s="255"/>
      <c r="L44" s="255"/>
      <c r="M44" s="255"/>
      <c r="N44" s="255"/>
      <c r="O44" s="255"/>
      <c r="P44" s="255">
        <f>-Businessplan_prodej!$F$69*0.2*1.21</f>
        <v>-23557.54</v>
      </c>
      <c r="Q44" s="255"/>
      <c r="R44" s="255"/>
      <c r="S44" s="255"/>
      <c r="T44" s="255">
        <f>-Businessplan_prodej!$F$69*0.5*1.21</f>
        <v>-58893.85</v>
      </c>
      <c r="U44" s="255"/>
      <c r="V44" s="255"/>
      <c r="W44" s="255"/>
      <c r="X44" s="255"/>
      <c r="Y44" s="255"/>
      <c r="Z44" s="255"/>
      <c r="AA44" s="255"/>
      <c r="AB44" s="255"/>
      <c r="AC44" s="255"/>
      <c r="AD44" s="255"/>
      <c r="AE44" s="255"/>
      <c r="AF44" s="255"/>
      <c r="AG44" s="255"/>
      <c r="AH44" s="255"/>
      <c r="AI44" s="255"/>
      <c r="AJ44" s="255"/>
      <c r="AK44" s="255"/>
      <c r="AL44" s="255"/>
      <c r="AM44" s="255"/>
      <c r="AN44" s="255"/>
      <c r="AO44" s="255"/>
      <c r="AP44" s="255"/>
      <c r="AQ44" s="255"/>
      <c r="AR44" s="255"/>
      <c r="AS44" s="255"/>
      <c r="AT44" s="255"/>
      <c r="AU44" s="255"/>
      <c r="AV44" s="255"/>
      <c r="AW44" s="255"/>
      <c r="AX44" s="255"/>
      <c r="AY44" s="255"/>
      <c r="AZ44" s="255"/>
      <c r="BA44" s="255"/>
      <c r="BB44" s="255"/>
      <c r="BC44" s="255"/>
      <c r="BD44" s="255"/>
      <c r="BE44" s="255"/>
      <c r="BF44" s="255"/>
      <c r="BG44" s="255"/>
      <c r="BH44" s="255"/>
      <c r="BI44" s="255"/>
      <c r="BJ44" s="255"/>
      <c r="BK44" s="255"/>
      <c r="BL44" s="255"/>
      <c r="BM44" s="255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66">
        <f t="shared" si="18"/>
        <v>-127975.9</v>
      </c>
      <c r="BZ44" s="771"/>
      <c r="CA44" s="226"/>
      <c r="CB44" s="252" t="e">
        <f t="shared" ref="CB44:CB46" si="21">SUM(INDEX(AC44:BX44, , 1):INDEX(AC44:BX44, ,MATCH(CB1, $E$3:$BX$3,0) ))</f>
        <v>#N/A</v>
      </c>
      <c r="CC44" s="771"/>
      <c r="CD44" s="226"/>
      <c r="CE44" s="226"/>
    </row>
    <row r="45" spans="1:83" ht="14.25" customHeight="1" outlineLevel="1">
      <c r="A45" s="603"/>
      <c r="B45" s="787"/>
      <c r="C45" s="253" t="s">
        <v>226</v>
      </c>
      <c r="D45" s="254" t="s">
        <v>270</v>
      </c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66">
        <f t="shared" si="18"/>
        <v>0</v>
      </c>
      <c r="BZ45" s="771"/>
      <c r="CA45" s="226"/>
      <c r="CB45" s="252" t="e">
        <f t="shared" si="21"/>
        <v>#N/A</v>
      </c>
      <c r="CC45" s="771"/>
      <c r="CD45" s="226"/>
      <c r="CE45" s="226"/>
    </row>
    <row r="46" spans="1:83" ht="14.25" customHeight="1" outlineLevel="1">
      <c r="A46" s="603"/>
      <c r="B46" s="787"/>
      <c r="C46" s="253" t="s">
        <v>227</v>
      </c>
      <c r="D46" s="258" t="s">
        <v>270</v>
      </c>
      <c r="E46" s="255"/>
      <c r="F46" s="255"/>
      <c r="G46" s="255"/>
      <c r="H46" s="255"/>
      <c r="I46" s="255">
        <f>-(Businessplan_prodej!$N$17*2*1.21)*75%</f>
        <v>-1567715.9383187499</v>
      </c>
      <c r="J46" s="255"/>
      <c r="K46" s="255"/>
      <c r="L46" s="255"/>
      <c r="M46" s="255"/>
      <c r="N46" s="255"/>
      <c r="O46" s="255">
        <f>-(Businessplan_prodej!$N$17*2*1.21)*25%</f>
        <v>-522571.97943958326</v>
      </c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66">
        <f t="shared" si="18"/>
        <v>-2090287.917758333</v>
      </c>
      <c r="BZ46" s="771"/>
      <c r="CA46" s="226"/>
      <c r="CB46" s="252" t="e">
        <f t="shared" si="21"/>
        <v>#N/A</v>
      </c>
      <c r="CC46" s="771"/>
      <c r="CD46" s="226"/>
      <c r="CE46" s="226"/>
    </row>
    <row r="47" spans="1:83" ht="16">
      <c r="A47" s="603"/>
      <c r="B47" s="787"/>
      <c r="C47" s="248" t="s">
        <v>292</v>
      </c>
      <c r="D47" s="249"/>
      <c r="E47" s="250">
        <f t="shared" ref="E47:BX47" si="22">SUM(E48:E52)</f>
        <v>0</v>
      </c>
      <c r="F47" s="250">
        <f t="shared" si="22"/>
        <v>0</v>
      </c>
      <c r="G47" s="250">
        <f t="shared" si="22"/>
        <v>0</v>
      </c>
      <c r="H47" s="250">
        <f t="shared" si="22"/>
        <v>-1442.155</v>
      </c>
      <c r="I47" s="250">
        <f t="shared" si="22"/>
        <v>-2076.3529166666667</v>
      </c>
      <c r="J47" s="250">
        <f t="shared" si="22"/>
        <v>-2076.3529166666667</v>
      </c>
      <c r="K47" s="250">
        <f t="shared" si="22"/>
        <v>-102076.35291666667</v>
      </c>
      <c r="L47" s="250">
        <f t="shared" si="22"/>
        <v>-2076.3529166666667</v>
      </c>
      <c r="M47" s="250">
        <f t="shared" si="22"/>
        <v>-2076.3529166666667</v>
      </c>
      <c r="N47" s="250">
        <f t="shared" si="22"/>
        <v>-2076.3529166666667</v>
      </c>
      <c r="O47" s="250">
        <f t="shared" si="22"/>
        <v>-2076.3529166666667</v>
      </c>
      <c r="P47" s="250">
        <f t="shared" si="22"/>
        <v>-2076.3529166666667</v>
      </c>
      <c r="Q47" s="250">
        <f t="shared" si="22"/>
        <v>-2076.3529166666667</v>
      </c>
      <c r="R47" s="250">
        <f t="shared" si="22"/>
        <v>-2076.3529166666667</v>
      </c>
      <c r="S47" s="250">
        <f t="shared" si="22"/>
        <v>-2076.3529166666667</v>
      </c>
      <c r="T47" s="250">
        <f t="shared" si="22"/>
        <v>-2076.3529166666667</v>
      </c>
      <c r="U47" s="250">
        <f t="shared" si="22"/>
        <v>0</v>
      </c>
      <c r="V47" s="250">
        <f t="shared" si="22"/>
        <v>0</v>
      </c>
      <c r="W47" s="250">
        <f t="shared" si="22"/>
        <v>0</v>
      </c>
      <c r="X47" s="250">
        <f t="shared" si="22"/>
        <v>0</v>
      </c>
      <c r="Y47" s="250">
        <f t="shared" si="22"/>
        <v>0</v>
      </c>
      <c r="Z47" s="250">
        <f t="shared" si="22"/>
        <v>0</v>
      </c>
      <c r="AA47" s="250">
        <f t="shared" si="22"/>
        <v>0</v>
      </c>
      <c r="AB47" s="250">
        <f t="shared" si="22"/>
        <v>0</v>
      </c>
      <c r="AC47" s="250">
        <f t="shared" si="22"/>
        <v>0</v>
      </c>
      <c r="AD47" s="250">
        <f t="shared" si="22"/>
        <v>0</v>
      </c>
      <c r="AE47" s="250">
        <f t="shared" si="22"/>
        <v>0</v>
      </c>
      <c r="AF47" s="250">
        <f t="shared" si="22"/>
        <v>0</v>
      </c>
      <c r="AG47" s="250">
        <f t="shared" si="22"/>
        <v>0</v>
      </c>
      <c r="AH47" s="250">
        <f t="shared" si="22"/>
        <v>0</v>
      </c>
      <c r="AI47" s="250">
        <f t="shared" si="22"/>
        <v>0</v>
      </c>
      <c r="AJ47" s="250">
        <f t="shared" si="22"/>
        <v>0</v>
      </c>
      <c r="AK47" s="250">
        <f t="shared" si="22"/>
        <v>0</v>
      </c>
      <c r="AL47" s="250">
        <f t="shared" si="22"/>
        <v>0</v>
      </c>
      <c r="AM47" s="250">
        <f t="shared" si="22"/>
        <v>0</v>
      </c>
      <c r="AN47" s="250">
        <f t="shared" si="22"/>
        <v>0</v>
      </c>
      <c r="AO47" s="250">
        <f t="shared" si="22"/>
        <v>0</v>
      </c>
      <c r="AP47" s="250">
        <f t="shared" si="22"/>
        <v>0</v>
      </c>
      <c r="AQ47" s="250">
        <f t="shared" si="22"/>
        <v>0</v>
      </c>
      <c r="AR47" s="250">
        <f t="shared" si="22"/>
        <v>0</v>
      </c>
      <c r="AS47" s="250">
        <f t="shared" si="22"/>
        <v>0</v>
      </c>
      <c r="AT47" s="250">
        <f t="shared" si="22"/>
        <v>0</v>
      </c>
      <c r="AU47" s="250">
        <f t="shared" si="22"/>
        <v>0</v>
      </c>
      <c r="AV47" s="250">
        <f t="shared" si="22"/>
        <v>0</v>
      </c>
      <c r="AW47" s="250">
        <f t="shared" si="22"/>
        <v>0</v>
      </c>
      <c r="AX47" s="250">
        <f t="shared" si="22"/>
        <v>0</v>
      </c>
      <c r="AY47" s="250">
        <f t="shared" si="22"/>
        <v>0</v>
      </c>
      <c r="AZ47" s="250">
        <f t="shared" si="22"/>
        <v>0</v>
      </c>
      <c r="BA47" s="250">
        <f t="shared" si="22"/>
        <v>0</v>
      </c>
      <c r="BB47" s="250">
        <f t="shared" si="22"/>
        <v>0</v>
      </c>
      <c r="BC47" s="250">
        <f t="shared" si="22"/>
        <v>0</v>
      </c>
      <c r="BD47" s="250">
        <f t="shared" si="22"/>
        <v>0</v>
      </c>
      <c r="BE47" s="250">
        <f t="shared" si="22"/>
        <v>0</v>
      </c>
      <c r="BF47" s="250">
        <f t="shared" si="22"/>
        <v>0</v>
      </c>
      <c r="BG47" s="250">
        <f t="shared" si="22"/>
        <v>0</v>
      </c>
      <c r="BH47" s="250">
        <f t="shared" si="22"/>
        <v>0</v>
      </c>
      <c r="BI47" s="250">
        <f t="shared" si="22"/>
        <v>0</v>
      </c>
      <c r="BJ47" s="250">
        <f t="shared" si="22"/>
        <v>0</v>
      </c>
      <c r="BK47" s="250">
        <f t="shared" si="22"/>
        <v>0</v>
      </c>
      <c r="BL47" s="250">
        <f t="shared" si="22"/>
        <v>0</v>
      </c>
      <c r="BM47" s="250">
        <f t="shared" si="22"/>
        <v>0</v>
      </c>
      <c r="BN47" s="250">
        <f t="shared" si="22"/>
        <v>0</v>
      </c>
      <c r="BO47" s="250">
        <f t="shared" si="22"/>
        <v>0</v>
      </c>
      <c r="BP47" s="250">
        <f t="shared" si="22"/>
        <v>0</v>
      </c>
      <c r="BQ47" s="250">
        <f t="shared" si="22"/>
        <v>0</v>
      </c>
      <c r="BR47" s="250">
        <f t="shared" si="22"/>
        <v>0</v>
      </c>
      <c r="BS47" s="250">
        <f t="shared" si="22"/>
        <v>0</v>
      </c>
      <c r="BT47" s="250">
        <f t="shared" si="22"/>
        <v>0</v>
      </c>
      <c r="BU47" s="250">
        <f t="shared" si="22"/>
        <v>0</v>
      </c>
      <c r="BV47" s="250">
        <f t="shared" si="22"/>
        <v>0</v>
      </c>
      <c r="BW47" s="250">
        <f t="shared" si="22"/>
        <v>0</v>
      </c>
      <c r="BX47" s="250">
        <f t="shared" si="22"/>
        <v>0</v>
      </c>
      <c r="BY47" s="252">
        <f>SUM(BY48:BY52)</f>
        <v>-126358.39</v>
      </c>
      <c r="BZ47" s="771"/>
      <c r="CA47" s="226"/>
      <c r="CB47" s="252" t="e">
        <f t="array" ref="CB47">SUM(INDEX(E47:BX47, , 1):INDEX(E47:BX47, ,MATCH($CB$4, $E$3:$BX$3,0) ))</f>
        <v>#N/A</v>
      </c>
      <c r="CC47" s="771"/>
      <c r="CD47" s="226"/>
      <c r="CE47" s="226"/>
    </row>
    <row r="48" spans="1:83" ht="16" outlineLevel="1">
      <c r="A48" s="603"/>
      <c r="B48" s="787"/>
      <c r="C48" s="253" t="s">
        <v>229</v>
      </c>
      <c r="D48" s="254" t="s">
        <v>270</v>
      </c>
      <c r="E48" s="255"/>
      <c r="F48" s="255"/>
      <c r="G48" s="255"/>
      <c r="H48" s="255"/>
      <c r="I48" s="255"/>
      <c r="J48" s="255"/>
      <c r="K48" s="255">
        <f>-Businessplan_prodej!$F$98</f>
        <v>-100000</v>
      </c>
      <c r="L48" s="255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65">
        <f t="shared" ref="BY48:BY52" si="23">SUM(E48:BX48)</f>
        <v>-100000</v>
      </c>
      <c r="BZ48" s="771"/>
      <c r="CA48" s="226"/>
      <c r="CB48" s="252" t="e">
        <f t="shared" ref="CB48:CB52" si="24">SUM(INDEX(AC48:BX48, , 1):INDEX(AC48:BX48, ,MATCH(CB5, E4:BX4,0) ))</f>
        <v>#N/A</v>
      </c>
      <c r="CC48" s="771"/>
      <c r="CD48" s="226"/>
      <c r="CE48" s="226"/>
    </row>
    <row r="49" spans="1:81" ht="16" outlineLevel="1">
      <c r="A49" s="603"/>
      <c r="B49" s="787"/>
      <c r="C49" s="253" t="s">
        <v>293</v>
      </c>
      <c r="D49" s="254" t="s">
        <v>270</v>
      </c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5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5"/>
      <c r="BS49" s="255"/>
      <c r="BT49" s="255"/>
      <c r="BU49" s="255"/>
      <c r="BV49" s="255"/>
      <c r="BW49" s="255"/>
      <c r="BX49" s="264"/>
      <c r="BY49" s="265">
        <f t="shared" si="23"/>
        <v>0</v>
      </c>
      <c r="BZ49" s="771"/>
      <c r="CA49" s="226"/>
      <c r="CB49" s="252" t="e">
        <f t="shared" si="24"/>
        <v>#N/A</v>
      </c>
      <c r="CC49" s="771"/>
    </row>
    <row r="50" spans="1:81" ht="16" outlineLevel="1">
      <c r="A50" s="603"/>
      <c r="B50" s="787"/>
      <c r="C50" s="253" t="s">
        <v>294</v>
      </c>
      <c r="D50" s="254" t="s">
        <v>270</v>
      </c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64"/>
      <c r="BY50" s="265">
        <f t="shared" si="23"/>
        <v>0</v>
      </c>
      <c r="BZ50" s="771"/>
      <c r="CA50" s="226"/>
      <c r="CB50" s="252" t="e">
        <f t="shared" si="24"/>
        <v>#N/A</v>
      </c>
      <c r="CC50" s="771"/>
    </row>
    <row r="51" spans="1:81" ht="16" outlineLevel="1">
      <c r="A51" s="603"/>
      <c r="B51" s="787"/>
      <c r="C51" s="253" t="s">
        <v>236</v>
      </c>
      <c r="D51" s="254" t="s">
        <v>270</v>
      </c>
      <c r="E51" s="255"/>
      <c r="F51" s="255"/>
      <c r="G51" s="255"/>
      <c r="H51" s="255">
        <f>-3-12-5-200-2-12-400-36-(0.02+0.09+0.21+17.06)*22-15.91*24.5</f>
        <v>-1442.155</v>
      </c>
      <c r="I51" s="255">
        <f>-Businessplan_prodej!$F$101/12</f>
        <v>-2076.3529166666667</v>
      </c>
      <c r="J51" s="255">
        <f>-Businessplan_prodej!$F$101/12</f>
        <v>-2076.3529166666667</v>
      </c>
      <c r="K51" s="255">
        <f>-Businessplan_prodej!$F$101/12</f>
        <v>-2076.3529166666667</v>
      </c>
      <c r="L51" s="255">
        <f>-Businessplan_prodej!$F$101/12</f>
        <v>-2076.3529166666667</v>
      </c>
      <c r="M51" s="255">
        <f>-Businessplan_prodej!$F$101/12</f>
        <v>-2076.3529166666667</v>
      </c>
      <c r="N51" s="255">
        <f>-Businessplan_prodej!$F$101/12</f>
        <v>-2076.3529166666667</v>
      </c>
      <c r="O51" s="255">
        <f>-Businessplan_prodej!$F$101/12</f>
        <v>-2076.3529166666667</v>
      </c>
      <c r="P51" s="255">
        <f>-Businessplan_prodej!$F$101/12</f>
        <v>-2076.3529166666667</v>
      </c>
      <c r="Q51" s="255">
        <f>-Businessplan_prodej!$F$101/12</f>
        <v>-2076.3529166666667</v>
      </c>
      <c r="R51" s="255">
        <f>-Businessplan_prodej!$F$101/12</f>
        <v>-2076.3529166666667</v>
      </c>
      <c r="S51" s="255">
        <f>-Businessplan_prodej!$F$101/12</f>
        <v>-2076.3529166666667</v>
      </c>
      <c r="T51" s="255">
        <f>-Businessplan_prodej!$F$101/12</f>
        <v>-2076.3529166666667</v>
      </c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66">
        <f t="shared" si="23"/>
        <v>-26358.39</v>
      </c>
      <c r="BZ51" s="771"/>
      <c r="CA51" s="226"/>
      <c r="CB51" s="252" t="e">
        <f t="shared" si="24"/>
        <v>#N/A</v>
      </c>
      <c r="CC51" s="771"/>
    </row>
    <row r="52" spans="1:81" ht="16" outlineLevel="1">
      <c r="A52" s="603"/>
      <c r="B52" s="787"/>
      <c r="C52" s="253" t="s">
        <v>237</v>
      </c>
      <c r="D52" s="258" t="s">
        <v>270</v>
      </c>
      <c r="E52" s="259"/>
      <c r="F52" s="259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5"/>
      <c r="R52" s="255"/>
      <c r="S52" s="255"/>
      <c r="T52" s="255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68">
        <f t="shared" si="23"/>
        <v>0</v>
      </c>
      <c r="BZ52" s="771"/>
      <c r="CA52" s="226"/>
      <c r="CB52" s="252" t="e">
        <f t="shared" si="24"/>
        <v>#N/A</v>
      </c>
      <c r="CC52" s="771"/>
    </row>
    <row r="53" spans="1:81" ht="16">
      <c r="A53" s="603"/>
      <c r="B53" s="787"/>
      <c r="C53" s="248" t="s">
        <v>295</v>
      </c>
      <c r="D53" s="249"/>
      <c r="E53" s="250">
        <f t="shared" ref="E53:BX53" si="25">SUM(E54:E60)</f>
        <v>0</v>
      </c>
      <c r="F53" s="250">
        <f t="shared" si="25"/>
        <v>0</v>
      </c>
      <c r="G53" s="250">
        <f t="shared" si="25"/>
        <v>0</v>
      </c>
      <c r="H53" s="250">
        <f t="shared" si="25"/>
        <v>0</v>
      </c>
      <c r="I53" s="250">
        <f t="shared" si="25"/>
        <v>0</v>
      </c>
      <c r="J53" s="250">
        <f t="shared" si="25"/>
        <v>-808333</v>
      </c>
      <c r="K53" s="250">
        <f t="shared" si="25"/>
        <v>-128333.33333333336</v>
      </c>
      <c r="L53" s="250">
        <f t="shared" si="25"/>
        <v>-128333.33333333336</v>
      </c>
      <c r="M53" s="250">
        <f t="shared" si="25"/>
        <v>-300125.00000000006</v>
      </c>
      <c r="N53" s="250">
        <f t="shared" si="25"/>
        <v>-300125.00000000006</v>
      </c>
      <c r="O53" s="250">
        <f t="shared" si="25"/>
        <v>-300125.00000000006</v>
      </c>
      <c r="P53" s="250">
        <f t="shared" si="25"/>
        <v>-300125.00000000006</v>
      </c>
      <c r="Q53" s="250">
        <f t="shared" si="25"/>
        <v>-300125.00000000006</v>
      </c>
      <c r="R53" s="250">
        <f t="shared" si="25"/>
        <v>-300125.00000000006</v>
      </c>
      <c r="S53" s="250">
        <f t="shared" si="25"/>
        <v>-300125.00000000006</v>
      </c>
      <c r="T53" s="250">
        <f t="shared" si="25"/>
        <v>-497000.00000000006</v>
      </c>
      <c r="U53" s="250">
        <f t="shared" si="25"/>
        <v>0</v>
      </c>
      <c r="V53" s="250">
        <f t="shared" si="25"/>
        <v>0</v>
      </c>
      <c r="W53" s="250">
        <f t="shared" si="25"/>
        <v>0</v>
      </c>
      <c r="X53" s="250">
        <f t="shared" si="25"/>
        <v>0</v>
      </c>
      <c r="Y53" s="250">
        <f t="shared" si="25"/>
        <v>0</v>
      </c>
      <c r="Z53" s="250">
        <f t="shared" si="25"/>
        <v>0</v>
      </c>
      <c r="AA53" s="250">
        <f t="shared" si="25"/>
        <v>0</v>
      </c>
      <c r="AB53" s="250">
        <f t="shared" si="25"/>
        <v>0</v>
      </c>
      <c r="AC53" s="250">
        <f t="shared" si="25"/>
        <v>0</v>
      </c>
      <c r="AD53" s="250">
        <f t="shared" si="25"/>
        <v>0</v>
      </c>
      <c r="AE53" s="250">
        <f t="shared" si="25"/>
        <v>0</v>
      </c>
      <c r="AF53" s="250">
        <f t="shared" si="25"/>
        <v>0</v>
      </c>
      <c r="AG53" s="250">
        <f t="shared" si="25"/>
        <v>0</v>
      </c>
      <c r="AH53" s="250">
        <f t="shared" si="25"/>
        <v>0</v>
      </c>
      <c r="AI53" s="250">
        <f t="shared" si="25"/>
        <v>0</v>
      </c>
      <c r="AJ53" s="250">
        <f t="shared" si="25"/>
        <v>0</v>
      </c>
      <c r="AK53" s="250">
        <f t="shared" si="25"/>
        <v>0</v>
      </c>
      <c r="AL53" s="250">
        <f t="shared" si="25"/>
        <v>0</v>
      </c>
      <c r="AM53" s="250">
        <f t="shared" si="25"/>
        <v>0</v>
      </c>
      <c r="AN53" s="250">
        <f t="shared" si="25"/>
        <v>0</v>
      </c>
      <c r="AO53" s="250">
        <f t="shared" si="25"/>
        <v>0</v>
      </c>
      <c r="AP53" s="250">
        <f t="shared" si="25"/>
        <v>0</v>
      </c>
      <c r="AQ53" s="250">
        <f t="shared" si="25"/>
        <v>0</v>
      </c>
      <c r="AR53" s="250">
        <f t="shared" si="25"/>
        <v>0</v>
      </c>
      <c r="AS53" s="250">
        <f t="shared" si="25"/>
        <v>0</v>
      </c>
      <c r="AT53" s="250">
        <f t="shared" si="25"/>
        <v>0</v>
      </c>
      <c r="AU53" s="250">
        <f t="shared" si="25"/>
        <v>0</v>
      </c>
      <c r="AV53" s="250">
        <f t="shared" si="25"/>
        <v>0</v>
      </c>
      <c r="AW53" s="250">
        <f t="shared" si="25"/>
        <v>0</v>
      </c>
      <c r="AX53" s="250">
        <f t="shared" si="25"/>
        <v>0</v>
      </c>
      <c r="AY53" s="250">
        <f t="shared" si="25"/>
        <v>0</v>
      </c>
      <c r="AZ53" s="250">
        <f t="shared" si="25"/>
        <v>0</v>
      </c>
      <c r="BA53" s="250">
        <f t="shared" si="25"/>
        <v>0</v>
      </c>
      <c r="BB53" s="250">
        <f t="shared" si="25"/>
        <v>0</v>
      </c>
      <c r="BC53" s="250">
        <f t="shared" si="25"/>
        <v>0</v>
      </c>
      <c r="BD53" s="250">
        <f t="shared" si="25"/>
        <v>0</v>
      </c>
      <c r="BE53" s="250">
        <f t="shared" si="25"/>
        <v>0</v>
      </c>
      <c r="BF53" s="250">
        <f t="shared" si="25"/>
        <v>0</v>
      </c>
      <c r="BG53" s="250">
        <f t="shared" si="25"/>
        <v>0</v>
      </c>
      <c r="BH53" s="250">
        <f t="shared" si="25"/>
        <v>0</v>
      </c>
      <c r="BI53" s="250">
        <f t="shared" si="25"/>
        <v>0</v>
      </c>
      <c r="BJ53" s="250">
        <f t="shared" si="25"/>
        <v>0</v>
      </c>
      <c r="BK53" s="250">
        <f t="shared" si="25"/>
        <v>0</v>
      </c>
      <c r="BL53" s="250">
        <f t="shared" si="25"/>
        <v>0</v>
      </c>
      <c r="BM53" s="250">
        <f t="shared" si="25"/>
        <v>0</v>
      </c>
      <c r="BN53" s="250">
        <f t="shared" si="25"/>
        <v>0</v>
      </c>
      <c r="BO53" s="250">
        <f t="shared" si="25"/>
        <v>0</v>
      </c>
      <c r="BP53" s="250">
        <f t="shared" si="25"/>
        <v>0</v>
      </c>
      <c r="BQ53" s="250">
        <f t="shared" si="25"/>
        <v>0</v>
      </c>
      <c r="BR53" s="250">
        <f t="shared" si="25"/>
        <v>0</v>
      </c>
      <c r="BS53" s="250">
        <f t="shared" si="25"/>
        <v>0</v>
      </c>
      <c r="BT53" s="250">
        <f t="shared" si="25"/>
        <v>0</v>
      </c>
      <c r="BU53" s="250">
        <f t="shared" si="25"/>
        <v>0</v>
      </c>
      <c r="BV53" s="250">
        <f t="shared" si="25"/>
        <v>0</v>
      </c>
      <c r="BW53" s="250">
        <f t="shared" si="25"/>
        <v>0</v>
      </c>
      <c r="BX53" s="250">
        <f t="shared" si="25"/>
        <v>0</v>
      </c>
      <c r="BY53" s="252">
        <f>SUM(BY54:BY60)</f>
        <v>-3662874.666666667</v>
      </c>
      <c r="BZ53" s="771"/>
      <c r="CA53" s="226"/>
      <c r="CB53" s="252" t="e">
        <f t="array" ref="CB53">SUM(INDEX(E53:BX53, , 1):INDEX(E53:BX53, ,MATCH($CB$4, $E$3:$BX$3,0) ))</f>
        <v>#N/A</v>
      </c>
      <c r="CC53" s="771"/>
    </row>
    <row r="54" spans="1:81" ht="16" outlineLevel="1">
      <c r="A54" s="603"/>
      <c r="B54" s="787"/>
      <c r="C54" s="253" t="s">
        <v>296</v>
      </c>
      <c r="D54" s="279">
        <v>0.105</v>
      </c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64"/>
      <c r="BN54" s="264"/>
      <c r="BO54" s="264"/>
      <c r="BP54" s="264"/>
      <c r="BQ54" s="264"/>
      <c r="BR54" s="264"/>
      <c r="BS54" s="264"/>
      <c r="BT54" s="264"/>
      <c r="BU54" s="264"/>
      <c r="BV54" s="264"/>
      <c r="BW54" s="264"/>
      <c r="BX54" s="264"/>
      <c r="BY54" s="280">
        <f t="shared" ref="BY54:BY60" si="26">SUM(E54:BX54)</f>
        <v>0</v>
      </c>
      <c r="BZ54" s="771"/>
      <c r="CA54" s="226"/>
      <c r="CB54" s="252" t="e">
        <f t="shared" ref="CB54:CB60" si="27">SUM(INDEX(AC54:BX54, , 1):INDEX(AC54:BX54, ,MATCH(CB11, E10:BX10,0) ))</f>
        <v>#N/A</v>
      </c>
      <c r="CC54" s="771"/>
    </row>
    <row r="55" spans="1:81" ht="16" outlineLevel="1">
      <c r="A55" s="603"/>
      <c r="B55" s="787"/>
      <c r="C55" s="253" t="s">
        <v>297</v>
      </c>
      <c r="D55" s="279">
        <v>0.105</v>
      </c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>
        <f>-SUM('Interest Calc EQ'!J12:J22)-'Interest Calc EQ'!J22</f>
        <v>-196875</v>
      </c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64"/>
      <c r="BN55" s="264"/>
      <c r="BO55" s="264"/>
      <c r="BP55" s="264"/>
      <c r="BQ55" s="264"/>
      <c r="BR55" s="264"/>
      <c r="BS55" s="264"/>
      <c r="BT55" s="264"/>
      <c r="BU55" s="264"/>
      <c r="BV55" s="264"/>
      <c r="BW55" s="264"/>
      <c r="BX55" s="264"/>
      <c r="BY55" s="280">
        <f t="shared" si="26"/>
        <v>-196875</v>
      </c>
      <c r="BZ55" s="771"/>
      <c r="CA55" s="226"/>
      <c r="CB55" s="252" t="e">
        <f t="shared" si="27"/>
        <v>#N/A</v>
      </c>
      <c r="CC55" s="771"/>
    </row>
    <row r="56" spans="1:81" ht="16" outlineLevel="1">
      <c r="A56" s="603"/>
      <c r="B56" s="787"/>
      <c r="C56" s="253" t="s">
        <v>298</v>
      </c>
      <c r="D56" s="279">
        <v>0.105</v>
      </c>
      <c r="E56" s="255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80">
        <f t="shared" si="26"/>
        <v>0</v>
      </c>
      <c r="BZ56" s="771"/>
      <c r="CA56" s="226"/>
      <c r="CB56" s="252" t="e">
        <f t="shared" si="27"/>
        <v>#N/A</v>
      </c>
      <c r="CC56" s="771"/>
    </row>
    <row r="57" spans="1:81" ht="16" outlineLevel="1">
      <c r="A57" s="603"/>
      <c r="B57" s="787"/>
      <c r="C57" s="253" t="s">
        <v>299</v>
      </c>
      <c r="D57" s="279">
        <v>0.105</v>
      </c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81">
        <f t="shared" si="26"/>
        <v>0</v>
      </c>
      <c r="BZ57" s="771"/>
      <c r="CA57" s="226"/>
      <c r="CB57" s="252" t="e">
        <f t="shared" si="27"/>
        <v>#N/A</v>
      </c>
      <c r="CC57" s="771"/>
    </row>
    <row r="58" spans="1:81" ht="16" outlineLevel="1">
      <c r="A58" s="603"/>
      <c r="B58" s="787"/>
      <c r="C58" s="253" t="s">
        <v>300</v>
      </c>
      <c r="D58" s="279">
        <v>0.15</v>
      </c>
      <c r="E58" s="255"/>
      <c r="F58" s="255"/>
      <c r="G58" s="255"/>
      <c r="H58" s="255"/>
      <c r="I58" s="255"/>
      <c r="J58" s="255">
        <f>-657296-151037</f>
        <v>-808333</v>
      </c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82">
        <f t="shared" si="26"/>
        <v>-808333</v>
      </c>
      <c r="BZ58" s="771"/>
      <c r="CA58" s="226"/>
      <c r="CB58" s="252" t="e">
        <f t="shared" si="27"/>
        <v>#N/A</v>
      </c>
      <c r="CC58" s="771"/>
    </row>
    <row r="59" spans="1:81" ht="16" outlineLevel="1">
      <c r="A59" s="603"/>
      <c r="B59" s="787"/>
      <c r="C59" s="253" t="s">
        <v>622</v>
      </c>
      <c r="D59" s="283">
        <f>25%/12</f>
        <v>2.0833333333333332E-2</v>
      </c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82">
        <f t="shared" si="26"/>
        <v>0</v>
      </c>
      <c r="BZ59" s="771"/>
      <c r="CA59" s="226"/>
      <c r="CB59" s="252" t="e">
        <f t="shared" si="27"/>
        <v>#N/A</v>
      </c>
      <c r="CC59" s="771"/>
    </row>
    <row r="60" spans="1:81" ht="16" outlineLevel="1">
      <c r="A60" s="603"/>
      <c r="B60" s="787"/>
      <c r="C60" s="284" t="s">
        <v>302</v>
      </c>
      <c r="D60" s="285">
        <v>7.0000000000000007E-2</v>
      </c>
      <c r="E60" s="286"/>
      <c r="F60" s="286"/>
      <c r="G60" s="286"/>
      <c r="H60" s="286"/>
      <c r="I60" s="286"/>
      <c r="J60" s="286"/>
      <c r="K60" s="286">
        <f t="shared" ref="K60:L60" si="28">-$K$11*$D$60/12</f>
        <v>-128333.33333333336</v>
      </c>
      <c r="L60" s="286">
        <f t="shared" si="28"/>
        <v>-128333.33333333336</v>
      </c>
      <c r="M60" s="286">
        <f t="shared" ref="M60:T60" si="29">-SUM($K$11:$M$11)*$D$60/12</f>
        <v>-300125.00000000006</v>
      </c>
      <c r="N60" s="286">
        <f t="shared" si="29"/>
        <v>-300125.00000000006</v>
      </c>
      <c r="O60" s="286">
        <f t="shared" si="29"/>
        <v>-300125.00000000006</v>
      </c>
      <c r="P60" s="286">
        <f t="shared" si="29"/>
        <v>-300125.00000000006</v>
      </c>
      <c r="Q60" s="286">
        <f t="shared" si="29"/>
        <v>-300125.00000000006</v>
      </c>
      <c r="R60" s="286">
        <f t="shared" si="29"/>
        <v>-300125.00000000006</v>
      </c>
      <c r="S60" s="286">
        <f t="shared" si="29"/>
        <v>-300125.00000000006</v>
      </c>
      <c r="T60" s="286">
        <f t="shared" si="29"/>
        <v>-300125.00000000006</v>
      </c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6"/>
      <c r="BC60" s="286"/>
      <c r="BD60" s="286"/>
      <c r="BE60" s="286"/>
      <c r="BF60" s="286"/>
      <c r="BG60" s="286"/>
      <c r="BH60" s="286"/>
      <c r="BI60" s="286"/>
      <c r="BJ60" s="286"/>
      <c r="BK60" s="286"/>
      <c r="BL60" s="286"/>
      <c r="BM60" s="288"/>
      <c r="BN60" s="288"/>
      <c r="BO60" s="288"/>
      <c r="BP60" s="288"/>
      <c r="BQ60" s="288"/>
      <c r="BR60" s="288"/>
      <c r="BS60" s="288"/>
      <c r="BT60" s="288"/>
      <c r="BU60" s="288"/>
      <c r="BV60" s="288"/>
      <c r="BW60" s="288"/>
      <c r="BX60" s="288"/>
      <c r="BY60" s="289">
        <f t="shared" si="26"/>
        <v>-2657666.666666667</v>
      </c>
      <c r="BZ60" s="771"/>
      <c r="CA60" s="226"/>
      <c r="CB60" s="252" t="e">
        <f t="shared" si="27"/>
        <v>#N/A</v>
      </c>
      <c r="CC60" s="771"/>
    </row>
    <row r="61" spans="1:81" ht="16">
      <c r="A61" s="603"/>
      <c r="B61" s="787"/>
      <c r="C61" s="248" t="s">
        <v>303</v>
      </c>
      <c r="D61" s="249"/>
      <c r="E61" s="250">
        <f t="shared" ref="E61:BY61" si="30">SUM(E62:E84)</f>
        <v>0</v>
      </c>
      <c r="F61" s="250">
        <f t="shared" si="30"/>
        <v>0</v>
      </c>
      <c r="G61" s="250">
        <f t="shared" si="30"/>
        <v>0</v>
      </c>
      <c r="H61" s="250">
        <f t="shared" si="30"/>
        <v>0</v>
      </c>
      <c r="I61" s="250">
        <f t="shared" si="30"/>
        <v>0</v>
      </c>
      <c r="J61" s="250">
        <f t="shared" si="30"/>
        <v>0</v>
      </c>
      <c r="K61" s="250">
        <f t="shared" si="30"/>
        <v>0</v>
      </c>
      <c r="L61" s="250">
        <f t="shared" si="30"/>
        <v>0</v>
      </c>
      <c r="M61" s="250">
        <f t="shared" si="30"/>
        <v>0</v>
      </c>
      <c r="N61" s="250">
        <f t="shared" si="30"/>
        <v>0</v>
      </c>
      <c r="O61" s="250">
        <f t="shared" si="30"/>
        <v>0</v>
      </c>
      <c r="P61" s="250">
        <f t="shared" si="30"/>
        <v>0</v>
      </c>
      <c r="Q61" s="250">
        <f t="shared" si="30"/>
        <v>-97718.69249999999</v>
      </c>
      <c r="R61" s="250">
        <f t="shared" si="30"/>
        <v>-97718.69249999999</v>
      </c>
      <c r="S61" s="250">
        <f t="shared" si="30"/>
        <v>-97718.69249999999</v>
      </c>
      <c r="T61" s="250">
        <f t="shared" si="30"/>
        <v>-97718.69249999999</v>
      </c>
      <c r="U61" s="250">
        <f t="shared" si="30"/>
        <v>0</v>
      </c>
      <c r="V61" s="250">
        <f t="shared" si="30"/>
        <v>0</v>
      </c>
      <c r="W61" s="250">
        <f t="shared" si="30"/>
        <v>0</v>
      </c>
      <c r="X61" s="250">
        <f t="shared" si="30"/>
        <v>0</v>
      </c>
      <c r="Y61" s="250">
        <f t="shared" si="30"/>
        <v>0</v>
      </c>
      <c r="Z61" s="250">
        <f t="shared" si="30"/>
        <v>0</v>
      </c>
      <c r="AA61" s="250">
        <f t="shared" si="30"/>
        <v>0</v>
      </c>
      <c r="AB61" s="250">
        <f t="shared" si="30"/>
        <v>0</v>
      </c>
      <c r="AC61" s="250">
        <f t="shared" si="30"/>
        <v>0</v>
      </c>
      <c r="AD61" s="250">
        <f t="shared" si="30"/>
        <v>0</v>
      </c>
      <c r="AE61" s="250">
        <f t="shared" si="30"/>
        <v>0</v>
      </c>
      <c r="AF61" s="250">
        <f t="shared" si="30"/>
        <v>0</v>
      </c>
      <c r="AG61" s="250">
        <f t="shared" si="30"/>
        <v>0</v>
      </c>
      <c r="AH61" s="250">
        <f t="shared" si="30"/>
        <v>0</v>
      </c>
      <c r="AI61" s="250">
        <f t="shared" si="30"/>
        <v>0</v>
      </c>
      <c r="AJ61" s="250">
        <f t="shared" si="30"/>
        <v>0</v>
      </c>
      <c r="AK61" s="250">
        <f t="shared" si="30"/>
        <v>0</v>
      </c>
      <c r="AL61" s="250">
        <f t="shared" si="30"/>
        <v>0</v>
      </c>
      <c r="AM61" s="250">
        <f t="shared" si="30"/>
        <v>0</v>
      </c>
      <c r="AN61" s="250">
        <f t="shared" si="30"/>
        <v>0</v>
      </c>
      <c r="AO61" s="250">
        <f t="shared" si="30"/>
        <v>0</v>
      </c>
      <c r="AP61" s="250">
        <f t="shared" si="30"/>
        <v>0</v>
      </c>
      <c r="AQ61" s="250">
        <f t="shared" si="30"/>
        <v>0</v>
      </c>
      <c r="AR61" s="250">
        <f t="shared" si="30"/>
        <v>0</v>
      </c>
      <c r="AS61" s="250">
        <f t="shared" si="30"/>
        <v>0</v>
      </c>
      <c r="AT61" s="250">
        <f t="shared" si="30"/>
        <v>0</v>
      </c>
      <c r="AU61" s="250">
        <f t="shared" si="30"/>
        <v>0</v>
      </c>
      <c r="AV61" s="250">
        <f t="shared" si="30"/>
        <v>0</v>
      </c>
      <c r="AW61" s="250">
        <f t="shared" si="30"/>
        <v>0</v>
      </c>
      <c r="AX61" s="250">
        <f t="shared" si="30"/>
        <v>0</v>
      </c>
      <c r="AY61" s="250">
        <f t="shared" si="30"/>
        <v>0</v>
      </c>
      <c r="AZ61" s="250">
        <f t="shared" si="30"/>
        <v>0</v>
      </c>
      <c r="BA61" s="250">
        <f t="shared" si="30"/>
        <v>0</v>
      </c>
      <c r="BB61" s="250">
        <f t="shared" si="30"/>
        <v>0</v>
      </c>
      <c r="BC61" s="250">
        <f t="shared" si="30"/>
        <v>0</v>
      </c>
      <c r="BD61" s="250">
        <f t="shared" si="30"/>
        <v>0</v>
      </c>
      <c r="BE61" s="250">
        <f t="shared" si="30"/>
        <v>0</v>
      </c>
      <c r="BF61" s="250">
        <f t="shared" si="30"/>
        <v>0</v>
      </c>
      <c r="BG61" s="250">
        <f t="shared" si="30"/>
        <v>0</v>
      </c>
      <c r="BH61" s="250">
        <f t="shared" si="30"/>
        <v>0</v>
      </c>
      <c r="BI61" s="250">
        <f t="shared" si="30"/>
        <v>0</v>
      </c>
      <c r="BJ61" s="250">
        <f t="shared" si="30"/>
        <v>0</v>
      </c>
      <c r="BK61" s="250">
        <f t="shared" si="30"/>
        <v>0</v>
      </c>
      <c r="BL61" s="250">
        <f t="shared" si="30"/>
        <v>0</v>
      </c>
      <c r="BM61" s="250">
        <f t="shared" si="30"/>
        <v>0</v>
      </c>
      <c r="BN61" s="250">
        <f t="shared" si="30"/>
        <v>0</v>
      </c>
      <c r="BO61" s="250">
        <f t="shared" si="30"/>
        <v>0</v>
      </c>
      <c r="BP61" s="250">
        <f t="shared" si="30"/>
        <v>0</v>
      </c>
      <c r="BQ61" s="250">
        <f t="shared" si="30"/>
        <v>0</v>
      </c>
      <c r="BR61" s="250">
        <f t="shared" si="30"/>
        <v>0</v>
      </c>
      <c r="BS61" s="250">
        <f t="shared" si="30"/>
        <v>0</v>
      </c>
      <c r="BT61" s="250">
        <f t="shared" si="30"/>
        <v>0</v>
      </c>
      <c r="BU61" s="250">
        <f t="shared" si="30"/>
        <v>0</v>
      </c>
      <c r="BV61" s="250">
        <f t="shared" si="30"/>
        <v>0</v>
      </c>
      <c r="BW61" s="250">
        <f t="shared" si="30"/>
        <v>0</v>
      </c>
      <c r="BX61" s="250">
        <f t="shared" si="30"/>
        <v>0</v>
      </c>
      <c r="BY61" s="251">
        <f t="shared" si="30"/>
        <v>-390874.76999999996</v>
      </c>
      <c r="BZ61" s="771"/>
      <c r="CA61" s="226"/>
      <c r="CB61" s="252" t="e">
        <f t="array" ref="CB61">SUM(INDEX(E61:BX61, , 1):INDEX(E61:BX61, ,MATCH($CB$4, $E$3:$BX$3,0) ))</f>
        <v>#N/A</v>
      </c>
      <c r="CC61" s="771"/>
    </row>
    <row r="62" spans="1:81" ht="16" outlineLevel="1">
      <c r="A62" s="603"/>
      <c r="B62" s="787"/>
      <c r="C62" s="290" t="s">
        <v>304</v>
      </c>
      <c r="D62" s="254" t="s">
        <v>270</v>
      </c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56"/>
      <c r="Y62" s="256"/>
      <c r="Z62" s="256"/>
      <c r="AA62" s="256"/>
      <c r="AB62" s="256"/>
      <c r="AC62" s="256"/>
      <c r="AD62" s="256"/>
      <c r="AE62" s="256"/>
      <c r="AF62" s="256"/>
      <c r="AG62" s="256"/>
      <c r="AH62" s="256"/>
      <c r="AI62" s="256"/>
      <c r="AJ62" s="256"/>
      <c r="AK62" s="256"/>
      <c r="AL62" s="256"/>
      <c r="AM62" s="256"/>
      <c r="AN62" s="256"/>
      <c r="AO62" s="256"/>
      <c r="AP62" s="256"/>
      <c r="AQ62" s="256"/>
      <c r="AR62" s="256"/>
      <c r="AS62" s="256"/>
      <c r="AT62" s="256"/>
      <c r="AU62" s="256"/>
      <c r="AV62" s="256"/>
      <c r="AW62" s="256"/>
      <c r="AX62" s="256"/>
      <c r="AY62" s="256"/>
      <c r="AZ62" s="256"/>
      <c r="BA62" s="256"/>
      <c r="BB62" s="256"/>
      <c r="BC62" s="256"/>
      <c r="BD62" s="256"/>
      <c r="BE62" s="256"/>
      <c r="BF62" s="256"/>
      <c r="BG62" s="256"/>
      <c r="BH62" s="256"/>
      <c r="BI62" s="256"/>
      <c r="BJ62" s="256"/>
      <c r="BK62" s="256"/>
      <c r="BL62" s="256"/>
      <c r="BM62" s="256"/>
      <c r="BN62" s="256"/>
      <c r="BO62" s="256"/>
      <c r="BP62" s="256"/>
      <c r="BQ62" s="256"/>
      <c r="BR62" s="256"/>
      <c r="BS62" s="256"/>
      <c r="BT62" s="256"/>
      <c r="BU62" s="256"/>
      <c r="BV62" s="256"/>
      <c r="BW62" s="256"/>
      <c r="BX62" s="256"/>
      <c r="BY62" s="291">
        <f t="shared" ref="BY62:BY84" si="31">SUM(E62:BX62)</f>
        <v>0</v>
      </c>
      <c r="BZ62" s="771"/>
      <c r="CA62" s="226"/>
      <c r="CB62" s="252" t="e">
        <f t="shared" ref="CB62:CB83" si="32">SUM(INDEX(AC62:BX62, , 1):INDEX(AC62:BX62, ,MATCH(CB19, E18:BX18,0) ))</f>
        <v>#N/A</v>
      </c>
      <c r="CC62" s="771"/>
    </row>
    <row r="63" spans="1:81" ht="16" outlineLevel="1">
      <c r="A63" s="603"/>
      <c r="B63" s="787"/>
      <c r="C63" s="292" t="s">
        <v>305</v>
      </c>
      <c r="D63" s="254" t="s">
        <v>270</v>
      </c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6"/>
      <c r="Z63" s="256"/>
      <c r="AA63" s="256"/>
      <c r="AB63" s="256"/>
      <c r="AC63" s="256"/>
      <c r="AD63" s="256"/>
      <c r="AE63" s="256"/>
      <c r="AF63" s="256"/>
      <c r="AG63" s="256"/>
      <c r="AH63" s="256"/>
      <c r="AI63" s="256"/>
      <c r="AJ63" s="256"/>
      <c r="AK63" s="256"/>
      <c r="AL63" s="256"/>
      <c r="AM63" s="256"/>
      <c r="AN63" s="256"/>
      <c r="AO63" s="256"/>
      <c r="AP63" s="256"/>
      <c r="AQ63" s="256"/>
      <c r="AR63" s="256"/>
      <c r="AS63" s="256"/>
      <c r="AT63" s="256"/>
      <c r="AU63" s="256"/>
      <c r="AV63" s="256"/>
      <c r="AW63" s="256"/>
      <c r="AX63" s="256"/>
      <c r="AY63" s="256"/>
      <c r="AZ63" s="256"/>
      <c r="BA63" s="256"/>
      <c r="BB63" s="256"/>
      <c r="BC63" s="256"/>
      <c r="BD63" s="256"/>
      <c r="BE63" s="256"/>
      <c r="BF63" s="256"/>
      <c r="BG63" s="256"/>
      <c r="BH63" s="256"/>
      <c r="BI63" s="256"/>
      <c r="BJ63" s="256"/>
      <c r="BK63" s="256"/>
      <c r="BL63" s="256"/>
      <c r="BM63" s="256"/>
      <c r="BN63" s="256"/>
      <c r="BO63" s="256"/>
      <c r="BP63" s="256"/>
      <c r="BQ63" s="256"/>
      <c r="BR63" s="256"/>
      <c r="BS63" s="256"/>
      <c r="BT63" s="256"/>
      <c r="BU63" s="256"/>
      <c r="BV63" s="256"/>
      <c r="BW63" s="256"/>
      <c r="BX63" s="256"/>
      <c r="BY63" s="291">
        <f t="shared" si="31"/>
        <v>0</v>
      </c>
      <c r="BZ63" s="771"/>
      <c r="CA63" s="226"/>
      <c r="CB63" s="252" t="e">
        <f t="shared" si="32"/>
        <v>#N/A</v>
      </c>
      <c r="CC63" s="771"/>
    </row>
    <row r="64" spans="1:81" ht="16" outlineLevel="1">
      <c r="A64" s="603"/>
      <c r="B64" s="787"/>
      <c r="C64" s="292" t="s">
        <v>306</v>
      </c>
      <c r="D64" s="254" t="s">
        <v>270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  <c r="AN64" s="256"/>
      <c r="AO64" s="256"/>
      <c r="AP64" s="256"/>
      <c r="AQ64" s="256"/>
      <c r="AR64" s="256"/>
      <c r="AS64" s="256"/>
      <c r="AT64" s="256"/>
      <c r="AU64" s="256"/>
      <c r="AV64" s="256"/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91">
        <f t="shared" si="31"/>
        <v>0</v>
      </c>
      <c r="BZ64" s="771"/>
      <c r="CA64" s="226"/>
      <c r="CB64" s="252" t="e">
        <f t="shared" si="32"/>
        <v>#N/A</v>
      </c>
      <c r="CC64" s="771"/>
    </row>
    <row r="65" spans="1:81" ht="16" outlineLevel="1">
      <c r="A65" s="603"/>
      <c r="B65" s="787"/>
      <c r="C65" s="292" t="s">
        <v>307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91">
        <f t="shared" si="31"/>
        <v>0</v>
      </c>
      <c r="BZ65" s="771"/>
      <c r="CA65" s="226"/>
      <c r="CB65" s="252" t="e">
        <f t="shared" si="32"/>
        <v>#N/A</v>
      </c>
      <c r="CC65" s="771"/>
    </row>
    <row r="66" spans="1:81" ht="16" outlineLevel="1">
      <c r="A66" s="603"/>
      <c r="B66" s="787"/>
      <c r="C66" s="292" t="s">
        <v>308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91">
        <f t="shared" si="31"/>
        <v>0</v>
      </c>
      <c r="BZ66" s="771"/>
      <c r="CA66" s="226"/>
      <c r="CB66" s="252" t="e">
        <f t="shared" si="32"/>
        <v>#N/A</v>
      </c>
      <c r="CC66" s="771"/>
    </row>
    <row r="67" spans="1:81" ht="16" outlineLevel="1">
      <c r="A67" s="603"/>
      <c r="B67" s="787"/>
      <c r="C67" s="292" t="s">
        <v>309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91">
        <f t="shared" si="31"/>
        <v>0</v>
      </c>
      <c r="BZ67" s="771"/>
      <c r="CA67" s="226"/>
      <c r="CB67" s="252" t="e">
        <f t="shared" si="32"/>
        <v>#REF!</v>
      </c>
      <c r="CC67" s="771"/>
    </row>
    <row r="68" spans="1:81" ht="16" outlineLevel="1">
      <c r="A68" s="603"/>
      <c r="B68" s="787"/>
      <c r="C68" s="292" t="s">
        <v>310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91">
        <f t="shared" si="31"/>
        <v>0</v>
      </c>
      <c r="BZ68" s="771"/>
      <c r="CA68" s="226"/>
      <c r="CB68" s="252" t="e">
        <f t="shared" si="32"/>
        <v>#REF!</v>
      </c>
      <c r="CC68" s="771"/>
    </row>
    <row r="69" spans="1:81" ht="16" outlineLevel="1">
      <c r="A69" s="603"/>
      <c r="B69" s="787"/>
      <c r="C69" s="292" t="s">
        <v>311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91">
        <f t="shared" si="31"/>
        <v>0</v>
      </c>
      <c r="BZ69" s="771"/>
      <c r="CA69" s="226"/>
      <c r="CB69" s="252" t="e">
        <f t="shared" si="32"/>
        <v>#N/A</v>
      </c>
      <c r="CC69" s="771"/>
    </row>
    <row r="70" spans="1:81" ht="16" outlineLevel="1">
      <c r="A70" s="603"/>
      <c r="B70" s="787"/>
      <c r="C70" s="292" t="s">
        <v>312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91">
        <f t="shared" si="31"/>
        <v>0</v>
      </c>
      <c r="BZ70" s="771"/>
      <c r="CA70" s="226"/>
      <c r="CB70" s="252" t="e">
        <f t="shared" si="32"/>
        <v>#REF!</v>
      </c>
      <c r="CC70" s="771"/>
    </row>
    <row r="71" spans="1:81" ht="16" outlineLevel="1">
      <c r="A71" s="603"/>
      <c r="B71" s="787"/>
      <c r="C71" s="292" t="s">
        <v>313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91">
        <f t="shared" si="31"/>
        <v>0</v>
      </c>
      <c r="BZ71" s="771"/>
      <c r="CA71" s="226"/>
      <c r="CB71" s="252" t="e">
        <f t="shared" si="32"/>
        <v>#REF!</v>
      </c>
      <c r="CC71" s="771"/>
    </row>
    <row r="72" spans="1:81" ht="16" outlineLevel="1">
      <c r="A72" s="603"/>
      <c r="B72" s="787"/>
      <c r="C72" s="292" t="s">
        <v>314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91">
        <f t="shared" si="31"/>
        <v>0</v>
      </c>
      <c r="BZ72" s="771"/>
      <c r="CA72" s="226"/>
      <c r="CB72" s="252" t="e">
        <f t="shared" si="32"/>
        <v>#REF!</v>
      </c>
      <c r="CC72" s="771"/>
    </row>
    <row r="73" spans="1:81" ht="16" outlineLevel="1">
      <c r="A73" s="603"/>
      <c r="B73" s="787"/>
      <c r="C73" s="292" t="s">
        <v>315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91">
        <f t="shared" si="31"/>
        <v>0</v>
      </c>
      <c r="BZ73" s="771"/>
      <c r="CA73" s="226"/>
      <c r="CB73" s="252" t="e">
        <f t="shared" si="32"/>
        <v>#REF!</v>
      </c>
      <c r="CC73" s="771"/>
    </row>
    <row r="74" spans="1:81" ht="16" outlineLevel="1">
      <c r="A74" s="603"/>
      <c r="B74" s="787"/>
      <c r="C74" s="292" t="s">
        <v>316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91">
        <f t="shared" si="31"/>
        <v>0</v>
      </c>
      <c r="BZ74" s="771"/>
      <c r="CA74" s="226"/>
      <c r="CB74" s="252" t="e">
        <f t="shared" si="32"/>
        <v>#REF!</v>
      </c>
      <c r="CC74" s="771"/>
    </row>
    <row r="75" spans="1:81" ht="16" outlineLevel="1">
      <c r="A75" s="603"/>
      <c r="B75" s="787"/>
      <c r="C75" s="292" t="s">
        <v>317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91">
        <f t="shared" si="31"/>
        <v>0</v>
      </c>
      <c r="BZ75" s="771"/>
      <c r="CA75" s="226"/>
      <c r="CB75" s="252" t="e">
        <f t="shared" si="32"/>
        <v>#REF!</v>
      </c>
      <c r="CC75" s="771"/>
    </row>
    <row r="76" spans="1:81" ht="16" outlineLevel="1">
      <c r="A76" s="603"/>
      <c r="B76" s="787"/>
      <c r="C76" s="292" t="s">
        <v>318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91">
        <f t="shared" si="31"/>
        <v>0</v>
      </c>
      <c r="BZ76" s="771"/>
      <c r="CA76" s="226"/>
      <c r="CB76" s="252" t="e">
        <f t="shared" si="32"/>
        <v>#REF!</v>
      </c>
      <c r="CC76" s="771"/>
    </row>
    <row r="77" spans="1:81" ht="16" outlineLevel="1">
      <c r="A77" s="603"/>
      <c r="B77" s="787"/>
      <c r="C77" s="292" t="s">
        <v>319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91">
        <f t="shared" si="31"/>
        <v>0</v>
      </c>
      <c r="BZ77" s="771"/>
      <c r="CA77" s="226"/>
      <c r="CB77" s="252" t="e">
        <f t="shared" si="32"/>
        <v>#N/A</v>
      </c>
      <c r="CC77" s="771"/>
    </row>
    <row r="78" spans="1:81" ht="16" outlineLevel="1">
      <c r="A78" s="603"/>
      <c r="B78" s="787"/>
      <c r="C78" s="292" t="s">
        <v>320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91">
        <f t="shared" si="31"/>
        <v>0</v>
      </c>
      <c r="BZ78" s="771"/>
      <c r="CA78" s="226" t="s">
        <v>623</v>
      </c>
      <c r="CB78" s="252" t="e">
        <f t="shared" si="32"/>
        <v>#REF!</v>
      </c>
      <c r="CC78" s="771"/>
    </row>
    <row r="79" spans="1:81" ht="16" outlineLevel="1">
      <c r="A79" s="603"/>
      <c r="B79" s="787"/>
      <c r="C79" s="292" t="s">
        <v>321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91">
        <f t="shared" si="31"/>
        <v>0</v>
      </c>
      <c r="BZ79" s="771"/>
      <c r="CA79" s="226"/>
      <c r="CB79" s="252" t="e">
        <f t="shared" si="32"/>
        <v>#REF!</v>
      </c>
      <c r="CC79" s="771"/>
    </row>
    <row r="80" spans="1:81" ht="16" outlineLevel="1">
      <c r="A80" s="603"/>
      <c r="B80" s="787"/>
      <c r="C80" s="293" t="s">
        <v>224</v>
      </c>
      <c r="D80" s="254" t="s">
        <v>270</v>
      </c>
      <c r="E80" s="256"/>
      <c r="F80" s="255"/>
      <c r="G80" s="255"/>
      <c r="H80" s="255"/>
      <c r="I80" s="255"/>
      <c r="J80" s="255"/>
      <c r="K80" s="255"/>
      <c r="L80" s="255"/>
      <c r="M80" s="255"/>
      <c r="N80" s="255"/>
      <c r="O80" s="255"/>
      <c r="P80" s="255"/>
      <c r="Q80" s="255">
        <f>-Businessplan_prodej!$N$19/12*1.21</f>
        <v>-97718.69249999999</v>
      </c>
      <c r="R80" s="255">
        <f>-Businessplan_prodej!$N$19/12*1.21</f>
        <v>-97718.69249999999</v>
      </c>
      <c r="S80" s="255">
        <f>-Businessplan_prodej!$N$19/12*1.21</f>
        <v>-97718.69249999999</v>
      </c>
      <c r="T80" s="255">
        <f>-Businessplan_prodej!$N$19/12*1.21</f>
        <v>-97718.69249999999</v>
      </c>
      <c r="U80" s="255"/>
      <c r="V80" s="255"/>
      <c r="W80" s="255"/>
      <c r="X80" s="255"/>
      <c r="Y80" s="255"/>
      <c r="Z80" s="255"/>
      <c r="AA80" s="255"/>
      <c r="AB80" s="255"/>
      <c r="AC80" s="255"/>
      <c r="AD80" s="255"/>
      <c r="AE80" s="255"/>
      <c r="AF80" s="255"/>
      <c r="AG80" s="255"/>
      <c r="AH80" s="255"/>
      <c r="AI80" s="255"/>
      <c r="AJ80" s="255"/>
      <c r="AK80" s="255"/>
      <c r="AL80" s="255"/>
      <c r="AM80" s="255"/>
      <c r="AN80" s="255"/>
      <c r="AO80" s="255"/>
      <c r="AP80" s="255"/>
      <c r="AQ80" s="255"/>
      <c r="AR80" s="255"/>
      <c r="AS80" s="255"/>
      <c r="AT80" s="255"/>
      <c r="AU80" s="255"/>
      <c r="AV80" s="255"/>
      <c r="AW80" s="255"/>
      <c r="AX80" s="255"/>
      <c r="AY80" s="255"/>
      <c r="AZ80" s="255"/>
      <c r="BA80" s="255"/>
      <c r="BB80" s="255"/>
      <c r="BC80" s="255"/>
      <c r="BD80" s="255"/>
      <c r="BE80" s="255"/>
      <c r="BF80" s="255"/>
      <c r="BG80" s="255"/>
      <c r="BH80" s="255"/>
      <c r="BI80" s="255"/>
      <c r="BJ80" s="255"/>
      <c r="BK80" s="255"/>
      <c r="BL80" s="255"/>
      <c r="BM80" s="255"/>
      <c r="BN80" s="255"/>
      <c r="BO80" s="255"/>
      <c r="BP80" s="255"/>
      <c r="BQ80" s="255"/>
      <c r="BR80" s="255"/>
      <c r="BS80" s="255"/>
      <c r="BT80" s="255"/>
      <c r="BU80" s="255"/>
      <c r="BV80" s="255"/>
      <c r="BW80" s="255"/>
      <c r="BX80" s="255"/>
      <c r="BY80" s="291">
        <f t="shared" si="31"/>
        <v>-390874.76999999996</v>
      </c>
      <c r="BZ80" s="771"/>
      <c r="CA80" s="226"/>
      <c r="CB80" s="252" t="e">
        <f t="shared" si="32"/>
        <v>#N/A</v>
      </c>
      <c r="CC80" s="771"/>
    </row>
    <row r="81" spans="1:81" ht="16" outlineLevel="1">
      <c r="A81" s="603"/>
      <c r="B81" s="787"/>
      <c r="C81" s="292" t="s">
        <v>225</v>
      </c>
      <c r="D81" s="254" t="s">
        <v>270</v>
      </c>
      <c r="E81" s="256"/>
      <c r="F81" s="255"/>
      <c r="G81" s="255"/>
      <c r="H81" s="255"/>
      <c r="I81" s="255"/>
      <c r="J81" s="255"/>
      <c r="K81" s="255"/>
      <c r="L81" s="255"/>
      <c r="M81" s="255"/>
      <c r="N81" s="255"/>
      <c r="O81" s="255"/>
      <c r="P81" s="255"/>
      <c r="Q81" s="255"/>
      <c r="R81" s="255"/>
      <c r="S81" s="255"/>
      <c r="T81" s="255"/>
      <c r="U81" s="255"/>
      <c r="V81" s="255"/>
      <c r="W81" s="255"/>
      <c r="X81" s="255"/>
      <c r="Y81" s="255"/>
      <c r="Z81" s="255"/>
      <c r="AA81" s="255"/>
      <c r="AB81" s="255"/>
      <c r="AC81" s="255"/>
      <c r="AD81" s="255"/>
      <c r="AE81" s="255"/>
      <c r="AF81" s="255"/>
      <c r="AG81" s="255"/>
      <c r="AH81" s="255"/>
      <c r="AI81" s="255"/>
      <c r="AJ81" s="255"/>
      <c r="AK81" s="255"/>
      <c r="AL81" s="255"/>
      <c r="AM81" s="255"/>
      <c r="AN81" s="255"/>
      <c r="AO81" s="255"/>
      <c r="AP81" s="255"/>
      <c r="AQ81" s="255"/>
      <c r="AR81" s="255"/>
      <c r="AS81" s="255"/>
      <c r="AT81" s="255"/>
      <c r="AU81" s="255"/>
      <c r="AV81" s="255"/>
      <c r="AW81" s="255"/>
      <c r="AX81" s="255"/>
      <c r="AY81" s="255"/>
      <c r="AZ81" s="255"/>
      <c r="BA81" s="255"/>
      <c r="BB81" s="255"/>
      <c r="BC81" s="255"/>
      <c r="BD81" s="255"/>
      <c r="BE81" s="255"/>
      <c r="BF81" s="255"/>
      <c r="BG81" s="255"/>
      <c r="BH81" s="255"/>
      <c r="BI81" s="255"/>
      <c r="BJ81" s="255"/>
      <c r="BK81" s="255"/>
      <c r="BL81" s="255"/>
      <c r="BM81" s="255"/>
      <c r="BN81" s="255"/>
      <c r="BO81" s="255"/>
      <c r="BP81" s="255"/>
      <c r="BQ81" s="255"/>
      <c r="BR81" s="255"/>
      <c r="BS81" s="255"/>
      <c r="BT81" s="255"/>
      <c r="BU81" s="255"/>
      <c r="BV81" s="255"/>
      <c r="BW81" s="255"/>
      <c r="BX81" s="255"/>
      <c r="BY81" s="291">
        <f t="shared" si="31"/>
        <v>0</v>
      </c>
      <c r="BZ81" s="771"/>
      <c r="CA81" s="226"/>
      <c r="CB81" s="252" t="e">
        <f t="shared" si="32"/>
        <v>#REF!</v>
      </c>
      <c r="CC81" s="771"/>
    </row>
    <row r="82" spans="1:81" ht="16" outlineLevel="1">
      <c r="A82" s="603"/>
      <c r="B82" s="787"/>
      <c r="C82" s="292" t="s">
        <v>236</v>
      </c>
      <c r="D82" s="254" t="s">
        <v>270</v>
      </c>
      <c r="E82" s="256"/>
      <c r="F82" s="255"/>
      <c r="G82" s="255"/>
      <c r="H82" s="255"/>
      <c r="I82" s="255"/>
      <c r="J82" s="255"/>
      <c r="K82" s="255"/>
      <c r="L82" s="255"/>
      <c r="M82" s="255"/>
      <c r="N82" s="255"/>
      <c r="O82" s="255"/>
      <c r="P82" s="255"/>
      <c r="Q82" s="255"/>
      <c r="R82" s="255"/>
      <c r="S82" s="255"/>
      <c r="T82" s="255"/>
      <c r="U82" s="255"/>
      <c r="V82" s="255"/>
      <c r="W82" s="255"/>
      <c r="X82" s="255"/>
      <c r="Y82" s="255"/>
      <c r="Z82" s="255"/>
      <c r="AA82" s="255"/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91">
        <f t="shared" si="31"/>
        <v>0</v>
      </c>
      <c r="BZ82" s="771"/>
      <c r="CA82" s="226"/>
      <c r="CB82" s="252" t="e">
        <f t="shared" si="32"/>
        <v>#REF!</v>
      </c>
      <c r="CC82" s="771"/>
    </row>
    <row r="83" spans="1:81" ht="16" outlineLevel="1">
      <c r="A83" s="603"/>
      <c r="B83" s="787"/>
      <c r="C83" s="292" t="s">
        <v>237</v>
      </c>
      <c r="D83" s="254" t="s">
        <v>270</v>
      </c>
      <c r="E83" s="256"/>
      <c r="F83" s="255"/>
      <c r="G83" s="255"/>
      <c r="H83" s="255"/>
      <c r="I83" s="255"/>
      <c r="J83" s="255"/>
      <c r="K83" s="255"/>
      <c r="L83" s="255"/>
      <c r="M83" s="255"/>
      <c r="N83" s="255"/>
      <c r="O83" s="255"/>
      <c r="P83" s="255"/>
      <c r="Q83" s="255"/>
      <c r="R83" s="255"/>
      <c r="S83" s="255"/>
      <c r="T83" s="255"/>
      <c r="U83" s="255"/>
      <c r="V83" s="255"/>
      <c r="W83" s="255"/>
      <c r="X83" s="255"/>
      <c r="Y83" s="255"/>
      <c r="Z83" s="255"/>
      <c r="AA83" s="255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91">
        <f t="shared" si="31"/>
        <v>0</v>
      </c>
      <c r="BZ83" s="771"/>
      <c r="CA83" s="226"/>
      <c r="CB83" s="252" t="e">
        <f t="shared" si="32"/>
        <v>#REF!</v>
      </c>
      <c r="CC83" s="771"/>
    </row>
    <row r="84" spans="1:81" ht="16" outlineLevel="1">
      <c r="A84" s="603"/>
      <c r="B84" s="787"/>
      <c r="C84" s="294" t="s">
        <v>322</v>
      </c>
      <c r="D84" s="258" t="s">
        <v>270</v>
      </c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  <c r="AI84" s="295"/>
      <c r="AJ84" s="295"/>
      <c r="AK84" s="295"/>
      <c r="AL84" s="295"/>
      <c r="AM84" s="295"/>
      <c r="AN84" s="295"/>
      <c r="AO84" s="295"/>
      <c r="AP84" s="295"/>
      <c r="AQ84" s="295"/>
      <c r="AR84" s="295"/>
      <c r="AS84" s="295"/>
      <c r="AT84" s="295"/>
      <c r="AU84" s="295"/>
      <c r="AV84" s="295"/>
      <c r="AW84" s="295"/>
      <c r="AX84" s="295"/>
      <c r="AY84" s="295"/>
      <c r="AZ84" s="295"/>
      <c r="BA84" s="295"/>
      <c r="BB84" s="295"/>
      <c r="BC84" s="295"/>
      <c r="BD84" s="295"/>
      <c r="BE84" s="295"/>
      <c r="BF84" s="295"/>
      <c r="BG84" s="295"/>
      <c r="BH84" s="295"/>
      <c r="BI84" s="295"/>
      <c r="BJ84" s="295"/>
      <c r="BK84" s="295"/>
      <c r="BL84" s="295"/>
      <c r="BM84" s="295"/>
      <c r="BN84" s="295"/>
      <c r="BO84" s="295"/>
      <c r="BP84" s="295"/>
      <c r="BQ84" s="295"/>
      <c r="BR84" s="295"/>
      <c r="BS84" s="295"/>
      <c r="BT84" s="295"/>
      <c r="BU84" s="295"/>
      <c r="BV84" s="295"/>
      <c r="BW84" s="295"/>
      <c r="BX84" s="295"/>
      <c r="BY84" s="291">
        <f t="shared" si="31"/>
        <v>0</v>
      </c>
      <c r="BZ84" s="771"/>
      <c r="CA84" s="226"/>
      <c r="CB84" s="252" t="e">
        <f t="array" ref="CB84">SUM(INDEX(AC84:BX84, , 1):INDEX(AC84:BX84, ,MATCH(CB42, E40:BX40,0) ))</f>
        <v>#REF!</v>
      </c>
      <c r="CC84" s="771"/>
    </row>
    <row r="85" spans="1:81" ht="16" collapsed="1">
      <c r="A85" s="603"/>
      <c r="B85" s="787"/>
      <c r="C85" s="248" t="s">
        <v>323</v>
      </c>
      <c r="D85" s="249"/>
      <c r="E85" s="250">
        <f t="shared" ref="E85:BY85" si="33">SUM(E86:E87)</f>
        <v>0</v>
      </c>
      <c r="F85" s="250">
        <f t="shared" si="33"/>
        <v>0</v>
      </c>
      <c r="G85" s="250">
        <f t="shared" si="33"/>
        <v>0</v>
      </c>
      <c r="H85" s="250">
        <f t="shared" si="33"/>
        <v>0</v>
      </c>
      <c r="I85" s="250">
        <f t="shared" si="33"/>
        <v>0</v>
      </c>
      <c r="J85" s="250">
        <f t="shared" si="33"/>
        <v>0</v>
      </c>
      <c r="K85" s="250">
        <f t="shared" si="33"/>
        <v>0</v>
      </c>
      <c r="L85" s="250">
        <f t="shared" si="33"/>
        <v>0</v>
      </c>
      <c r="M85" s="250">
        <f t="shared" si="33"/>
        <v>0</v>
      </c>
      <c r="N85" s="250">
        <f t="shared" si="33"/>
        <v>0</v>
      </c>
      <c r="O85" s="250">
        <f t="shared" si="33"/>
        <v>0</v>
      </c>
      <c r="P85" s="250">
        <f t="shared" si="33"/>
        <v>0</v>
      </c>
      <c r="Q85" s="250">
        <f t="shared" si="33"/>
        <v>0</v>
      </c>
      <c r="R85" s="250">
        <f t="shared" si="33"/>
        <v>0</v>
      </c>
      <c r="S85" s="250">
        <f t="shared" si="33"/>
        <v>0</v>
      </c>
      <c r="T85" s="250">
        <f t="shared" si="33"/>
        <v>0</v>
      </c>
      <c r="U85" s="250">
        <f t="shared" si="33"/>
        <v>0</v>
      </c>
      <c r="V85" s="250">
        <f t="shared" si="33"/>
        <v>0</v>
      </c>
      <c r="W85" s="250">
        <f t="shared" si="33"/>
        <v>0</v>
      </c>
      <c r="X85" s="250">
        <f t="shared" si="33"/>
        <v>0</v>
      </c>
      <c r="Y85" s="250">
        <f t="shared" si="33"/>
        <v>0</v>
      </c>
      <c r="Z85" s="250">
        <f t="shared" si="33"/>
        <v>0</v>
      </c>
      <c r="AA85" s="250">
        <f t="shared" si="33"/>
        <v>0</v>
      </c>
      <c r="AB85" s="250">
        <f t="shared" si="33"/>
        <v>0</v>
      </c>
      <c r="AC85" s="250">
        <f t="shared" si="33"/>
        <v>0</v>
      </c>
      <c r="AD85" s="250">
        <f t="shared" si="33"/>
        <v>0</v>
      </c>
      <c r="AE85" s="250">
        <f t="shared" si="33"/>
        <v>0</v>
      </c>
      <c r="AF85" s="250">
        <f t="shared" si="33"/>
        <v>0</v>
      </c>
      <c r="AG85" s="250">
        <f t="shared" si="33"/>
        <v>0</v>
      </c>
      <c r="AH85" s="250">
        <f t="shared" si="33"/>
        <v>0</v>
      </c>
      <c r="AI85" s="250">
        <f t="shared" si="33"/>
        <v>0</v>
      </c>
      <c r="AJ85" s="250">
        <f t="shared" si="33"/>
        <v>0</v>
      </c>
      <c r="AK85" s="250">
        <f t="shared" si="33"/>
        <v>0</v>
      </c>
      <c r="AL85" s="250">
        <f t="shared" si="33"/>
        <v>0</v>
      </c>
      <c r="AM85" s="250">
        <f t="shared" si="33"/>
        <v>0</v>
      </c>
      <c r="AN85" s="250">
        <f t="shared" si="33"/>
        <v>0</v>
      </c>
      <c r="AO85" s="250">
        <f t="shared" si="33"/>
        <v>0</v>
      </c>
      <c r="AP85" s="250">
        <f t="shared" si="33"/>
        <v>0</v>
      </c>
      <c r="AQ85" s="250">
        <f t="shared" si="33"/>
        <v>0</v>
      </c>
      <c r="AR85" s="250">
        <f t="shared" si="33"/>
        <v>0</v>
      </c>
      <c r="AS85" s="250">
        <f t="shared" si="33"/>
        <v>0</v>
      </c>
      <c r="AT85" s="250">
        <f t="shared" si="33"/>
        <v>0</v>
      </c>
      <c r="AU85" s="250">
        <f t="shared" si="33"/>
        <v>0</v>
      </c>
      <c r="AV85" s="250">
        <f t="shared" si="33"/>
        <v>0</v>
      </c>
      <c r="AW85" s="250">
        <f t="shared" si="33"/>
        <v>0</v>
      </c>
      <c r="AX85" s="250">
        <f t="shared" si="33"/>
        <v>0</v>
      </c>
      <c r="AY85" s="250">
        <f t="shared" si="33"/>
        <v>0</v>
      </c>
      <c r="AZ85" s="250">
        <f t="shared" si="33"/>
        <v>0</v>
      </c>
      <c r="BA85" s="250">
        <f t="shared" si="33"/>
        <v>0</v>
      </c>
      <c r="BB85" s="250">
        <f t="shared" si="33"/>
        <v>0</v>
      </c>
      <c r="BC85" s="250">
        <f t="shared" si="33"/>
        <v>0</v>
      </c>
      <c r="BD85" s="250">
        <f t="shared" si="33"/>
        <v>0</v>
      </c>
      <c r="BE85" s="250">
        <f t="shared" si="33"/>
        <v>0</v>
      </c>
      <c r="BF85" s="250">
        <f t="shared" si="33"/>
        <v>0</v>
      </c>
      <c r="BG85" s="250">
        <f t="shared" si="33"/>
        <v>0</v>
      </c>
      <c r="BH85" s="250">
        <f t="shared" si="33"/>
        <v>0</v>
      </c>
      <c r="BI85" s="250">
        <f t="shared" si="33"/>
        <v>0</v>
      </c>
      <c r="BJ85" s="250">
        <f t="shared" si="33"/>
        <v>0</v>
      </c>
      <c r="BK85" s="250">
        <f t="shared" si="33"/>
        <v>0</v>
      </c>
      <c r="BL85" s="250">
        <f t="shared" si="33"/>
        <v>0</v>
      </c>
      <c r="BM85" s="250">
        <f t="shared" si="33"/>
        <v>0</v>
      </c>
      <c r="BN85" s="250">
        <f t="shared" si="33"/>
        <v>0</v>
      </c>
      <c r="BO85" s="250">
        <f t="shared" si="33"/>
        <v>0</v>
      </c>
      <c r="BP85" s="250">
        <f t="shared" si="33"/>
        <v>0</v>
      </c>
      <c r="BQ85" s="250">
        <f t="shared" si="33"/>
        <v>0</v>
      </c>
      <c r="BR85" s="250">
        <f t="shared" si="33"/>
        <v>0</v>
      </c>
      <c r="BS85" s="250">
        <f t="shared" si="33"/>
        <v>0</v>
      </c>
      <c r="BT85" s="250">
        <f t="shared" si="33"/>
        <v>0</v>
      </c>
      <c r="BU85" s="250">
        <f t="shared" si="33"/>
        <v>0</v>
      </c>
      <c r="BV85" s="250">
        <f t="shared" si="33"/>
        <v>0</v>
      </c>
      <c r="BW85" s="250">
        <f t="shared" si="33"/>
        <v>0</v>
      </c>
      <c r="BX85" s="250">
        <f t="shared" si="33"/>
        <v>0</v>
      </c>
      <c r="BY85" s="251">
        <f t="shared" si="33"/>
        <v>0</v>
      </c>
      <c r="BZ85" s="771"/>
      <c r="CA85" s="226"/>
      <c r="CB85" s="252" t="e">
        <f t="array" ref="CB85">SUM(INDEX(E85:BX85, , 1):INDEX(E85:BX85, ,MATCH($CB$4, $E$3:$BX$3,0) ))</f>
        <v>#N/A</v>
      </c>
      <c r="CC85" s="771"/>
    </row>
    <row r="86" spans="1:81" ht="16" hidden="1" outlineLevel="1">
      <c r="A86" s="603"/>
      <c r="B86" s="787"/>
      <c r="C86" s="290" t="s">
        <v>324</v>
      </c>
      <c r="D86" s="254" t="s">
        <v>270</v>
      </c>
      <c r="E86" s="260"/>
      <c r="F86" s="260"/>
      <c r="G86" s="260"/>
      <c r="H86" s="260"/>
      <c r="I86" s="260"/>
      <c r="J86" s="260"/>
      <c r="K86" s="260"/>
      <c r="L86" s="260"/>
      <c r="M86" s="260"/>
      <c r="N86" s="260"/>
      <c r="O86" s="260"/>
      <c r="P86" s="260"/>
      <c r="Q86" s="260"/>
      <c r="R86" s="260"/>
      <c r="S86" s="260"/>
      <c r="T86" s="260"/>
      <c r="U86" s="260"/>
      <c r="V86" s="260"/>
      <c r="W86" s="260"/>
      <c r="X86" s="260"/>
      <c r="Y86" s="260"/>
      <c r="Z86" s="260"/>
      <c r="AA86" s="260"/>
      <c r="AB86" s="260"/>
      <c r="AC86" s="260"/>
      <c r="AD86" s="260"/>
      <c r="AE86" s="260"/>
      <c r="AF86" s="260"/>
      <c r="AG86" s="260"/>
      <c r="AH86" s="260"/>
      <c r="AI86" s="260"/>
      <c r="AJ86" s="260"/>
      <c r="AK86" s="260"/>
      <c r="AL86" s="260"/>
      <c r="AM86" s="260"/>
      <c r="AN86" s="260"/>
      <c r="AO86" s="260"/>
      <c r="AP86" s="260"/>
      <c r="AQ86" s="260"/>
      <c r="AR86" s="260"/>
      <c r="AS86" s="260"/>
      <c r="AT86" s="260"/>
      <c r="AU86" s="260"/>
      <c r="AV86" s="260"/>
      <c r="AW86" s="260"/>
      <c r="AX86" s="260"/>
      <c r="AY86" s="260"/>
      <c r="AZ86" s="260"/>
      <c r="BA86" s="260"/>
      <c r="BB86" s="260"/>
      <c r="BC86" s="260"/>
      <c r="BD86" s="260"/>
      <c r="BE86" s="260"/>
      <c r="BF86" s="260"/>
      <c r="BG86" s="260"/>
      <c r="BH86" s="260"/>
      <c r="BI86" s="260"/>
      <c r="BJ86" s="260"/>
      <c r="BK86" s="260"/>
      <c r="BL86" s="260"/>
      <c r="BM86" s="260"/>
      <c r="BN86" s="260"/>
      <c r="BO86" s="260"/>
      <c r="BP86" s="260"/>
      <c r="BQ86" s="260"/>
      <c r="BR86" s="260"/>
      <c r="BS86" s="260"/>
      <c r="BT86" s="260"/>
      <c r="BU86" s="260"/>
      <c r="BV86" s="260"/>
      <c r="BW86" s="260"/>
      <c r="BX86" s="260"/>
      <c r="BY86" s="296">
        <f t="shared" ref="BY86:BY87" si="34">SUM(E86:BX86)</f>
        <v>0</v>
      </c>
      <c r="BZ86" s="771"/>
      <c r="CA86" s="226"/>
      <c r="CB86" s="252" t="e">
        <f t="shared" ref="CB86:CB87" si="35">SUM(INDEX(AC86:BX86, , 1):INDEX(AC86:BX86, ,MATCH($CB$4, $E$3:$BX$3,0) ))</f>
        <v>#N/A</v>
      </c>
      <c r="CC86" s="771"/>
    </row>
    <row r="87" spans="1:81" ht="16" hidden="1" outlineLevel="1">
      <c r="A87" s="603"/>
      <c r="B87" s="787"/>
      <c r="C87" s="294" t="s">
        <v>325</v>
      </c>
      <c r="D87" s="258" t="s">
        <v>270</v>
      </c>
      <c r="E87" s="287"/>
      <c r="F87" s="288"/>
      <c r="G87" s="288"/>
      <c r="H87" s="288"/>
      <c r="I87" s="288"/>
      <c r="J87" s="288"/>
      <c r="K87" s="288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  <c r="Y87" s="288"/>
      <c r="Z87" s="288"/>
      <c r="AA87" s="288"/>
      <c r="AB87" s="288"/>
      <c r="AC87" s="288"/>
      <c r="AD87" s="288"/>
      <c r="AE87" s="288"/>
      <c r="AF87" s="288"/>
      <c r="AG87" s="288"/>
      <c r="AH87" s="288"/>
      <c r="AI87" s="288"/>
      <c r="AJ87" s="288"/>
      <c r="AK87" s="288"/>
      <c r="AL87" s="288"/>
      <c r="AM87" s="288"/>
      <c r="AN87" s="288"/>
      <c r="AO87" s="288"/>
      <c r="AP87" s="288"/>
      <c r="AQ87" s="288"/>
      <c r="AR87" s="288"/>
      <c r="AS87" s="288"/>
      <c r="AT87" s="288"/>
      <c r="AU87" s="288"/>
      <c r="AV87" s="288"/>
      <c r="AW87" s="288"/>
      <c r="AX87" s="288"/>
      <c r="AY87" s="288"/>
      <c r="AZ87" s="288"/>
      <c r="BA87" s="288"/>
      <c r="BB87" s="288"/>
      <c r="BC87" s="288"/>
      <c r="BD87" s="288"/>
      <c r="BE87" s="288"/>
      <c r="BF87" s="288"/>
      <c r="BG87" s="288"/>
      <c r="BH87" s="288"/>
      <c r="BI87" s="288"/>
      <c r="BJ87" s="288"/>
      <c r="BK87" s="288"/>
      <c r="BL87" s="288"/>
      <c r="BM87" s="288"/>
      <c r="BN87" s="288"/>
      <c r="BO87" s="288"/>
      <c r="BP87" s="288"/>
      <c r="BQ87" s="288"/>
      <c r="BR87" s="288"/>
      <c r="BS87" s="288"/>
      <c r="BT87" s="288"/>
      <c r="BU87" s="288"/>
      <c r="BV87" s="288"/>
      <c r="BW87" s="288"/>
      <c r="BX87" s="288"/>
      <c r="BY87" s="297">
        <f t="shared" si="34"/>
        <v>0</v>
      </c>
      <c r="BZ87" s="774"/>
      <c r="CA87" s="226"/>
      <c r="CB87" s="252" t="e">
        <f t="shared" si="35"/>
        <v>#N/A</v>
      </c>
      <c r="CC87" s="774"/>
    </row>
    <row r="88" spans="1:81">
      <c r="A88" s="603"/>
      <c r="B88" s="787"/>
      <c r="C88" s="248" t="s">
        <v>326</v>
      </c>
      <c r="D88" s="249"/>
      <c r="E88" s="250">
        <f t="shared" ref="E88:BX88" si="36">SUM(E89:E95)</f>
        <v>0</v>
      </c>
      <c r="F88" s="250">
        <f t="shared" si="36"/>
        <v>0</v>
      </c>
      <c r="G88" s="250">
        <f t="shared" si="36"/>
        <v>0</v>
      </c>
      <c r="H88" s="250">
        <f t="shared" si="36"/>
        <v>0</v>
      </c>
      <c r="I88" s="250">
        <f t="shared" si="36"/>
        <v>0</v>
      </c>
      <c r="J88" s="250">
        <f t="shared" si="36"/>
        <v>0</v>
      </c>
      <c r="K88" s="250">
        <f t="shared" si="36"/>
        <v>0</v>
      </c>
      <c r="L88" s="250">
        <f t="shared" si="36"/>
        <v>0</v>
      </c>
      <c r="M88" s="250">
        <f t="shared" si="36"/>
        <v>0</v>
      </c>
      <c r="N88" s="250">
        <f t="shared" si="36"/>
        <v>0</v>
      </c>
      <c r="O88" s="250">
        <f t="shared" si="36"/>
        <v>0</v>
      </c>
      <c r="P88" s="250">
        <f t="shared" si="36"/>
        <v>-63512.896998034616</v>
      </c>
      <c r="Q88" s="250">
        <f t="shared" si="36"/>
        <v>-63512.896998034616</v>
      </c>
      <c r="R88" s="250">
        <f t="shared" si="36"/>
        <v>-63512.896998034616</v>
      </c>
      <c r="S88" s="250">
        <f t="shared" si="36"/>
        <v>-63512.896998034616</v>
      </c>
      <c r="T88" s="250">
        <f t="shared" si="36"/>
        <v>-73660950.412007868</v>
      </c>
      <c r="U88" s="250">
        <f t="shared" si="36"/>
        <v>0</v>
      </c>
      <c r="V88" s="250">
        <f t="shared" si="36"/>
        <v>0</v>
      </c>
      <c r="W88" s="250">
        <f t="shared" si="36"/>
        <v>0</v>
      </c>
      <c r="X88" s="250">
        <f t="shared" si="36"/>
        <v>0</v>
      </c>
      <c r="Y88" s="250">
        <f t="shared" si="36"/>
        <v>0</v>
      </c>
      <c r="Z88" s="250">
        <f t="shared" si="36"/>
        <v>0</v>
      </c>
      <c r="AA88" s="250">
        <f t="shared" si="36"/>
        <v>0</v>
      </c>
      <c r="AB88" s="250">
        <f t="shared" si="36"/>
        <v>0</v>
      </c>
      <c r="AC88" s="250">
        <f t="shared" si="36"/>
        <v>0</v>
      </c>
      <c r="AD88" s="250">
        <f t="shared" si="36"/>
        <v>0</v>
      </c>
      <c r="AE88" s="250">
        <f t="shared" si="36"/>
        <v>0</v>
      </c>
      <c r="AF88" s="250">
        <f t="shared" si="36"/>
        <v>0</v>
      </c>
      <c r="AG88" s="250">
        <f t="shared" si="36"/>
        <v>0</v>
      </c>
      <c r="AH88" s="250">
        <f t="shared" si="36"/>
        <v>0</v>
      </c>
      <c r="AI88" s="250">
        <f t="shared" si="36"/>
        <v>0</v>
      </c>
      <c r="AJ88" s="250">
        <f t="shared" si="36"/>
        <v>0</v>
      </c>
      <c r="AK88" s="250">
        <f t="shared" si="36"/>
        <v>0</v>
      </c>
      <c r="AL88" s="250">
        <f t="shared" si="36"/>
        <v>0</v>
      </c>
      <c r="AM88" s="250">
        <f t="shared" si="36"/>
        <v>0</v>
      </c>
      <c r="AN88" s="250">
        <f t="shared" si="36"/>
        <v>0</v>
      </c>
      <c r="AO88" s="250">
        <f t="shared" si="36"/>
        <v>0</v>
      </c>
      <c r="AP88" s="250">
        <f t="shared" si="36"/>
        <v>0</v>
      </c>
      <c r="AQ88" s="250">
        <f t="shared" si="36"/>
        <v>0</v>
      </c>
      <c r="AR88" s="250">
        <f t="shared" si="36"/>
        <v>0</v>
      </c>
      <c r="AS88" s="250">
        <f t="shared" si="36"/>
        <v>0</v>
      </c>
      <c r="AT88" s="250">
        <f t="shared" si="36"/>
        <v>0</v>
      </c>
      <c r="AU88" s="250">
        <f t="shared" si="36"/>
        <v>0</v>
      </c>
      <c r="AV88" s="250">
        <f t="shared" si="36"/>
        <v>0</v>
      </c>
      <c r="AW88" s="250">
        <f t="shared" si="36"/>
        <v>0</v>
      </c>
      <c r="AX88" s="250">
        <f t="shared" si="36"/>
        <v>0</v>
      </c>
      <c r="AY88" s="250">
        <f t="shared" si="36"/>
        <v>0</v>
      </c>
      <c r="AZ88" s="250">
        <f t="shared" si="36"/>
        <v>0</v>
      </c>
      <c r="BA88" s="250">
        <f t="shared" si="36"/>
        <v>0</v>
      </c>
      <c r="BB88" s="250">
        <f t="shared" si="36"/>
        <v>0</v>
      </c>
      <c r="BC88" s="250">
        <f t="shared" si="36"/>
        <v>0</v>
      </c>
      <c r="BD88" s="250">
        <f t="shared" si="36"/>
        <v>0</v>
      </c>
      <c r="BE88" s="250">
        <f t="shared" si="36"/>
        <v>0</v>
      </c>
      <c r="BF88" s="250">
        <f t="shared" si="36"/>
        <v>0</v>
      </c>
      <c r="BG88" s="250">
        <f t="shared" si="36"/>
        <v>0</v>
      </c>
      <c r="BH88" s="250">
        <f t="shared" si="36"/>
        <v>0</v>
      </c>
      <c r="BI88" s="250">
        <f t="shared" si="36"/>
        <v>0</v>
      </c>
      <c r="BJ88" s="250">
        <f t="shared" si="36"/>
        <v>0</v>
      </c>
      <c r="BK88" s="250">
        <f t="shared" si="36"/>
        <v>0</v>
      </c>
      <c r="BL88" s="250">
        <f t="shared" si="36"/>
        <v>0</v>
      </c>
      <c r="BM88" s="250">
        <f t="shared" si="36"/>
        <v>0</v>
      </c>
      <c r="BN88" s="250">
        <f t="shared" si="36"/>
        <v>0</v>
      </c>
      <c r="BO88" s="250">
        <f t="shared" si="36"/>
        <v>0</v>
      </c>
      <c r="BP88" s="250">
        <f t="shared" si="36"/>
        <v>0</v>
      </c>
      <c r="BQ88" s="250">
        <f t="shared" si="36"/>
        <v>0</v>
      </c>
      <c r="BR88" s="250">
        <f t="shared" si="36"/>
        <v>0</v>
      </c>
      <c r="BS88" s="250">
        <f t="shared" si="36"/>
        <v>0</v>
      </c>
      <c r="BT88" s="250">
        <f t="shared" si="36"/>
        <v>0</v>
      </c>
      <c r="BU88" s="250">
        <f t="shared" si="36"/>
        <v>0</v>
      </c>
      <c r="BV88" s="250">
        <f t="shared" si="36"/>
        <v>0</v>
      </c>
      <c r="BW88" s="250">
        <f t="shared" si="36"/>
        <v>0</v>
      </c>
      <c r="BX88" s="250">
        <f t="shared" si="36"/>
        <v>0</v>
      </c>
      <c r="BY88" s="779">
        <f>BZ89</f>
        <v>-73915002</v>
      </c>
      <c r="BZ88" s="768"/>
      <c r="CA88" s="226"/>
      <c r="CB88" s="226"/>
      <c r="CC88" s="226"/>
    </row>
    <row r="89" spans="1:81" outlineLevel="1">
      <c r="A89" s="603"/>
      <c r="B89" s="787"/>
      <c r="C89" s="253" t="s">
        <v>327</v>
      </c>
      <c r="D89" s="254" t="s">
        <v>270</v>
      </c>
      <c r="E89" s="255"/>
      <c r="F89" s="255"/>
      <c r="G89" s="255"/>
      <c r="H89" s="255"/>
      <c r="I89" s="255"/>
      <c r="J89" s="255"/>
      <c r="K89" s="255"/>
      <c r="L89" s="255"/>
      <c r="M89" s="255"/>
      <c r="N89" s="255"/>
      <c r="O89" s="255"/>
      <c r="P89" s="255"/>
      <c r="Q89" s="255"/>
      <c r="R89" s="255"/>
      <c r="S89" s="255"/>
      <c r="T89" s="255">
        <f t="shared" ref="T89:T90" si="37">-BY5</f>
        <v>-19365002</v>
      </c>
      <c r="U89" s="255"/>
      <c r="V89" s="255"/>
      <c r="W89" s="255"/>
      <c r="X89" s="255"/>
      <c r="Y89" s="255"/>
      <c r="Z89" s="255"/>
      <c r="AA89" s="255"/>
      <c r="AB89" s="255"/>
      <c r="AC89" s="255"/>
      <c r="AD89" s="255"/>
      <c r="AE89" s="255"/>
      <c r="AF89" s="255"/>
      <c r="AG89" s="255"/>
      <c r="AH89" s="255"/>
      <c r="AI89" s="255"/>
      <c r="AJ89" s="255"/>
      <c r="AK89" s="255"/>
      <c r="AL89" s="255"/>
      <c r="AM89" s="255"/>
      <c r="AN89" s="255"/>
      <c r="AO89" s="255"/>
      <c r="AP89" s="255"/>
      <c r="AQ89" s="255"/>
      <c r="AR89" s="255"/>
      <c r="AS89" s="255"/>
      <c r="AT89" s="255"/>
      <c r="AU89" s="255"/>
      <c r="AV89" s="255"/>
      <c r="AW89" s="255"/>
      <c r="AX89" s="255"/>
      <c r="AY89" s="255"/>
      <c r="AZ89" s="255"/>
      <c r="BA89" s="255"/>
      <c r="BB89" s="255"/>
      <c r="BC89" s="256"/>
      <c r="BD89" s="255"/>
      <c r="BE89" s="255"/>
      <c r="BF89" s="255"/>
      <c r="BG89" s="255"/>
      <c r="BH89" s="255"/>
      <c r="BI89" s="255"/>
      <c r="BJ89" s="255"/>
      <c r="BK89" s="255"/>
      <c r="BL89" s="255"/>
      <c r="BM89" s="255"/>
      <c r="BN89" s="255"/>
      <c r="BO89" s="255"/>
      <c r="BP89" s="255"/>
      <c r="BQ89" s="255"/>
      <c r="BR89" s="255"/>
      <c r="BS89" s="255"/>
      <c r="BT89" s="255"/>
      <c r="BU89" s="255"/>
      <c r="BV89" s="255"/>
      <c r="BW89" s="255"/>
      <c r="BX89" s="264"/>
      <c r="BY89" s="296">
        <f t="shared" ref="BY89:BY95" si="38">SUM(E89:BX89)</f>
        <v>-19365002</v>
      </c>
      <c r="BZ89" s="777">
        <f>SUM(BY89:BY95)</f>
        <v>-73915002</v>
      </c>
      <c r="CA89" s="226"/>
      <c r="CB89" s="226"/>
      <c r="CC89" s="226"/>
    </row>
    <row r="90" spans="1:81" outlineLevel="1">
      <c r="A90" s="253" t="s">
        <v>328</v>
      </c>
      <c r="B90" s="787"/>
      <c r="C90" s="253" t="s">
        <v>329</v>
      </c>
      <c r="D90" s="254" t="s">
        <v>270</v>
      </c>
      <c r="E90" s="255"/>
      <c r="F90" s="255"/>
      <c r="G90" s="255"/>
      <c r="H90" s="255"/>
      <c r="I90" s="255"/>
      <c r="J90" s="255"/>
      <c r="K90" s="255"/>
      <c r="L90" s="255"/>
      <c r="M90" s="255"/>
      <c r="N90" s="255"/>
      <c r="O90" s="255"/>
      <c r="P90" s="255"/>
      <c r="Q90" s="255"/>
      <c r="R90" s="255"/>
      <c r="S90" s="255"/>
      <c r="T90" s="255">
        <f t="shared" si="37"/>
        <v>-3100000</v>
      </c>
      <c r="U90" s="255"/>
      <c r="V90" s="255"/>
      <c r="W90" s="255"/>
      <c r="X90" s="255"/>
      <c r="Y90" s="255"/>
      <c r="Z90" s="255"/>
      <c r="AA90" s="255"/>
      <c r="AB90" s="255"/>
      <c r="AC90" s="255"/>
      <c r="AD90" s="255"/>
      <c r="AE90" s="255"/>
      <c r="AF90" s="255"/>
      <c r="AG90" s="255"/>
      <c r="AH90" s="255"/>
      <c r="AI90" s="255"/>
      <c r="AJ90" s="255"/>
      <c r="AK90" s="255"/>
      <c r="AL90" s="255"/>
      <c r="AM90" s="255"/>
      <c r="AN90" s="255"/>
      <c r="AO90" s="255"/>
      <c r="AP90" s="255"/>
      <c r="AQ90" s="255"/>
      <c r="AR90" s="255"/>
      <c r="AS90" s="255"/>
      <c r="AT90" s="255"/>
      <c r="AU90" s="255"/>
      <c r="AV90" s="255"/>
      <c r="AW90" s="255"/>
      <c r="AX90" s="255"/>
      <c r="AY90" s="255"/>
      <c r="AZ90" s="255"/>
      <c r="BA90" s="255"/>
      <c r="BB90" s="255"/>
      <c r="BC90" s="255"/>
      <c r="BD90" s="255"/>
      <c r="BE90" s="255"/>
      <c r="BF90" s="255"/>
      <c r="BG90" s="255"/>
      <c r="BH90" s="255"/>
      <c r="BI90" s="255"/>
      <c r="BJ90" s="255"/>
      <c r="BK90" s="255"/>
      <c r="BL90" s="255"/>
      <c r="BM90" s="255"/>
      <c r="BN90" s="255"/>
      <c r="BO90" s="255"/>
      <c r="BP90" s="255"/>
      <c r="BQ90" s="255"/>
      <c r="BR90" s="255"/>
      <c r="BS90" s="255"/>
      <c r="BT90" s="255"/>
      <c r="BU90" s="255"/>
      <c r="BV90" s="255"/>
      <c r="BW90" s="255"/>
      <c r="BX90" s="264"/>
      <c r="BY90" s="291">
        <f t="shared" si="38"/>
        <v>-3100000</v>
      </c>
      <c r="BZ90" s="771"/>
      <c r="CA90" s="226"/>
      <c r="CB90" s="226"/>
      <c r="CC90" s="226"/>
    </row>
    <row r="91" spans="1:81" outlineLevel="1">
      <c r="A91" s="253" t="s">
        <v>330</v>
      </c>
      <c r="B91" s="787"/>
      <c r="C91" s="293" t="s">
        <v>328</v>
      </c>
      <c r="D91" s="254" t="s">
        <v>270</v>
      </c>
      <c r="E91" s="255"/>
      <c r="F91" s="255"/>
      <c r="G91" s="255"/>
      <c r="H91" s="255"/>
      <c r="I91" s="255"/>
      <c r="J91" s="255"/>
      <c r="K91" s="255"/>
      <c r="L91" s="255"/>
      <c r="M91" s="255"/>
      <c r="N91" s="255"/>
      <c r="O91" s="255"/>
      <c r="P91" s="255"/>
      <c r="Q91" s="255"/>
      <c r="R91" s="255"/>
      <c r="S91" s="255"/>
      <c r="T91" s="255"/>
      <c r="U91" s="255"/>
      <c r="V91" s="255"/>
      <c r="W91" s="255"/>
      <c r="X91" s="255"/>
      <c r="Y91" s="255"/>
      <c r="Z91" s="255"/>
      <c r="AA91" s="255"/>
      <c r="AB91" s="255"/>
      <c r="AC91" s="255"/>
      <c r="AD91" s="255"/>
      <c r="AE91" s="255"/>
      <c r="AF91" s="255"/>
      <c r="AG91" s="255"/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5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64"/>
      <c r="BY91" s="291">
        <f t="shared" si="38"/>
        <v>0</v>
      </c>
      <c r="BZ91" s="771"/>
      <c r="CA91" s="226"/>
      <c r="CB91" s="226"/>
      <c r="CC91" s="226"/>
    </row>
    <row r="92" spans="1:81" outlineLevel="1">
      <c r="A92" s="603"/>
      <c r="B92" s="787"/>
      <c r="C92" s="292" t="s">
        <v>330</v>
      </c>
      <c r="D92" s="254" t="s">
        <v>270</v>
      </c>
      <c r="E92" s="255"/>
      <c r="F92" s="255"/>
      <c r="G92" s="255"/>
      <c r="H92" s="255"/>
      <c r="I92" s="255"/>
      <c r="J92" s="255"/>
      <c r="K92" s="255"/>
      <c r="L92" s="255"/>
      <c r="M92" s="255"/>
      <c r="N92" s="255"/>
      <c r="O92" s="255"/>
      <c r="P92" s="255"/>
      <c r="Q92" s="255"/>
      <c r="R92" s="255"/>
      <c r="S92" s="255"/>
      <c r="T92" s="255"/>
      <c r="U92" s="255"/>
      <c r="V92" s="255"/>
      <c r="W92" s="255"/>
      <c r="X92" s="255"/>
      <c r="Y92" s="255"/>
      <c r="Z92" s="255"/>
      <c r="AA92" s="255"/>
      <c r="AB92" s="255"/>
      <c r="AC92" s="255"/>
      <c r="AD92" s="255"/>
      <c r="AE92" s="255"/>
      <c r="AF92" s="255"/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91">
        <f t="shared" si="38"/>
        <v>0</v>
      </c>
      <c r="BZ92" s="771"/>
      <c r="CA92" s="226"/>
      <c r="CB92" s="226"/>
      <c r="CC92" s="226"/>
    </row>
    <row r="93" spans="1:81" outlineLevel="1">
      <c r="A93" s="603"/>
      <c r="B93" s="787"/>
      <c r="C93" s="253" t="s">
        <v>331</v>
      </c>
      <c r="D93" s="254" t="s">
        <v>270</v>
      </c>
      <c r="E93" s="255"/>
      <c r="F93" s="255"/>
      <c r="G93" s="255"/>
      <c r="H93" s="255"/>
      <c r="I93" s="255"/>
      <c r="J93" s="255"/>
      <c r="K93" s="255"/>
      <c r="L93" s="255"/>
      <c r="M93" s="255"/>
      <c r="N93" s="255"/>
      <c r="O93" s="255"/>
      <c r="P93" s="255"/>
      <c r="Q93" s="255"/>
      <c r="R93" s="255"/>
      <c r="S93" s="255"/>
      <c r="T93" s="255"/>
      <c r="U93" s="255"/>
      <c r="V93" s="255"/>
      <c r="W93" s="255"/>
      <c r="X93" s="255"/>
      <c r="Y93" s="255"/>
      <c r="Z93" s="255"/>
      <c r="AA93" s="255"/>
      <c r="AB93" s="255"/>
      <c r="AC93" s="255"/>
      <c r="AD93" s="255"/>
      <c r="AE93" s="255"/>
      <c r="AF93" s="255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6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91">
        <f t="shared" si="38"/>
        <v>0</v>
      </c>
      <c r="BZ93" s="771"/>
      <c r="CA93" s="226"/>
      <c r="CB93" s="226"/>
      <c r="CC93" s="226"/>
    </row>
    <row r="94" spans="1:81" outlineLevel="1">
      <c r="A94" s="603"/>
      <c r="B94" s="787"/>
      <c r="C94" s="253" t="s">
        <v>624</v>
      </c>
      <c r="D94" s="254" t="s">
        <v>270</v>
      </c>
      <c r="E94" s="255"/>
      <c r="F94" s="255"/>
      <c r="G94" s="255"/>
      <c r="H94" s="255"/>
      <c r="I94" s="255"/>
      <c r="J94" s="255"/>
      <c r="K94" s="255"/>
      <c r="L94" s="255"/>
      <c r="M94" s="255"/>
      <c r="N94" s="255"/>
      <c r="O94" s="255"/>
      <c r="P94" s="255"/>
      <c r="Q94" s="255"/>
      <c r="R94" s="255"/>
      <c r="S94" s="255"/>
      <c r="T94" s="255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6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98">
        <f t="shared" si="38"/>
        <v>0</v>
      </c>
      <c r="BZ94" s="771"/>
      <c r="CA94" s="226"/>
      <c r="CB94" s="226"/>
      <c r="CC94" s="226"/>
    </row>
    <row r="95" spans="1:81" outlineLevel="1">
      <c r="A95" s="603"/>
      <c r="B95" s="781"/>
      <c r="C95" s="284" t="s">
        <v>333</v>
      </c>
      <c r="D95" s="299" t="s">
        <v>270</v>
      </c>
      <c r="E95" s="286"/>
      <c r="F95" s="286"/>
      <c r="G95" s="286"/>
      <c r="H95" s="286"/>
      <c r="I95" s="286"/>
      <c r="J95" s="286"/>
      <c r="K95" s="286"/>
      <c r="L95" s="286"/>
      <c r="M95" s="286"/>
      <c r="N95" s="286"/>
      <c r="O95" s="286"/>
      <c r="P95" s="286">
        <f t="shared" ref="P95:S95" si="39">PMT($D$60/12,25*12,$BY11)-P60</f>
        <v>-63512.896998034616</v>
      </c>
      <c r="Q95" s="286">
        <f t="shared" si="39"/>
        <v>-63512.896998034616</v>
      </c>
      <c r="R95" s="286">
        <f t="shared" si="39"/>
        <v>-63512.896998034616</v>
      </c>
      <c r="S95" s="286">
        <f t="shared" si="39"/>
        <v>-63512.896998034616</v>
      </c>
      <c r="T95" s="286">
        <f>-BY11-SUM(P95:S95)</f>
        <v>-51195948.412007861</v>
      </c>
      <c r="U95" s="286"/>
      <c r="V95" s="286"/>
      <c r="W95" s="286"/>
      <c r="X95" s="286"/>
      <c r="Y95" s="286"/>
      <c r="Z95" s="286"/>
      <c r="AA95" s="286"/>
      <c r="AB95" s="286"/>
      <c r="AC95" s="286"/>
      <c r="AD95" s="286"/>
      <c r="AE95" s="286"/>
      <c r="AF95" s="286"/>
      <c r="AG95" s="286"/>
      <c r="AH95" s="286"/>
      <c r="AI95" s="286"/>
      <c r="AJ95" s="286"/>
      <c r="AK95" s="286"/>
      <c r="AL95" s="286"/>
      <c r="AM95" s="286"/>
      <c r="AN95" s="286"/>
      <c r="AO95" s="286"/>
      <c r="AP95" s="286"/>
      <c r="AQ95" s="286"/>
      <c r="AR95" s="286"/>
      <c r="AS95" s="286"/>
      <c r="AT95" s="286"/>
      <c r="AU95" s="286"/>
      <c r="AV95" s="286"/>
      <c r="AW95" s="286"/>
      <c r="AX95" s="286"/>
      <c r="AY95" s="286"/>
      <c r="AZ95" s="286"/>
      <c r="BA95" s="286"/>
      <c r="BB95" s="286"/>
      <c r="BC95" s="286"/>
      <c r="BD95" s="286"/>
      <c r="BE95" s="286"/>
      <c r="BF95" s="286"/>
      <c r="BG95" s="286"/>
      <c r="BH95" s="286"/>
      <c r="BI95" s="286"/>
      <c r="BJ95" s="286"/>
      <c r="BK95" s="286"/>
      <c r="BL95" s="286"/>
      <c r="BM95" s="286"/>
      <c r="BN95" s="286"/>
      <c r="BO95" s="286"/>
      <c r="BP95" s="286"/>
      <c r="BQ95" s="286"/>
      <c r="BR95" s="286"/>
      <c r="BS95" s="286"/>
      <c r="BT95" s="286"/>
      <c r="BU95" s="286"/>
      <c r="BV95" s="286"/>
      <c r="BW95" s="286"/>
      <c r="BX95" s="288"/>
      <c r="BY95" s="268">
        <f t="shared" si="38"/>
        <v>-51450000</v>
      </c>
      <c r="BZ95" s="776"/>
      <c r="CA95" s="226"/>
      <c r="CB95" s="226"/>
      <c r="CC95" s="226"/>
    </row>
    <row r="96" spans="1:81" ht="16">
      <c r="A96" s="603"/>
      <c r="B96" s="790" t="s">
        <v>334</v>
      </c>
      <c r="C96" s="774"/>
      <c r="D96" s="300" t="s">
        <v>270</v>
      </c>
      <c r="E96" s="301">
        <f t="shared" ref="E96:BX96" si="40">(E17+E23+E26+E34+E37+E47+E53+E61+E85+E88)</f>
        <v>0</v>
      </c>
      <c r="F96" s="301">
        <f t="shared" si="40"/>
        <v>0</v>
      </c>
      <c r="G96" s="301">
        <f t="shared" si="40"/>
        <v>0</v>
      </c>
      <c r="H96" s="301">
        <f t="shared" si="40"/>
        <v>-10918117.521666665</v>
      </c>
      <c r="I96" s="301">
        <f t="shared" si="40"/>
        <v>-3716779.0845687496</v>
      </c>
      <c r="J96" s="301">
        <f t="shared" si="40"/>
        <v>-1719973.2362500001</v>
      </c>
      <c r="K96" s="301">
        <f t="shared" si="40"/>
        <v>-8459679.069583334</v>
      </c>
      <c r="L96" s="301">
        <f t="shared" si="40"/>
        <v>-7817054.5695833331</v>
      </c>
      <c r="M96" s="301">
        <f t="shared" si="40"/>
        <v>-22051207.236249998</v>
      </c>
      <c r="N96" s="301">
        <f t="shared" si="40"/>
        <v>-9566323.069583334</v>
      </c>
      <c r="O96" s="301">
        <f t="shared" si="40"/>
        <v>-9655679.7490229178</v>
      </c>
      <c r="P96" s="301">
        <f t="shared" si="40"/>
        <v>-6290519.2065813681</v>
      </c>
      <c r="Q96" s="301">
        <f t="shared" si="40"/>
        <v>-505362.35908136802</v>
      </c>
      <c r="R96" s="301">
        <f t="shared" si="40"/>
        <v>-505362.35908136802</v>
      </c>
      <c r="S96" s="301">
        <f t="shared" si="40"/>
        <v>-505362.35908136802</v>
      </c>
      <c r="T96" s="301">
        <f t="shared" si="40"/>
        <v>-74358568.724091202</v>
      </c>
      <c r="U96" s="301">
        <f t="shared" si="40"/>
        <v>0</v>
      </c>
      <c r="V96" s="301">
        <f t="shared" si="40"/>
        <v>0</v>
      </c>
      <c r="W96" s="301">
        <f t="shared" si="40"/>
        <v>0</v>
      </c>
      <c r="X96" s="301">
        <f t="shared" si="40"/>
        <v>0</v>
      </c>
      <c r="Y96" s="301">
        <f t="shared" si="40"/>
        <v>0</v>
      </c>
      <c r="Z96" s="301">
        <f t="shared" si="40"/>
        <v>0</v>
      </c>
      <c r="AA96" s="301">
        <f t="shared" si="40"/>
        <v>0</v>
      </c>
      <c r="AB96" s="301">
        <f t="shared" si="40"/>
        <v>0</v>
      </c>
      <c r="AC96" s="301">
        <f t="shared" si="40"/>
        <v>0</v>
      </c>
      <c r="AD96" s="301">
        <f t="shared" si="40"/>
        <v>0</v>
      </c>
      <c r="AE96" s="301">
        <f t="shared" si="40"/>
        <v>0</v>
      </c>
      <c r="AF96" s="301">
        <f t="shared" si="40"/>
        <v>0</v>
      </c>
      <c r="AG96" s="301">
        <f t="shared" si="40"/>
        <v>0</v>
      </c>
      <c r="AH96" s="301">
        <f t="shared" si="40"/>
        <v>0</v>
      </c>
      <c r="AI96" s="301">
        <f t="shared" si="40"/>
        <v>0</v>
      </c>
      <c r="AJ96" s="301">
        <f t="shared" si="40"/>
        <v>0</v>
      </c>
      <c r="AK96" s="301">
        <f t="shared" si="40"/>
        <v>0</v>
      </c>
      <c r="AL96" s="301">
        <f t="shared" si="40"/>
        <v>0</v>
      </c>
      <c r="AM96" s="301">
        <f t="shared" si="40"/>
        <v>0</v>
      </c>
      <c r="AN96" s="301">
        <f t="shared" si="40"/>
        <v>0</v>
      </c>
      <c r="AO96" s="301">
        <f t="shared" si="40"/>
        <v>0</v>
      </c>
      <c r="AP96" s="301">
        <f t="shared" si="40"/>
        <v>0</v>
      </c>
      <c r="AQ96" s="301">
        <f t="shared" si="40"/>
        <v>0</v>
      </c>
      <c r="AR96" s="301">
        <f t="shared" si="40"/>
        <v>0</v>
      </c>
      <c r="AS96" s="301">
        <f t="shared" si="40"/>
        <v>0</v>
      </c>
      <c r="AT96" s="301">
        <f t="shared" si="40"/>
        <v>0</v>
      </c>
      <c r="AU96" s="301">
        <f t="shared" si="40"/>
        <v>0</v>
      </c>
      <c r="AV96" s="301">
        <f t="shared" si="40"/>
        <v>0</v>
      </c>
      <c r="AW96" s="301">
        <f t="shared" si="40"/>
        <v>0</v>
      </c>
      <c r="AX96" s="301">
        <f t="shared" si="40"/>
        <v>0</v>
      </c>
      <c r="AY96" s="301">
        <f t="shared" si="40"/>
        <v>0</v>
      </c>
      <c r="AZ96" s="301">
        <f t="shared" si="40"/>
        <v>0</v>
      </c>
      <c r="BA96" s="301">
        <f t="shared" si="40"/>
        <v>0</v>
      </c>
      <c r="BB96" s="301">
        <f t="shared" si="40"/>
        <v>0</v>
      </c>
      <c r="BC96" s="301">
        <f t="shared" si="40"/>
        <v>0</v>
      </c>
      <c r="BD96" s="301">
        <f t="shared" si="40"/>
        <v>0</v>
      </c>
      <c r="BE96" s="301">
        <f t="shared" si="40"/>
        <v>0</v>
      </c>
      <c r="BF96" s="301">
        <f t="shared" si="40"/>
        <v>0</v>
      </c>
      <c r="BG96" s="301">
        <f t="shared" si="40"/>
        <v>0</v>
      </c>
      <c r="BH96" s="301">
        <f t="shared" si="40"/>
        <v>0</v>
      </c>
      <c r="BI96" s="301">
        <f t="shared" si="40"/>
        <v>0</v>
      </c>
      <c r="BJ96" s="301">
        <f t="shared" si="40"/>
        <v>0</v>
      </c>
      <c r="BK96" s="301">
        <f t="shared" si="40"/>
        <v>0</v>
      </c>
      <c r="BL96" s="301">
        <f t="shared" si="40"/>
        <v>0</v>
      </c>
      <c r="BM96" s="301">
        <f t="shared" si="40"/>
        <v>0</v>
      </c>
      <c r="BN96" s="301">
        <f t="shared" si="40"/>
        <v>0</v>
      </c>
      <c r="BO96" s="301">
        <f t="shared" si="40"/>
        <v>0</v>
      </c>
      <c r="BP96" s="301">
        <f t="shared" si="40"/>
        <v>0</v>
      </c>
      <c r="BQ96" s="301">
        <f t="shared" si="40"/>
        <v>0</v>
      </c>
      <c r="BR96" s="301">
        <f t="shared" si="40"/>
        <v>0</v>
      </c>
      <c r="BS96" s="301">
        <f t="shared" si="40"/>
        <v>0</v>
      </c>
      <c r="BT96" s="301">
        <f t="shared" si="40"/>
        <v>0</v>
      </c>
      <c r="BU96" s="301">
        <f t="shared" si="40"/>
        <v>0</v>
      </c>
      <c r="BV96" s="301">
        <f t="shared" si="40"/>
        <v>0</v>
      </c>
      <c r="BW96" s="301">
        <f t="shared" si="40"/>
        <v>0</v>
      </c>
      <c r="BX96" s="301">
        <f t="shared" si="40"/>
        <v>0</v>
      </c>
      <c r="BY96" s="780">
        <f>BZ89</f>
        <v>-73915002</v>
      </c>
      <c r="BZ96" s="781"/>
      <c r="CA96" s="226"/>
      <c r="CB96" s="226"/>
      <c r="CC96" s="226"/>
    </row>
    <row r="97" spans="1:81" ht="16">
      <c r="A97" s="603"/>
      <c r="B97" s="791" t="s">
        <v>335</v>
      </c>
      <c r="C97" s="774"/>
      <c r="D97" s="307"/>
      <c r="E97" s="303">
        <f t="shared" ref="E97:BX97" si="41">E16+E96</f>
        <v>0</v>
      </c>
      <c r="F97" s="303">
        <f t="shared" si="41"/>
        <v>0</v>
      </c>
      <c r="G97" s="303">
        <f t="shared" si="41"/>
        <v>0</v>
      </c>
      <c r="H97" s="303">
        <f t="shared" si="41"/>
        <v>5446884.4783333354</v>
      </c>
      <c r="I97" s="303">
        <f t="shared" si="41"/>
        <v>-2716779.0845687496</v>
      </c>
      <c r="J97" s="303">
        <f t="shared" si="41"/>
        <v>-1719973.2362500001</v>
      </c>
      <c r="K97" s="303">
        <f t="shared" si="41"/>
        <v>14153726.516075291</v>
      </c>
      <c r="L97" s="303">
        <f t="shared" si="41"/>
        <v>-7690491.2633849857</v>
      </c>
      <c r="M97" s="304">
        <f t="shared" si="41"/>
        <v>7575430.5699483491</v>
      </c>
      <c r="N97" s="303">
        <f t="shared" si="41"/>
        <v>-9483859.7633849867</v>
      </c>
      <c r="O97" s="304">
        <f t="shared" si="41"/>
        <v>-1733216.4428245705</v>
      </c>
      <c r="P97" s="304">
        <f t="shared" si="41"/>
        <v>-4948055.9003830208</v>
      </c>
      <c r="Q97" s="304">
        <f t="shared" si="41"/>
        <v>190446.99851697887</v>
      </c>
      <c r="R97" s="304">
        <f t="shared" si="41"/>
        <v>84505.287116978841</v>
      </c>
      <c r="S97" s="304">
        <f t="shared" si="41"/>
        <v>84505.287116978841</v>
      </c>
      <c r="T97" s="304">
        <f t="shared" si="41"/>
        <v>60459199.707821399</v>
      </c>
      <c r="U97" s="303">
        <f t="shared" si="41"/>
        <v>0</v>
      </c>
      <c r="V97" s="303">
        <f t="shared" si="41"/>
        <v>0</v>
      </c>
      <c r="W97" s="303">
        <f t="shared" si="41"/>
        <v>0</v>
      </c>
      <c r="X97" s="304">
        <f t="shared" si="41"/>
        <v>0</v>
      </c>
      <c r="Y97" s="304">
        <f t="shared" si="41"/>
        <v>0</v>
      </c>
      <c r="Z97" s="304">
        <f t="shared" si="41"/>
        <v>0</v>
      </c>
      <c r="AA97" s="304">
        <f t="shared" si="41"/>
        <v>0</v>
      </c>
      <c r="AB97" s="304">
        <f t="shared" si="41"/>
        <v>0</v>
      </c>
      <c r="AC97" s="303">
        <f t="shared" si="41"/>
        <v>0</v>
      </c>
      <c r="AD97" s="304">
        <f t="shared" si="41"/>
        <v>0</v>
      </c>
      <c r="AE97" s="304">
        <f t="shared" si="41"/>
        <v>0</v>
      </c>
      <c r="AF97" s="304">
        <f t="shared" si="41"/>
        <v>0</v>
      </c>
      <c r="AG97" s="304">
        <f t="shared" si="41"/>
        <v>0</v>
      </c>
      <c r="AH97" s="304">
        <f t="shared" si="41"/>
        <v>0</v>
      </c>
      <c r="AI97" s="304">
        <f t="shared" si="41"/>
        <v>0</v>
      </c>
      <c r="AJ97" s="304">
        <f t="shared" si="41"/>
        <v>0</v>
      </c>
      <c r="AK97" s="304">
        <f t="shared" si="41"/>
        <v>0</v>
      </c>
      <c r="AL97" s="304">
        <f t="shared" si="41"/>
        <v>0</v>
      </c>
      <c r="AM97" s="304">
        <f t="shared" si="41"/>
        <v>0</v>
      </c>
      <c r="AN97" s="304">
        <f t="shared" si="41"/>
        <v>0</v>
      </c>
      <c r="AO97" s="303">
        <f t="shared" si="41"/>
        <v>0</v>
      </c>
      <c r="AP97" s="304">
        <f t="shared" si="41"/>
        <v>0</v>
      </c>
      <c r="AQ97" s="304">
        <f t="shared" si="41"/>
        <v>0</v>
      </c>
      <c r="AR97" s="304">
        <f t="shared" si="41"/>
        <v>0</v>
      </c>
      <c r="AS97" s="303">
        <f t="shared" si="41"/>
        <v>0</v>
      </c>
      <c r="AT97" s="303">
        <f t="shared" si="41"/>
        <v>0</v>
      </c>
      <c r="AU97" s="303">
        <f t="shared" si="41"/>
        <v>0</v>
      </c>
      <c r="AV97" s="303">
        <f t="shared" si="41"/>
        <v>0</v>
      </c>
      <c r="AW97" s="303">
        <f t="shared" si="41"/>
        <v>0</v>
      </c>
      <c r="AX97" s="303">
        <f t="shared" si="41"/>
        <v>0</v>
      </c>
      <c r="AY97" s="303">
        <f t="shared" si="41"/>
        <v>0</v>
      </c>
      <c r="AZ97" s="303">
        <f t="shared" si="41"/>
        <v>0</v>
      </c>
      <c r="BA97" s="303">
        <f t="shared" si="41"/>
        <v>0</v>
      </c>
      <c r="BB97" s="303">
        <f t="shared" si="41"/>
        <v>0</v>
      </c>
      <c r="BC97" s="303">
        <f t="shared" si="41"/>
        <v>0</v>
      </c>
      <c r="BD97" s="303">
        <f t="shared" si="41"/>
        <v>0</v>
      </c>
      <c r="BE97" s="303">
        <f t="shared" si="41"/>
        <v>0</v>
      </c>
      <c r="BF97" s="303">
        <f t="shared" si="41"/>
        <v>0</v>
      </c>
      <c r="BG97" s="303">
        <f t="shared" si="41"/>
        <v>0</v>
      </c>
      <c r="BH97" s="303">
        <f t="shared" si="41"/>
        <v>0</v>
      </c>
      <c r="BI97" s="303">
        <f t="shared" si="41"/>
        <v>0</v>
      </c>
      <c r="BJ97" s="303">
        <f t="shared" si="41"/>
        <v>0</v>
      </c>
      <c r="BK97" s="303">
        <f t="shared" si="41"/>
        <v>0</v>
      </c>
      <c r="BL97" s="308">
        <f t="shared" si="41"/>
        <v>0</v>
      </c>
      <c r="BM97" s="308">
        <f t="shared" si="41"/>
        <v>0</v>
      </c>
      <c r="BN97" s="308">
        <f t="shared" si="41"/>
        <v>0</v>
      </c>
      <c r="BO97" s="308">
        <f t="shared" si="41"/>
        <v>0</v>
      </c>
      <c r="BP97" s="308">
        <f t="shared" si="41"/>
        <v>0</v>
      </c>
      <c r="BQ97" s="308">
        <f t="shared" si="41"/>
        <v>0</v>
      </c>
      <c r="BR97" s="308">
        <f t="shared" si="41"/>
        <v>0</v>
      </c>
      <c r="BS97" s="308">
        <f t="shared" si="41"/>
        <v>0</v>
      </c>
      <c r="BT97" s="308">
        <f t="shared" si="41"/>
        <v>0</v>
      </c>
      <c r="BU97" s="308">
        <f t="shared" si="41"/>
        <v>0</v>
      </c>
      <c r="BV97" s="308">
        <f t="shared" si="41"/>
        <v>0</v>
      </c>
      <c r="BW97" s="308">
        <f t="shared" si="41"/>
        <v>0</v>
      </c>
      <c r="BX97" s="308">
        <f t="shared" si="41"/>
        <v>0</v>
      </c>
      <c r="BY97" s="782">
        <f>BY16+BY88+BY96</f>
        <v>67942307.698557973</v>
      </c>
      <c r="BZ97" s="783"/>
      <c r="CA97" s="226"/>
      <c r="CB97" s="226"/>
      <c r="CC97" s="226"/>
    </row>
    <row r="98" spans="1:81">
      <c r="A98" s="603"/>
      <c r="B98" s="792" t="s">
        <v>336</v>
      </c>
      <c r="C98" s="774"/>
      <c r="D98" s="309"/>
      <c r="E98" s="310">
        <f>E97</f>
        <v>0</v>
      </c>
      <c r="F98" s="310">
        <f>F97+E98</f>
        <v>0</v>
      </c>
      <c r="G98" s="310">
        <f>655760.63+24.98*24.5-16.85*22</f>
        <v>656001.94000000006</v>
      </c>
      <c r="H98" s="310">
        <f>H97+G98-66</f>
        <v>6102820.4183333358</v>
      </c>
      <c r="I98" s="310">
        <f t="shared" ref="I98:BX98" si="42">I97+H98</f>
        <v>3386041.3337645861</v>
      </c>
      <c r="J98" s="310">
        <f t="shared" si="42"/>
        <v>1666068.0975145861</v>
      </c>
      <c r="K98" s="310">
        <f t="shared" si="42"/>
        <v>15819794.613589877</v>
      </c>
      <c r="L98" s="310">
        <f t="shared" si="42"/>
        <v>8129303.3502048915</v>
      </c>
      <c r="M98" s="310">
        <f t="shared" si="42"/>
        <v>15704733.920153242</v>
      </c>
      <c r="N98" s="310">
        <f t="shared" si="42"/>
        <v>6220874.1567682549</v>
      </c>
      <c r="O98" s="310">
        <f t="shared" si="42"/>
        <v>4487657.7139436845</v>
      </c>
      <c r="P98" s="310">
        <f t="shared" si="42"/>
        <v>-460398.18643933628</v>
      </c>
      <c r="Q98" s="310">
        <f t="shared" si="42"/>
        <v>-269951.18792235741</v>
      </c>
      <c r="R98" s="310">
        <f t="shared" si="42"/>
        <v>-185445.90080537857</v>
      </c>
      <c r="S98" s="310">
        <f t="shared" si="42"/>
        <v>-100940.61368839972</v>
      </c>
      <c r="T98" s="310">
        <f t="shared" si="42"/>
        <v>60358259.094132997</v>
      </c>
      <c r="U98" s="310">
        <f t="shared" si="42"/>
        <v>60358259.094132997</v>
      </c>
      <c r="V98" s="310">
        <f t="shared" si="42"/>
        <v>60358259.094132997</v>
      </c>
      <c r="W98" s="310">
        <f t="shared" si="42"/>
        <v>60358259.094132997</v>
      </c>
      <c r="X98" s="310">
        <f t="shared" si="42"/>
        <v>60358259.094132997</v>
      </c>
      <c r="Y98" s="310">
        <f t="shared" si="42"/>
        <v>60358259.094132997</v>
      </c>
      <c r="Z98" s="310">
        <f t="shared" si="42"/>
        <v>60358259.094132997</v>
      </c>
      <c r="AA98" s="310">
        <f t="shared" si="42"/>
        <v>60358259.094132997</v>
      </c>
      <c r="AB98" s="310">
        <f t="shared" si="42"/>
        <v>60358259.094132997</v>
      </c>
      <c r="AC98" s="310">
        <f t="shared" si="42"/>
        <v>60358259.094132997</v>
      </c>
      <c r="AD98" s="310">
        <f t="shared" si="42"/>
        <v>60358259.094132997</v>
      </c>
      <c r="AE98" s="310">
        <f t="shared" si="42"/>
        <v>60358259.094132997</v>
      </c>
      <c r="AF98" s="310">
        <f t="shared" si="42"/>
        <v>60358259.094132997</v>
      </c>
      <c r="AG98" s="310">
        <f t="shared" si="42"/>
        <v>60358259.094132997</v>
      </c>
      <c r="AH98" s="310">
        <f t="shared" si="42"/>
        <v>60358259.094132997</v>
      </c>
      <c r="AI98" s="310">
        <f t="shared" si="42"/>
        <v>60358259.094132997</v>
      </c>
      <c r="AJ98" s="310">
        <f t="shared" si="42"/>
        <v>60358259.094132997</v>
      </c>
      <c r="AK98" s="310">
        <f t="shared" si="42"/>
        <v>60358259.094132997</v>
      </c>
      <c r="AL98" s="310">
        <f t="shared" si="42"/>
        <v>60358259.094132997</v>
      </c>
      <c r="AM98" s="310">
        <f t="shared" si="42"/>
        <v>60358259.094132997</v>
      </c>
      <c r="AN98" s="310">
        <f t="shared" si="42"/>
        <v>60358259.094132997</v>
      </c>
      <c r="AO98" s="310">
        <f t="shared" si="42"/>
        <v>60358259.094132997</v>
      </c>
      <c r="AP98" s="310">
        <f t="shared" si="42"/>
        <v>60358259.094132997</v>
      </c>
      <c r="AQ98" s="310">
        <f t="shared" si="42"/>
        <v>60358259.094132997</v>
      </c>
      <c r="AR98" s="310">
        <f t="shared" si="42"/>
        <v>60358259.094132997</v>
      </c>
      <c r="AS98" s="310">
        <f t="shared" si="42"/>
        <v>60358259.094132997</v>
      </c>
      <c r="AT98" s="310">
        <f t="shared" si="42"/>
        <v>60358259.094132997</v>
      </c>
      <c r="AU98" s="310">
        <f t="shared" si="42"/>
        <v>60358259.094132997</v>
      </c>
      <c r="AV98" s="310">
        <f t="shared" si="42"/>
        <v>60358259.094132997</v>
      </c>
      <c r="AW98" s="310">
        <f t="shared" si="42"/>
        <v>60358259.094132997</v>
      </c>
      <c r="AX98" s="310">
        <f t="shared" si="42"/>
        <v>60358259.094132997</v>
      </c>
      <c r="AY98" s="310">
        <f t="shared" si="42"/>
        <v>60358259.094132997</v>
      </c>
      <c r="AZ98" s="310">
        <f t="shared" si="42"/>
        <v>60358259.094132997</v>
      </c>
      <c r="BA98" s="310">
        <f t="shared" si="42"/>
        <v>60358259.094132997</v>
      </c>
      <c r="BB98" s="310">
        <f t="shared" si="42"/>
        <v>60358259.094132997</v>
      </c>
      <c r="BC98" s="310">
        <f t="shared" si="42"/>
        <v>60358259.094132997</v>
      </c>
      <c r="BD98" s="310">
        <f t="shared" si="42"/>
        <v>60358259.094132997</v>
      </c>
      <c r="BE98" s="310">
        <f t="shared" si="42"/>
        <v>60358259.094132997</v>
      </c>
      <c r="BF98" s="310">
        <f t="shared" si="42"/>
        <v>60358259.094132997</v>
      </c>
      <c r="BG98" s="310">
        <f t="shared" si="42"/>
        <v>60358259.094132997</v>
      </c>
      <c r="BH98" s="310">
        <f t="shared" si="42"/>
        <v>60358259.094132997</v>
      </c>
      <c r="BI98" s="310">
        <f t="shared" si="42"/>
        <v>60358259.094132997</v>
      </c>
      <c r="BJ98" s="310">
        <f t="shared" si="42"/>
        <v>60358259.094132997</v>
      </c>
      <c r="BK98" s="310">
        <f t="shared" si="42"/>
        <v>60358259.094132997</v>
      </c>
      <c r="BL98" s="310">
        <f t="shared" si="42"/>
        <v>60358259.094132997</v>
      </c>
      <c r="BM98" s="310">
        <f t="shared" si="42"/>
        <v>60358259.094132997</v>
      </c>
      <c r="BN98" s="310">
        <f t="shared" si="42"/>
        <v>60358259.094132997</v>
      </c>
      <c r="BO98" s="310">
        <f t="shared" si="42"/>
        <v>60358259.094132997</v>
      </c>
      <c r="BP98" s="310">
        <f t="shared" si="42"/>
        <v>60358259.094132997</v>
      </c>
      <c r="BQ98" s="310">
        <f t="shared" si="42"/>
        <v>60358259.094132997</v>
      </c>
      <c r="BR98" s="310">
        <f t="shared" si="42"/>
        <v>60358259.094132997</v>
      </c>
      <c r="BS98" s="310">
        <f t="shared" si="42"/>
        <v>60358259.094132997</v>
      </c>
      <c r="BT98" s="310">
        <f t="shared" si="42"/>
        <v>60358259.094132997</v>
      </c>
      <c r="BU98" s="310">
        <f t="shared" si="42"/>
        <v>60358259.094132997</v>
      </c>
      <c r="BV98" s="310">
        <f t="shared" si="42"/>
        <v>60358259.094132997</v>
      </c>
      <c r="BW98" s="310">
        <f t="shared" si="42"/>
        <v>60358259.094132997</v>
      </c>
      <c r="BX98" s="310">
        <f t="shared" si="42"/>
        <v>60358259.094132997</v>
      </c>
      <c r="BY98" s="226"/>
      <c r="BZ98" s="226"/>
      <c r="CA98" s="226"/>
      <c r="CB98" s="226"/>
      <c r="CC98" s="226"/>
    </row>
    <row r="99" spans="1:81">
      <c r="A99" s="226"/>
      <c r="B99" s="226"/>
      <c r="C99" s="226"/>
      <c r="D99" s="226"/>
      <c r="E99" s="226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26"/>
      <c r="Z99" s="226"/>
      <c r="AA99" s="226"/>
      <c r="AB99" s="226"/>
      <c r="AC99" s="226"/>
      <c r="AD99" s="226"/>
      <c r="AE99" s="226"/>
      <c r="AF99" s="226"/>
      <c r="AG99" s="226"/>
      <c r="AH99" s="226"/>
      <c r="AI99" s="226"/>
      <c r="AJ99" s="226"/>
      <c r="AK99" s="226"/>
      <c r="AL99" s="226"/>
      <c r="AM99" s="226"/>
      <c r="AN99" s="226"/>
      <c r="AO99" s="226"/>
      <c r="AP99" s="226"/>
      <c r="AQ99" s="226"/>
      <c r="AR99" s="226"/>
      <c r="AS99" s="226"/>
      <c r="AT99" s="226"/>
      <c r="AU99" s="226"/>
      <c r="AV99" s="226"/>
      <c r="AW99" s="226"/>
      <c r="AX99" s="226"/>
      <c r="AY99" s="226"/>
      <c r="AZ99" s="226"/>
      <c r="BA99" s="226"/>
      <c r="BB99" s="226"/>
      <c r="BC99" s="226"/>
      <c r="BD99" s="226"/>
      <c r="BE99" s="226"/>
      <c r="BF99" s="226"/>
      <c r="BG99" s="226"/>
      <c r="BH99" s="226"/>
      <c r="BI99" s="226"/>
      <c r="BJ99" s="226"/>
      <c r="BK99" s="226"/>
      <c r="BL99" s="226"/>
      <c r="BM99" s="226"/>
      <c r="BN99" s="226"/>
      <c r="BO99" s="226"/>
      <c r="BP99" s="226"/>
      <c r="BQ99" s="226"/>
      <c r="BR99" s="226"/>
      <c r="BS99" s="226"/>
      <c r="BT99" s="226"/>
      <c r="BU99" s="226"/>
      <c r="BV99" s="226"/>
      <c r="BW99" s="226"/>
      <c r="BX99" s="226"/>
      <c r="BY99" s="311"/>
      <c r="BZ99" s="226">
        <f>T98-8333333</f>
        <v>52024926.094132997</v>
      </c>
      <c r="CA99" s="226"/>
      <c r="CB99" s="226"/>
      <c r="CC99" s="226"/>
    </row>
    <row r="100" spans="1:81" hidden="1">
      <c r="A100" s="226"/>
      <c r="B100" s="226"/>
      <c r="C100" s="226"/>
      <c r="D100" s="312" t="s">
        <v>337</v>
      </c>
      <c r="E100" s="312"/>
      <c r="F100" s="312"/>
      <c r="G100" s="312"/>
      <c r="H100" s="312"/>
      <c r="I100" s="312"/>
      <c r="J100" s="312"/>
      <c r="K100" s="312"/>
      <c r="L100" s="312"/>
      <c r="M100" s="312"/>
      <c r="N100" s="312"/>
      <c r="O100" s="312"/>
      <c r="P100" s="312"/>
      <c r="Q100" s="312"/>
      <c r="R100" s="312"/>
      <c r="S100" s="312"/>
      <c r="T100" s="312"/>
      <c r="U100" s="312"/>
      <c r="V100" s="313"/>
      <c r="W100" s="313"/>
      <c r="X100" s="313"/>
      <c r="Y100" s="313"/>
      <c r="Z100" s="313"/>
      <c r="AA100" s="313"/>
      <c r="AB100" s="313"/>
      <c r="AC100" s="313"/>
      <c r="AD100" s="313"/>
      <c r="AE100" s="313"/>
      <c r="AF100" s="313"/>
      <c r="AG100" s="313"/>
      <c r="AH100" s="313"/>
      <c r="AI100" s="313"/>
      <c r="AJ100" s="313"/>
      <c r="AK100" s="313"/>
      <c r="AL100" s="313"/>
      <c r="AM100" s="313"/>
      <c r="AN100" s="313"/>
      <c r="AO100" s="313"/>
      <c r="AP100" s="313"/>
      <c r="AQ100" s="313"/>
      <c r="AR100" s="313"/>
      <c r="AS100" s="313"/>
      <c r="AT100" s="313"/>
      <c r="AU100" s="313"/>
      <c r="AV100" s="313"/>
      <c r="AW100" s="313"/>
      <c r="AX100" s="313"/>
      <c r="AY100" s="313"/>
      <c r="AZ100" s="313"/>
      <c r="BA100" s="313"/>
      <c r="BB100" s="313"/>
      <c r="BC100" s="313"/>
      <c r="BD100" s="313"/>
      <c r="BE100" s="313"/>
      <c r="BF100" s="313"/>
      <c r="BG100" s="313"/>
      <c r="BH100" s="313"/>
      <c r="BI100" s="313"/>
      <c r="BJ100" s="313"/>
      <c r="BK100" s="313"/>
      <c r="BL100" s="313"/>
      <c r="BM100" s="313"/>
      <c r="BN100" s="313"/>
      <c r="BO100" s="313"/>
      <c r="BP100" s="313"/>
      <c r="BQ100" s="313"/>
      <c r="BR100" s="313"/>
      <c r="BS100" s="313"/>
      <c r="BT100" s="313"/>
      <c r="BU100" s="313"/>
      <c r="BV100" s="313"/>
      <c r="BW100" s="313"/>
      <c r="BX100" s="313"/>
      <c r="BY100" s="311"/>
      <c r="BZ100" s="226"/>
      <c r="CA100" s="226"/>
      <c r="CB100" s="226"/>
      <c r="CC100" s="226"/>
    </row>
    <row r="101" spans="1:81" hidden="1">
      <c r="A101" s="226"/>
      <c r="B101" s="226"/>
      <c r="C101" s="226"/>
      <c r="D101" s="226"/>
      <c r="E101" s="226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6"/>
      <c r="AA101" s="226"/>
      <c r="AB101" s="226"/>
      <c r="AC101" s="226"/>
      <c r="AD101" s="226"/>
      <c r="AE101" s="226"/>
      <c r="AF101" s="226"/>
      <c r="AG101" s="226"/>
      <c r="AH101" s="226"/>
      <c r="AI101" s="226"/>
      <c r="AJ101" s="226"/>
      <c r="AK101" s="226"/>
      <c r="AL101" s="226"/>
      <c r="AM101" s="226"/>
      <c r="AN101" s="226"/>
      <c r="AO101" s="226"/>
      <c r="AP101" s="226"/>
      <c r="AQ101" s="226"/>
      <c r="AR101" s="226"/>
      <c r="AS101" s="226"/>
      <c r="AT101" s="226"/>
      <c r="AU101" s="226"/>
      <c r="AV101" s="226"/>
      <c r="AW101" s="226"/>
      <c r="AX101" s="226"/>
      <c r="AY101" s="226"/>
      <c r="AZ101" s="226"/>
      <c r="BA101" s="226"/>
      <c r="BB101" s="226"/>
      <c r="BC101" s="226"/>
      <c r="BD101" s="226"/>
      <c r="BE101" s="226"/>
      <c r="BF101" s="226"/>
      <c r="BG101" s="226"/>
      <c r="BH101" s="226"/>
      <c r="BI101" s="226"/>
      <c r="BJ101" s="226"/>
      <c r="BK101" s="226"/>
      <c r="BL101" s="226"/>
      <c r="BM101" s="226"/>
      <c r="BN101" s="226"/>
      <c r="BO101" s="226"/>
      <c r="BP101" s="226"/>
      <c r="BQ101" s="226"/>
      <c r="BR101" s="226"/>
      <c r="BS101" s="226"/>
      <c r="BT101" s="226"/>
      <c r="BU101" s="226"/>
      <c r="BV101" s="226"/>
      <c r="BW101" s="226"/>
      <c r="BX101" s="226"/>
      <c r="BY101" s="311"/>
      <c r="BZ101" s="226"/>
      <c r="CA101" s="226"/>
      <c r="CB101" s="226"/>
      <c r="CC101" s="226"/>
    </row>
    <row r="102" spans="1:81" hidden="1">
      <c r="A102" s="226"/>
      <c r="B102" s="226"/>
      <c r="C102" s="314" t="s">
        <v>338</v>
      </c>
      <c r="D102" s="315"/>
      <c r="E102" s="316">
        <f>E110+E126+E142+E159</f>
        <v>0</v>
      </c>
      <c r="F102" s="316">
        <f t="shared" ref="F102:BW102" si="43">F110+F159</f>
        <v>0</v>
      </c>
      <c r="G102" s="316">
        <f t="shared" si="43"/>
        <v>0</v>
      </c>
      <c r="H102" s="316">
        <f t="shared" si="43"/>
        <v>-16365002</v>
      </c>
      <c r="I102" s="316">
        <f t="shared" si="43"/>
        <v>-1000000</v>
      </c>
      <c r="J102" s="316">
        <f t="shared" si="43"/>
        <v>0</v>
      </c>
      <c r="K102" s="316">
        <f t="shared" si="43"/>
        <v>0</v>
      </c>
      <c r="L102" s="316">
        <f t="shared" si="43"/>
        <v>0</v>
      </c>
      <c r="M102" s="316">
        <f t="shared" si="43"/>
        <v>0</v>
      </c>
      <c r="N102" s="316">
        <f t="shared" si="43"/>
        <v>0</v>
      </c>
      <c r="O102" s="316">
        <f t="shared" si="43"/>
        <v>-3000000</v>
      </c>
      <c r="P102" s="316">
        <f t="shared" si="43"/>
        <v>-2100000</v>
      </c>
      <c r="Q102" s="316">
        <f t="shared" si="43"/>
        <v>0</v>
      </c>
      <c r="R102" s="316">
        <f t="shared" si="43"/>
        <v>0</v>
      </c>
      <c r="S102" s="316">
        <f t="shared" si="43"/>
        <v>0</v>
      </c>
      <c r="T102" s="316">
        <f t="shared" si="43"/>
        <v>22465002</v>
      </c>
      <c r="U102" s="316">
        <f t="shared" si="43"/>
        <v>0</v>
      </c>
      <c r="V102" s="316">
        <f t="shared" si="43"/>
        <v>0</v>
      </c>
      <c r="W102" s="316">
        <f t="shared" si="43"/>
        <v>0</v>
      </c>
      <c r="X102" s="316">
        <f t="shared" si="43"/>
        <v>0</v>
      </c>
      <c r="Y102" s="316">
        <f t="shared" si="43"/>
        <v>0</v>
      </c>
      <c r="Z102" s="316">
        <f t="shared" si="43"/>
        <v>0</v>
      </c>
      <c r="AA102" s="316">
        <f t="shared" si="43"/>
        <v>0</v>
      </c>
      <c r="AB102" s="316">
        <f t="shared" si="43"/>
        <v>0</v>
      </c>
      <c r="AC102" s="316">
        <f t="shared" si="43"/>
        <v>0</v>
      </c>
      <c r="AD102" s="316">
        <f t="shared" si="43"/>
        <v>0</v>
      </c>
      <c r="AE102" s="316">
        <f t="shared" si="43"/>
        <v>0</v>
      </c>
      <c r="AF102" s="316">
        <f t="shared" si="43"/>
        <v>0</v>
      </c>
      <c r="AG102" s="316">
        <f t="shared" si="43"/>
        <v>0</v>
      </c>
      <c r="AH102" s="316">
        <f t="shared" si="43"/>
        <v>0</v>
      </c>
      <c r="AI102" s="316">
        <f t="shared" si="43"/>
        <v>0</v>
      </c>
      <c r="AJ102" s="316">
        <f t="shared" si="43"/>
        <v>0</v>
      </c>
      <c r="AK102" s="316">
        <f t="shared" si="43"/>
        <v>0</v>
      </c>
      <c r="AL102" s="316">
        <f t="shared" si="43"/>
        <v>0</v>
      </c>
      <c r="AM102" s="316">
        <f t="shared" si="43"/>
        <v>0</v>
      </c>
      <c r="AN102" s="316">
        <f t="shared" si="43"/>
        <v>0</v>
      </c>
      <c r="AO102" s="316">
        <f t="shared" si="43"/>
        <v>0</v>
      </c>
      <c r="AP102" s="316">
        <f t="shared" si="43"/>
        <v>0</v>
      </c>
      <c r="AQ102" s="316">
        <f t="shared" si="43"/>
        <v>0</v>
      </c>
      <c r="AR102" s="316">
        <f t="shared" si="43"/>
        <v>0</v>
      </c>
      <c r="AS102" s="316">
        <f t="shared" si="43"/>
        <v>0</v>
      </c>
      <c r="AT102" s="316">
        <f t="shared" si="43"/>
        <v>0</v>
      </c>
      <c r="AU102" s="316">
        <f t="shared" si="43"/>
        <v>0</v>
      </c>
      <c r="AV102" s="316">
        <f t="shared" si="43"/>
        <v>0</v>
      </c>
      <c r="AW102" s="316">
        <f t="shared" si="43"/>
        <v>0</v>
      </c>
      <c r="AX102" s="316">
        <f t="shared" si="43"/>
        <v>0</v>
      </c>
      <c r="AY102" s="316">
        <f t="shared" si="43"/>
        <v>0</v>
      </c>
      <c r="AZ102" s="316">
        <f t="shared" si="43"/>
        <v>0</v>
      </c>
      <c r="BA102" s="316">
        <f t="shared" si="43"/>
        <v>0</v>
      </c>
      <c r="BB102" s="316">
        <f t="shared" si="43"/>
        <v>0</v>
      </c>
      <c r="BC102" s="316">
        <f t="shared" si="43"/>
        <v>0</v>
      </c>
      <c r="BD102" s="316">
        <f t="shared" si="43"/>
        <v>0</v>
      </c>
      <c r="BE102" s="316">
        <f t="shared" si="43"/>
        <v>0</v>
      </c>
      <c r="BF102" s="316">
        <f t="shared" si="43"/>
        <v>0</v>
      </c>
      <c r="BG102" s="316">
        <f t="shared" si="43"/>
        <v>0</v>
      </c>
      <c r="BH102" s="316">
        <f t="shared" si="43"/>
        <v>0</v>
      </c>
      <c r="BI102" s="316">
        <f t="shared" si="43"/>
        <v>0</v>
      </c>
      <c r="BJ102" s="316">
        <f t="shared" si="43"/>
        <v>0</v>
      </c>
      <c r="BK102" s="316">
        <f t="shared" si="43"/>
        <v>0</v>
      </c>
      <c r="BL102" s="316">
        <f t="shared" si="43"/>
        <v>0</v>
      </c>
      <c r="BM102" s="316">
        <f t="shared" si="43"/>
        <v>0</v>
      </c>
      <c r="BN102" s="316">
        <f t="shared" si="43"/>
        <v>0</v>
      </c>
      <c r="BO102" s="316">
        <f t="shared" si="43"/>
        <v>0</v>
      </c>
      <c r="BP102" s="316">
        <f t="shared" si="43"/>
        <v>0</v>
      </c>
      <c r="BQ102" s="316">
        <f t="shared" si="43"/>
        <v>0</v>
      </c>
      <c r="BR102" s="316">
        <f t="shared" si="43"/>
        <v>0</v>
      </c>
      <c r="BS102" s="316">
        <f t="shared" si="43"/>
        <v>0</v>
      </c>
      <c r="BT102" s="316">
        <f t="shared" si="43"/>
        <v>0</v>
      </c>
      <c r="BU102" s="316">
        <f t="shared" si="43"/>
        <v>0</v>
      </c>
      <c r="BV102" s="316">
        <f t="shared" si="43"/>
        <v>0</v>
      </c>
      <c r="BW102" s="316">
        <f t="shared" si="43"/>
        <v>0</v>
      </c>
      <c r="BX102" s="316">
        <f>BX110+BX159+BX98</f>
        <v>60358259.094132997</v>
      </c>
      <c r="BY102" s="311"/>
      <c r="BZ102" s="226"/>
      <c r="CA102" s="226"/>
      <c r="CB102" s="226"/>
      <c r="CC102" s="226"/>
    </row>
    <row r="103" spans="1:81" hidden="1">
      <c r="A103" s="226"/>
      <c r="B103" s="226"/>
      <c r="C103" s="317" t="s">
        <v>339</v>
      </c>
      <c r="D103" s="793">
        <f>IRR(E102:BX102)*12</f>
        <v>0.40671913729016573</v>
      </c>
      <c r="E103" s="768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26"/>
      <c r="Z103" s="226"/>
      <c r="AA103" s="226"/>
      <c r="AB103" s="226"/>
      <c r="AC103" s="226"/>
      <c r="AD103" s="226"/>
      <c r="AE103" s="226"/>
      <c r="AF103" s="226"/>
      <c r="AG103" s="226"/>
      <c r="AH103" s="226"/>
      <c r="AI103" s="226"/>
      <c r="AJ103" s="226"/>
      <c r="AK103" s="226"/>
      <c r="AL103" s="226"/>
      <c r="AM103" s="226"/>
      <c r="AN103" s="226"/>
      <c r="AO103" s="226"/>
      <c r="AP103" s="226"/>
      <c r="AQ103" s="226"/>
      <c r="AR103" s="226"/>
      <c r="AS103" s="226"/>
      <c r="AT103" s="226"/>
      <c r="AU103" s="226"/>
      <c r="AV103" s="226"/>
      <c r="AW103" s="226"/>
      <c r="AX103" s="226"/>
      <c r="AY103" s="226"/>
      <c r="AZ103" s="226"/>
      <c r="BA103" s="226"/>
      <c r="BB103" s="226"/>
      <c r="BC103" s="226"/>
      <c r="BD103" s="226"/>
      <c r="BE103" s="226"/>
      <c r="BF103" s="226"/>
      <c r="BG103" s="226"/>
      <c r="BH103" s="226"/>
      <c r="BI103" s="226"/>
      <c r="BJ103" s="226"/>
      <c r="BK103" s="226"/>
      <c r="BL103" s="226"/>
      <c r="BM103" s="226"/>
      <c r="BN103" s="226"/>
      <c r="BO103" s="226"/>
      <c r="BP103" s="226"/>
      <c r="BQ103" s="226"/>
      <c r="BR103" s="226"/>
      <c r="BS103" s="226"/>
      <c r="BT103" s="226"/>
      <c r="BU103" s="226"/>
      <c r="BV103" s="226"/>
      <c r="BW103" s="226"/>
      <c r="BX103" s="226"/>
      <c r="BY103" s="311"/>
      <c r="BZ103" s="226"/>
      <c r="CA103" s="226"/>
      <c r="CB103" s="226"/>
      <c r="CC103" s="226"/>
    </row>
    <row r="104" spans="1:81" hidden="1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6"/>
      <c r="BN104" s="226"/>
      <c r="BO104" s="226"/>
      <c r="BP104" s="226"/>
      <c r="BQ104" s="226"/>
      <c r="BR104" s="226"/>
      <c r="BS104" s="226"/>
      <c r="BT104" s="226"/>
      <c r="BU104" s="226"/>
      <c r="BV104" s="226"/>
      <c r="BW104" s="226"/>
      <c r="BX104" s="226"/>
      <c r="BY104" s="311"/>
      <c r="BZ104" s="226"/>
      <c r="CA104" s="226"/>
      <c r="CB104" s="226"/>
      <c r="CC104" s="226"/>
    </row>
    <row r="105" spans="1:81" hidden="1">
      <c r="A105" s="226"/>
      <c r="B105" s="226"/>
      <c r="C105" s="226"/>
      <c r="D105" s="226"/>
      <c r="E105" s="226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  <c r="U105" s="226"/>
      <c r="V105" s="226"/>
      <c r="W105" s="226"/>
      <c r="X105" s="226"/>
      <c r="Y105" s="226"/>
      <c r="Z105" s="226"/>
      <c r="AA105" s="226"/>
      <c r="AB105" s="226"/>
      <c r="AC105" s="226"/>
      <c r="AD105" s="226"/>
      <c r="AE105" s="226"/>
      <c r="AF105" s="226"/>
      <c r="AG105" s="226"/>
      <c r="AH105" s="226"/>
      <c r="AI105" s="226"/>
      <c r="AJ105" s="226"/>
      <c r="AK105" s="226"/>
      <c r="AL105" s="226"/>
      <c r="AM105" s="226"/>
      <c r="AN105" s="226"/>
      <c r="AO105" s="226"/>
      <c r="AP105" s="226"/>
      <c r="AQ105" s="226"/>
      <c r="AR105" s="226"/>
      <c r="AS105" s="226"/>
      <c r="AT105" s="226"/>
      <c r="AU105" s="226"/>
      <c r="AV105" s="226"/>
      <c r="AW105" s="226"/>
      <c r="AX105" s="226"/>
      <c r="AY105" s="226"/>
      <c r="AZ105" s="226"/>
      <c r="BA105" s="226"/>
      <c r="BB105" s="226"/>
      <c r="BC105" s="226"/>
      <c r="BD105" s="226"/>
      <c r="BE105" s="226"/>
      <c r="BF105" s="226"/>
      <c r="BG105" s="226"/>
      <c r="BH105" s="226"/>
      <c r="BI105" s="226"/>
      <c r="BJ105" s="226"/>
      <c r="BK105" s="226"/>
      <c r="BL105" s="226"/>
      <c r="BM105" s="226"/>
      <c r="BN105" s="226"/>
      <c r="BO105" s="226"/>
      <c r="BP105" s="226"/>
      <c r="BQ105" s="226"/>
      <c r="BR105" s="226"/>
      <c r="BS105" s="226"/>
      <c r="BT105" s="226"/>
      <c r="BU105" s="226"/>
      <c r="BV105" s="226"/>
      <c r="BW105" s="226"/>
      <c r="BX105" s="226"/>
      <c r="BY105" s="311"/>
      <c r="BZ105" s="226"/>
      <c r="CA105" s="226"/>
      <c r="CB105" s="226"/>
      <c r="CC105" s="226"/>
    </row>
    <row r="106" spans="1:81" ht="17" hidden="1">
      <c r="A106" s="226"/>
      <c r="B106" s="226"/>
      <c r="C106" s="314" t="s">
        <v>340</v>
      </c>
      <c r="D106" s="794"/>
      <c r="E106" s="767"/>
      <c r="F106" s="767"/>
      <c r="G106" s="767"/>
      <c r="H106" s="767"/>
      <c r="I106" s="767"/>
      <c r="J106" s="767"/>
      <c r="K106" s="767"/>
      <c r="L106" s="767"/>
      <c r="M106" s="767"/>
      <c r="N106" s="767"/>
      <c r="O106" s="767"/>
      <c r="P106" s="767"/>
      <c r="Q106" s="767"/>
      <c r="R106" s="767"/>
      <c r="S106" s="767"/>
      <c r="T106" s="767"/>
      <c r="U106" s="767"/>
      <c r="V106" s="767"/>
      <c r="W106" s="767"/>
      <c r="X106" s="767"/>
      <c r="Y106" s="767"/>
      <c r="Z106" s="767"/>
      <c r="AA106" s="767"/>
      <c r="AB106" s="767"/>
      <c r="AC106" s="767"/>
      <c r="AD106" s="767"/>
      <c r="AE106" s="767"/>
      <c r="AF106" s="767"/>
      <c r="AG106" s="767"/>
      <c r="AH106" s="767"/>
      <c r="AI106" s="767"/>
      <c r="AJ106" s="767"/>
      <c r="AK106" s="767"/>
      <c r="AL106" s="767"/>
      <c r="AM106" s="767"/>
      <c r="AN106" s="767"/>
      <c r="AO106" s="767"/>
      <c r="AP106" s="767"/>
      <c r="AQ106" s="767"/>
      <c r="AR106" s="767"/>
      <c r="AS106" s="767"/>
      <c r="AT106" s="767"/>
      <c r="AU106" s="767"/>
      <c r="AV106" s="767"/>
      <c r="AW106" s="767"/>
      <c r="AX106" s="767"/>
      <c r="AY106" s="767"/>
      <c r="AZ106" s="767"/>
      <c r="BA106" s="767"/>
      <c r="BB106" s="767"/>
      <c r="BC106" s="767"/>
      <c r="BD106" s="767"/>
      <c r="BE106" s="767"/>
      <c r="BF106" s="767"/>
      <c r="BG106" s="767"/>
      <c r="BH106" s="767"/>
      <c r="BI106" s="767"/>
      <c r="BJ106" s="767"/>
      <c r="BK106" s="767"/>
      <c r="BL106" s="767"/>
      <c r="BM106" s="767"/>
      <c r="BN106" s="767"/>
      <c r="BO106" s="767"/>
      <c r="BP106" s="767"/>
      <c r="BQ106" s="767"/>
      <c r="BR106" s="767"/>
      <c r="BS106" s="767"/>
      <c r="BT106" s="767"/>
      <c r="BU106" s="767"/>
      <c r="BV106" s="767"/>
      <c r="BW106" s="768"/>
      <c r="BX106" s="319">
        <f>BX98*C107</f>
        <v>12071651.818826601</v>
      </c>
      <c r="BY106" s="311"/>
      <c r="BZ106" s="226"/>
      <c r="CA106" s="226"/>
      <c r="CB106" s="226"/>
      <c r="CC106" s="226"/>
    </row>
    <row r="107" spans="1:81" ht="19" hidden="1">
      <c r="A107" s="226"/>
      <c r="B107" s="226"/>
      <c r="C107" s="320">
        <v>0.2</v>
      </c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  <c r="CA107" s="226"/>
      <c r="CB107" s="226"/>
      <c r="CC107" s="226"/>
    </row>
    <row r="108" spans="1:81" hidden="1">
      <c r="A108" s="226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  <c r="AY108" s="226"/>
      <c r="AZ108" s="226"/>
      <c r="BA108" s="226"/>
      <c r="BB108" s="226"/>
      <c r="BC108" s="226"/>
      <c r="BD108" s="226"/>
      <c r="BE108" s="226"/>
      <c r="BF108" s="226"/>
      <c r="BG108" s="226"/>
      <c r="BH108" s="226"/>
      <c r="BI108" s="226"/>
      <c r="BJ108" s="226"/>
      <c r="BK108" s="226"/>
      <c r="BL108" s="226"/>
      <c r="BM108" s="226"/>
      <c r="BN108" s="226"/>
      <c r="BO108" s="226"/>
      <c r="BP108" s="226"/>
      <c r="BQ108" s="226"/>
      <c r="BR108" s="226"/>
      <c r="BS108" s="226"/>
      <c r="BT108" s="226"/>
      <c r="BU108" s="226"/>
      <c r="BV108" s="226"/>
      <c r="BW108" s="226"/>
      <c r="BX108" s="226"/>
      <c r="BY108" s="311"/>
      <c r="BZ108" s="226"/>
      <c r="CA108" s="226"/>
      <c r="CB108" s="226"/>
      <c r="CC108" s="226"/>
    </row>
    <row r="109" spans="1:81" hidden="1">
      <c r="A109" s="226"/>
      <c r="B109" s="226"/>
      <c r="C109" s="321"/>
      <c r="D109" s="321"/>
      <c r="E109" s="321"/>
      <c r="F109" s="321"/>
      <c r="G109" s="321"/>
      <c r="H109" s="321"/>
      <c r="I109" s="321"/>
      <c r="J109" s="321"/>
      <c r="K109" s="321"/>
      <c r="L109" s="321"/>
      <c r="M109" s="321"/>
      <c r="N109" s="321"/>
      <c r="O109" s="321"/>
      <c r="P109" s="321"/>
      <c r="Q109" s="321"/>
      <c r="R109" s="321"/>
      <c r="S109" s="321"/>
      <c r="T109" s="321"/>
      <c r="U109" s="321"/>
      <c r="V109" s="321"/>
      <c r="W109" s="321"/>
      <c r="X109" s="321"/>
      <c r="Y109" s="321"/>
      <c r="Z109" s="321"/>
      <c r="AA109" s="321"/>
      <c r="AB109" s="321"/>
      <c r="AC109" s="321"/>
      <c r="AD109" s="321"/>
      <c r="AE109" s="321"/>
      <c r="AF109" s="321"/>
      <c r="AG109" s="321"/>
      <c r="AH109" s="321"/>
      <c r="AI109" s="321"/>
      <c r="AJ109" s="321"/>
      <c r="AK109" s="321"/>
      <c r="AL109" s="321"/>
      <c r="AM109" s="321"/>
      <c r="AN109" s="321"/>
      <c r="AO109" s="321"/>
      <c r="AP109" s="321"/>
      <c r="AQ109" s="321"/>
      <c r="AR109" s="321"/>
      <c r="AS109" s="321"/>
      <c r="AT109" s="321"/>
      <c r="AU109" s="321"/>
      <c r="AV109" s="321"/>
      <c r="AW109" s="321"/>
      <c r="AX109" s="321"/>
      <c r="AY109" s="321"/>
      <c r="AZ109" s="321"/>
      <c r="BA109" s="321"/>
      <c r="BB109" s="321"/>
      <c r="BC109" s="321"/>
      <c r="BD109" s="321"/>
      <c r="BE109" s="321"/>
      <c r="BF109" s="321"/>
      <c r="BG109" s="321"/>
      <c r="BH109" s="321"/>
      <c r="BI109" s="321"/>
      <c r="BJ109" s="321"/>
      <c r="BK109" s="321"/>
      <c r="BL109" s="321"/>
      <c r="BM109" s="226"/>
      <c r="BN109" s="226"/>
      <c r="BO109" s="226"/>
      <c r="BP109" s="226"/>
      <c r="BQ109" s="226"/>
      <c r="BR109" s="226"/>
      <c r="BS109" s="226"/>
      <c r="BT109" s="226"/>
      <c r="BU109" s="226"/>
      <c r="BV109" s="226"/>
      <c r="BW109" s="226"/>
      <c r="BX109" s="226"/>
      <c r="BY109" s="226"/>
      <c r="BZ109" s="226"/>
      <c r="CA109" s="226"/>
      <c r="CB109" s="226"/>
      <c r="CC109" s="226"/>
    </row>
    <row r="110" spans="1:81">
      <c r="A110" s="226"/>
      <c r="B110" s="322"/>
      <c r="C110" s="314" t="s">
        <v>341</v>
      </c>
      <c r="D110" s="315"/>
      <c r="E110" s="316">
        <f t="shared" ref="E110:BM110" si="44">-(E5+E6+E89+E90)</f>
        <v>0</v>
      </c>
      <c r="F110" s="316">
        <f t="shared" si="44"/>
        <v>0</v>
      </c>
      <c r="G110" s="316">
        <f t="shared" si="44"/>
        <v>0</v>
      </c>
      <c r="H110" s="316">
        <f t="shared" si="44"/>
        <v>-16365002</v>
      </c>
      <c r="I110" s="316">
        <f t="shared" si="44"/>
        <v>-1000000</v>
      </c>
      <c r="J110" s="316">
        <f t="shared" si="44"/>
        <v>0</v>
      </c>
      <c r="K110" s="316">
        <f t="shared" si="44"/>
        <v>0</v>
      </c>
      <c r="L110" s="316">
        <f t="shared" si="44"/>
        <v>0</v>
      </c>
      <c r="M110" s="316">
        <f t="shared" si="44"/>
        <v>0</v>
      </c>
      <c r="N110" s="316">
        <f t="shared" si="44"/>
        <v>0</v>
      </c>
      <c r="O110" s="316">
        <f t="shared" si="44"/>
        <v>-3000000</v>
      </c>
      <c r="P110" s="316">
        <f t="shared" si="44"/>
        <v>-2100000</v>
      </c>
      <c r="Q110" s="316">
        <f t="shared" si="44"/>
        <v>0</v>
      </c>
      <c r="R110" s="316">
        <f t="shared" si="44"/>
        <v>0</v>
      </c>
      <c r="S110" s="316">
        <f t="shared" si="44"/>
        <v>0</v>
      </c>
      <c r="T110" s="316">
        <f t="shared" si="44"/>
        <v>22465002</v>
      </c>
      <c r="U110" s="316">
        <f t="shared" si="44"/>
        <v>0</v>
      </c>
      <c r="V110" s="316">
        <f t="shared" si="44"/>
        <v>0</v>
      </c>
      <c r="W110" s="316">
        <f t="shared" si="44"/>
        <v>0</v>
      </c>
      <c r="X110" s="316">
        <f t="shared" si="44"/>
        <v>0</v>
      </c>
      <c r="Y110" s="316">
        <f t="shared" si="44"/>
        <v>0</v>
      </c>
      <c r="Z110" s="316">
        <f t="shared" si="44"/>
        <v>0</v>
      </c>
      <c r="AA110" s="316">
        <f t="shared" si="44"/>
        <v>0</v>
      </c>
      <c r="AB110" s="316">
        <f t="shared" si="44"/>
        <v>0</v>
      </c>
      <c r="AC110" s="316">
        <f t="shared" si="44"/>
        <v>0</v>
      </c>
      <c r="AD110" s="316">
        <f t="shared" si="44"/>
        <v>0</v>
      </c>
      <c r="AE110" s="316">
        <f t="shared" si="44"/>
        <v>0</v>
      </c>
      <c r="AF110" s="316">
        <f t="shared" si="44"/>
        <v>0</v>
      </c>
      <c r="AG110" s="316">
        <f t="shared" si="44"/>
        <v>0</v>
      </c>
      <c r="AH110" s="316">
        <f t="shared" si="44"/>
        <v>0</v>
      </c>
      <c r="AI110" s="316">
        <f t="shared" si="44"/>
        <v>0</v>
      </c>
      <c r="AJ110" s="316">
        <f t="shared" si="44"/>
        <v>0</v>
      </c>
      <c r="AK110" s="316">
        <f t="shared" si="44"/>
        <v>0</v>
      </c>
      <c r="AL110" s="316">
        <f t="shared" si="44"/>
        <v>0</v>
      </c>
      <c r="AM110" s="316">
        <f t="shared" si="44"/>
        <v>0</v>
      </c>
      <c r="AN110" s="316">
        <f t="shared" si="44"/>
        <v>0</v>
      </c>
      <c r="AO110" s="316">
        <f t="shared" si="44"/>
        <v>0</v>
      </c>
      <c r="AP110" s="316">
        <f t="shared" si="44"/>
        <v>0</v>
      </c>
      <c r="AQ110" s="316">
        <f t="shared" si="44"/>
        <v>0</v>
      </c>
      <c r="AR110" s="316">
        <f t="shared" si="44"/>
        <v>0</v>
      </c>
      <c r="AS110" s="316">
        <f t="shared" si="44"/>
        <v>0</v>
      </c>
      <c r="AT110" s="316">
        <f t="shared" si="44"/>
        <v>0</v>
      </c>
      <c r="AU110" s="316">
        <f t="shared" si="44"/>
        <v>0</v>
      </c>
      <c r="AV110" s="316">
        <f t="shared" si="44"/>
        <v>0</v>
      </c>
      <c r="AW110" s="316">
        <f t="shared" si="44"/>
        <v>0</v>
      </c>
      <c r="AX110" s="316">
        <f t="shared" si="44"/>
        <v>0</v>
      </c>
      <c r="AY110" s="316">
        <f t="shared" si="44"/>
        <v>0</v>
      </c>
      <c r="AZ110" s="316">
        <f t="shared" si="44"/>
        <v>0</v>
      </c>
      <c r="BA110" s="316">
        <f t="shared" si="44"/>
        <v>0</v>
      </c>
      <c r="BB110" s="316">
        <f t="shared" si="44"/>
        <v>0</v>
      </c>
      <c r="BC110" s="316">
        <f t="shared" si="44"/>
        <v>0</v>
      </c>
      <c r="BD110" s="316">
        <f t="shared" si="44"/>
        <v>0</v>
      </c>
      <c r="BE110" s="316">
        <f t="shared" si="44"/>
        <v>0</v>
      </c>
      <c r="BF110" s="316">
        <f t="shared" si="44"/>
        <v>0</v>
      </c>
      <c r="BG110" s="316">
        <f t="shared" si="44"/>
        <v>0</v>
      </c>
      <c r="BH110" s="316">
        <f t="shared" si="44"/>
        <v>0</v>
      </c>
      <c r="BI110" s="316">
        <f t="shared" si="44"/>
        <v>0</v>
      </c>
      <c r="BJ110" s="316">
        <f t="shared" si="44"/>
        <v>0</v>
      </c>
      <c r="BK110" s="316">
        <f t="shared" si="44"/>
        <v>0</v>
      </c>
      <c r="BL110" s="316">
        <f t="shared" si="44"/>
        <v>0</v>
      </c>
      <c r="BM110" s="316">
        <f t="shared" si="44"/>
        <v>0</v>
      </c>
      <c r="BN110" s="316">
        <f t="shared" ref="BN110:BX110" si="45">-(BN5+BN89)</f>
        <v>0</v>
      </c>
      <c r="BO110" s="316">
        <f t="shared" si="45"/>
        <v>0</v>
      </c>
      <c r="BP110" s="316">
        <f t="shared" si="45"/>
        <v>0</v>
      </c>
      <c r="BQ110" s="316">
        <f t="shared" si="45"/>
        <v>0</v>
      </c>
      <c r="BR110" s="316">
        <f t="shared" si="45"/>
        <v>0</v>
      </c>
      <c r="BS110" s="316">
        <f t="shared" si="45"/>
        <v>0</v>
      </c>
      <c r="BT110" s="316">
        <f t="shared" si="45"/>
        <v>0</v>
      </c>
      <c r="BU110" s="316">
        <f t="shared" si="45"/>
        <v>0</v>
      </c>
      <c r="BV110" s="316">
        <f t="shared" si="45"/>
        <v>0</v>
      </c>
      <c r="BW110" s="316">
        <f t="shared" si="45"/>
        <v>0</v>
      </c>
      <c r="BX110" s="316">
        <f t="shared" si="45"/>
        <v>0</v>
      </c>
      <c r="BY110" s="226"/>
      <c r="BZ110" s="226"/>
      <c r="CA110" s="226"/>
      <c r="CB110" s="226"/>
      <c r="CC110" s="226"/>
    </row>
    <row r="111" spans="1:81">
      <c r="A111" s="226"/>
      <c r="B111" s="322"/>
      <c r="C111" s="314" t="s">
        <v>342</v>
      </c>
      <c r="D111" s="323"/>
      <c r="E111" s="315"/>
      <c r="F111" s="315"/>
      <c r="G111" s="315"/>
      <c r="H111" s="315">
        <f>-8333333</f>
        <v>-8333333</v>
      </c>
      <c r="I111" s="315"/>
      <c r="J111" s="315"/>
      <c r="K111" s="315"/>
      <c r="L111" s="315"/>
      <c r="M111" s="315"/>
      <c r="N111" s="315"/>
      <c r="O111" s="315"/>
      <c r="P111" s="315"/>
      <c r="Q111" s="315"/>
      <c r="R111" s="315"/>
      <c r="S111" s="315"/>
      <c r="T111" s="315"/>
      <c r="U111" s="315"/>
      <c r="V111" s="315"/>
      <c r="W111" s="315"/>
      <c r="X111" s="315"/>
      <c r="Y111" s="315"/>
      <c r="Z111" s="315"/>
      <c r="AA111" s="315"/>
      <c r="AB111" s="315"/>
      <c r="AC111" s="315"/>
      <c r="AD111" s="315"/>
      <c r="AE111" s="315"/>
      <c r="AF111" s="315"/>
      <c r="AG111" s="315"/>
      <c r="AH111" s="315"/>
      <c r="AI111" s="315"/>
      <c r="AJ111" s="315"/>
      <c r="AK111" s="315"/>
      <c r="AL111" s="315"/>
      <c r="AM111" s="315"/>
      <c r="AN111" s="315"/>
      <c r="AO111" s="315"/>
      <c r="AP111" s="315"/>
      <c r="AQ111" s="315"/>
      <c r="AR111" s="315"/>
      <c r="AS111" s="315"/>
      <c r="AT111" s="315"/>
      <c r="AU111" s="315"/>
      <c r="AV111" s="315"/>
      <c r="AW111" s="315"/>
      <c r="AX111" s="315"/>
      <c r="AY111" s="315"/>
      <c r="AZ111" s="315"/>
      <c r="BA111" s="315"/>
      <c r="BB111" s="315"/>
      <c r="BC111" s="315"/>
      <c r="BD111" s="315"/>
      <c r="BE111" s="315"/>
      <c r="BF111" s="315"/>
      <c r="BG111" s="315"/>
      <c r="BH111" s="315"/>
      <c r="BI111" s="315"/>
      <c r="BJ111" s="315"/>
      <c r="BK111" s="315"/>
      <c r="BL111" s="315"/>
      <c r="BM111" s="315"/>
      <c r="BN111" s="315"/>
      <c r="BO111" s="315"/>
      <c r="BP111" s="315"/>
      <c r="BQ111" s="315"/>
      <c r="BR111" s="315"/>
      <c r="BS111" s="315"/>
      <c r="BT111" s="315"/>
      <c r="BU111" s="315"/>
      <c r="BV111" s="315"/>
      <c r="BW111" s="315"/>
      <c r="BX111" s="315"/>
      <c r="BY111" s="226"/>
      <c r="BZ111" s="226"/>
      <c r="CA111" s="226"/>
      <c r="CB111" s="226"/>
      <c r="CC111" s="226"/>
    </row>
    <row r="112" spans="1:81">
      <c r="A112" s="226"/>
      <c r="B112" s="322"/>
      <c r="C112" s="314" t="s">
        <v>343</v>
      </c>
      <c r="D112" s="323"/>
      <c r="E112" s="315">
        <f t="shared" ref="E112:S112" si="46">-E54</f>
        <v>0</v>
      </c>
      <c r="F112" s="315">
        <f t="shared" si="46"/>
        <v>0</v>
      </c>
      <c r="G112" s="315">
        <f t="shared" si="46"/>
        <v>0</v>
      </c>
      <c r="H112" s="315">
        <f t="shared" si="46"/>
        <v>0</v>
      </c>
      <c r="I112" s="315">
        <f t="shared" si="46"/>
        <v>0</v>
      </c>
      <c r="J112" s="315">
        <f t="shared" si="46"/>
        <v>0</v>
      </c>
      <c r="K112" s="315">
        <f t="shared" si="46"/>
        <v>0</v>
      </c>
      <c r="L112" s="315">
        <f t="shared" si="46"/>
        <v>0</v>
      </c>
      <c r="M112" s="315">
        <f t="shared" si="46"/>
        <v>0</v>
      </c>
      <c r="N112" s="315">
        <f t="shared" si="46"/>
        <v>0</v>
      </c>
      <c r="O112" s="315">
        <f t="shared" si="46"/>
        <v>0</v>
      </c>
      <c r="P112" s="315">
        <f t="shared" si="46"/>
        <v>0</v>
      </c>
      <c r="Q112" s="315">
        <f t="shared" si="46"/>
        <v>0</v>
      </c>
      <c r="R112" s="315">
        <f t="shared" si="46"/>
        <v>0</v>
      </c>
      <c r="S112" s="315">
        <f t="shared" si="46"/>
        <v>0</v>
      </c>
      <c r="T112" s="315">
        <f>-T54-T55</f>
        <v>196875</v>
      </c>
      <c r="U112" s="315">
        <f t="shared" ref="U112:BX112" si="47">-U54</f>
        <v>0</v>
      </c>
      <c r="V112" s="315">
        <f t="shared" si="47"/>
        <v>0</v>
      </c>
      <c r="W112" s="315">
        <f t="shared" si="47"/>
        <v>0</v>
      </c>
      <c r="X112" s="315">
        <f t="shared" si="47"/>
        <v>0</v>
      </c>
      <c r="Y112" s="315">
        <f t="shared" si="47"/>
        <v>0</v>
      </c>
      <c r="Z112" s="315">
        <f t="shared" si="47"/>
        <v>0</v>
      </c>
      <c r="AA112" s="315">
        <f t="shared" si="47"/>
        <v>0</v>
      </c>
      <c r="AB112" s="315">
        <f t="shared" si="47"/>
        <v>0</v>
      </c>
      <c r="AC112" s="315">
        <f t="shared" si="47"/>
        <v>0</v>
      </c>
      <c r="AD112" s="315">
        <f t="shared" si="47"/>
        <v>0</v>
      </c>
      <c r="AE112" s="315">
        <f t="shared" si="47"/>
        <v>0</v>
      </c>
      <c r="AF112" s="315">
        <f t="shared" si="47"/>
        <v>0</v>
      </c>
      <c r="AG112" s="315">
        <f t="shared" si="47"/>
        <v>0</v>
      </c>
      <c r="AH112" s="315">
        <f t="shared" si="47"/>
        <v>0</v>
      </c>
      <c r="AI112" s="315">
        <f t="shared" si="47"/>
        <v>0</v>
      </c>
      <c r="AJ112" s="315">
        <f t="shared" si="47"/>
        <v>0</v>
      </c>
      <c r="AK112" s="315">
        <f t="shared" si="47"/>
        <v>0</v>
      </c>
      <c r="AL112" s="315">
        <f t="shared" si="47"/>
        <v>0</v>
      </c>
      <c r="AM112" s="315">
        <f t="shared" si="47"/>
        <v>0</v>
      </c>
      <c r="AN112" s="315">
        <f t="shared" si="47"/>
        <v>0</v>
      </c>
      <c r="AO112" s="315">
        <f t="shared" si="47"/>
        <v>0</v>
      </c>
      <c r="AP112" s="315">
        <f t="shared" si="47"/>
        <v>0</v>
      </c>
      <c r="AQ112" s="315">
        <f t="shared" si="47"/>
        <v>0</v>
      </c>
      <c r="AR112" s="315">
        <f t="shared" si="47"/>
        <v>0</v>
      </c>
      <c r="AS112" s="315">
        <f t="shared" si="47"/>
        <v>0</v>
      </c>
      <c r="AT112" s="315">
        <f t="shared" si="47"/>
        <v>0</v>
      </c>
      <c r="AU112" s="315">
        <f t="shared" si="47"/>
        <v>0</v>
      </c>
      <c r="AV112" s="315">
        <f t="shared" si="47"/>
        <v>0</v>
      </c>
      <c r="AW112" s="315">
        <f t="shared" si="47"/>
        <v>0</v>
      </c>
      <c r="AX112" s="315">
        <f t="shared" si="47"/>
        <v>0</v>
      </c>
      <c r="AY112" s="315">
        <f t="shared" si="47"/>
        <v>0</v>
      </c>
      <c r="AZ112" s="315">
        <f t="shared" si="47"/>
        <v>0</v>
      </c>
      <c r="BA112" s="315">
        <f t="shared" si="47"/>
        <v>0</v>
      </c>
      <c r="BB112" s="315">
        <f t="shared" si="47"/>
        <v>0</v>
      </c>
      <c r="BC112" s="315">
        <f t="shared" si="47"/>
        <v>0</v>
      </c>
      <c r="BD112" s="315">
        <f t="shared" si="47"/>
        <v>0</v>
      </c>
      <c r="BE112" s="315">
        <f t="shared" si="47"/>
        <v>0</v>
      </c>
      <c r="BF112" s="315">
        <f t="shared" si="47"/>
        <v>0</v>
      </c>
      <c r="BG112" s="315">
        <f t="shared" si="47"/>
        <v>0</v>
      </c>
      <c r="BH112" s="315">
        <f t="shared" si="47"/>
        <v>0</v>
      </c>
      <c r="BI112" s="315">
        <f t="shared" si="47"/>
        <v>0</v>
      </c>
      <c r="BJ112" s="315">
        <f t="shared" si="47"/>
        <v>0</v>
      </c>
      <c r="BK112" s="315">
        <f t="shared" si="47"/>
        <v>0</v>
      </c>
      <c r="BL112" s="315">
        <f t="shared" si="47"/>
        <v>0</v>
      </c>
      <c r="BM112" s="315">
        <f t="shared" si="47"/>
        <v>0</v>
      </c>
      <c r="BN112" s="315">
        <f t="shared" si="47"/>
        <v>0</v>
      </c>
      <c r="BO112" s="315">
        <f t="shared" si="47"/>
        <v>0</v>
      </c>
      <c r="BP112" s="315">
        <f t="shared" si="47"/>
        <v>0</v>
      </c>
      <c r="BQ112" s="315">
        <f t="shared" si="47"/>
        <v>0</v>
      </c>
      <c r="BR112" s="315">
        <f t="shared" si="47"/>
        <v>0</v>
      </c>
      <c r="BS112" s="315">
        <f t="shared" si="47"/>
        <v>0</v>
      </c>
      <c r="BT112" s="315">
        <f t="shared" si="47"/>
        <v>0</v>
      </c>
      <c r="BU112" s="315">
        <f t="shared" si="47"/>
        <v>0</v>
      </c>
      <c r="BV112" s="315">
        <f t="shared" si="47"/>
        <v>0</v>
      </c>
      <c r="BW112" s="315">
        <f t="shared" si="47"/>
        <v>0</v>
      </c>
      <c r="BX112" s="315">
        <f t="shared" si="47"/>
        <v>0</v>
      </c>
      <c r="BY112" s="226"/>
      <c r="BZ112" s="242"/>
      <c r="CA112" s="226"/>
      <c r="CB112" s="226"/>
      <c r="CC112" s="226"/>
    </row>
    <row r="113" spans="3:76">
      <c r="C113" s="314" t="s">
        <v>344</v>
      </c>
      <c r="D113" s="323"/>
      <c r="E113" s="315"/>
      <c r="F113" s="315"/>
      <c r="G113" s="315"/>
      <c r="H113" s="315"/>
      <c r="I113" s="315"/>
      <c r="J113" s="315"/>
      <c r="K113" s="315"/>
      <c r="L113" s="315"/>
      <c r="M113" s="315"/>
      <c r="N113" s="315"/>
      <c r="O113" s="315"/>
      <c r="P113" s="315"/>
      <c r="Q113" s="315"/>
      <c r="R113" s="315"/>
      <c r="S113" s="315"/>
      <c r="T113" s="315"/>
      <c r="U113" s="315"/>
      <c r="V113" s="315"/>
      <c r="W113" s="315"/>
      <c r="X113" s="315"/>
      <c r="Y113" s="315"/>
      <c r="Z113" s="315"/>
      <c r="AA113" s="315"/>
      <c r="AB113" s="315"/>
      <c r="AC113" s="315"/>
      <c r="AD113" s="315"/>
      <c r="AE113" s="315"/>
      <c r="AF113" s="315"/>
      <c r="AG113" s="315"/>
      <c r="AH113" s="315"/>
      <c r="AI113" s="315"/>
      <c r="AJ113" s="315"/>
      <c r="AK113" s="315"/>
      <c r="AL113" s="315"/>
      <c r="AM113" s="315"/>
      <c r="AN113" s="315"/>
      <c r="AO113" s="315"/>
      <c r="AP113" s="315"/>
      <c r="AQ113" s="315"/>
      <c r="AR113" s="315"/>
      <c r="AS113" s="315"/>
      <c r="AT113" s="315"/>
      <c r="AU113" s="315"/>
      <c r="AV113" s="315"/>
      <c r="AW113" s="315"/>
      <c r="AX113" s="315"/>
      <c r="AY113" s="315"/>
      <c r="AZ113" s="315"/>
      <c r="BA113" s="315"/>
      <c r="BB113" s="315"/>
      <c r="BC113" s="315"/>
      <c r="BD113" s="315"/>
      <c r="BE113" s="315"/>
      <c r="BF113" s="315"/>
      <c r="BG113" s="315"/>
      <c r="BH113" s="315"/>
      <c r="BI113" s="315"/>
      <c r="BJ113" s="315"/>
      <c r="BK113" s="315"/>
      <c r="BL113" s="315"/>
      <c r="BM113" s="315"/>
      <c r="BN113" s="315"/>
      <c r="BO113" s="315"/>
      <c r="BP113" s="315"/>
      <c r="BQ113" s="315"/>
      <c r="BR113" s="315"/>
      <c r="BS113" s="315"/>
      <c r="BT113" s="315"/>
      <c r="BU113" s="315"/>
      <c r="BV113" s="315"/>
      <c r="BW113" s="315"/>
      <c r="BX113" s="315">
        <f>IF(D103&gt;0.25,(BX98-BX106)*D115,BX98*D115)</f>
        <v>48286607.275306396</v>
      </c>
    </row>
    <row r="114" spans="3:76">
      <c r="C114" s="314" t="s">
        <v>340</v>
      </c>
      <c r="D114" s="323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15"/>
      <c r="AH114" s="315"/>
      <c r="AI114" s="315"/>
      <c r="AJ114" s="315"/>
      <c r="AK114" s="315"/>
      <c r="AL114" s="315"/>
      <c r="AM114" s="315"/>
      <c r="AN114" s="315"/>
      <c r="AO114" s="315"/>
      <c r="AP114" s="315"/>
      <c r="AQ114" s="315"/>
      <c r="AR114" s="315"/>
      <c r="AS114" s="315"/>
      <c r="AT114" s="315"/>
      <c r="AU114" s="315"/>
      <c r="AV114" s="315"/>
      <c r="AW114" s="315"/>
      <c r="AX114" s="315"/>
      <c r="AY114" s="315"/>
      <c r="AZ114" s="315"/>
      <c r="BA114" s="315"/>
      <c r="BB114" s="315"/>
      <c r="BC114" s="315"/>
      <c r="BD114" s="315"/>
      <c r="BE114" s="315"/>
      <c r="BF114" s="315"/>
      <c r="BG114" s="315"/>
      <c r="BH114" s="315"/>
      <c r="BI114" s="315"/>
      <c r="BJ114" s="315"/>
      <c r="BK114" s="315"/>
      <c r="BL114" s="315"/>
      <c r="BM114" s="315"/>
      <c r="BN114" s="315"/>
      <c r="BO114" s="315"/>
      <c r="BP114" s="315"/>
      <c r="BQ114" s="315"/>
      <c r="BR114" s="315"/>
      <c r="BS114" s="315"/>
      <c r="BT114" s="315"/>
      <c r="BU114" s="315"/>
      <c r="BV114" s="315"/>
      <c r="BW114" s="315"/>
      <c r="BX114" s="315">
        <f>IF(D103&gt;0.25,BX106,0)</f>
        <v>12071651.818826601</v>
      </c>
    </row>
    <row r="115" spans="3:76">
      <c r="C115" s="317" t="s">
        <v>345</v>
      </c>
      <c r="D115" s="323">
        <v>1</v>
      </c>
      <c r="E115" s="246"/>
      <c r="F115" s="246"/>
      <c r="G115" s="246"/>
      <c r="H115" s="246"/>
      <c r="I115" s="246"/>
      <c r="J115" s="246"/>
      <c r="K115" s="246"/>
      <c r="L115" s="246"/>
      <c r="M115" s="246"/>
      <c r="N115" s="246"/>
      <c r="O115" s="246"/>
      <c r="P115" s="246"/>
      <c r="Q115" s="246"/>
      <c r="R115" s="246"/>
      <c r="S115" s="246"/>
      <c r="T115" s="246">
        <f>T98</f>
        <v>60358259.094132997</v>
      </c>
      <c r="U115" s="246"/>
      <c r="V115" s="246"/>
      <c r="W115" s="246"/>
      <c r="X115" s="246"/>
      <c r="Y115" s="246"/>
      <c r="Z115" s="246"/>
      <c r="AA115" s="246"/>
      <c r="AB115" s="246"/>
      <c r="AC115" s="246"/>
      <c r="AD115" s="246"/>
      <c r="AE115" s="246"/>
      <c r="AF115" s="246"/>
      <c r="AG115" s="246"/>
      <c r="AH115" s="246"/>
      <c r="AI115" s="246"/>
      <c r="AJ115" s="246"/>
      <c r="AK115" s="246"/>
      <c r="AL115" s="246"/>
      <c r="AM115" s="246"/>
      <c r="AN115" s="246"/>
      <c r="AO115" s="246"/>
      <c r="AP115" s="246"/>
      <c r="AQ115" s="246"/>
      <c r="AR115" s="246"/>
      <c r="AS115" s="246"/>
      <c r="AT115" s="246"/>
      <c r="AU115" s="246"/>
      <c r="AV115" s="246"/>
      <c r="AW115" s="246"/>
      <c r="AX115" s="246"/>
      <c r="AY115" s="246"/>
      <c r="AZ115" s="246"/>
      <c r="BA115" s="246"/>
      <c r="BB115" s="246"/>
      <c r="BC115" s="324"/>
      <c r="BD115" s="246"/>
      <c r="BE115" s="246"/>
      <c r="BF115" s="246"/>
      <c r="BG115" s="246"/>
      <c r="BH115" s="246"/>
      <c r="BI115" s="246"/>
      <c r="BJ115" s="246"/>
      <c r="BK115" s="246"/>
      <c r="BL115" s="246"/>
      <c r="BM115" s="246"/>
      <c r="BN115" s="246"/>
      <c r="BO115" s="246"/>
      <c r="BP115" s="246"/>
      <c r="BQ115" s="246"/>
      <c r="BR115" s="246"/>
      <c r="BS115" s="246"/>
      <c r="BT115" s="246"/>
      <c r="BU115" s="246"/>
      <c r="BV115" s="246"/>
      <c r="BW115" s="246"/>
      <c r="BX115" s="246"/>
    </row>
    <row r="116" spans="3:76">
      <c r="C116" s="314" t="s">
        <v>346</v>
      </c>
      <c r="D116" s="318"/>
      <c r="E116" s="325">
        <f t="shared" ref="E116:BW116" si="48">E110+E111+E112+E113+E115</f>
        <v>0</v>
      </c>
      <c r="F116" s="325">
        <f t="shared" si="48"/>
        <v>0</v>
      </c>
      <c r="G116" s="325">
        <f t="shared" si="48"/>
        <v>0</v>
      </c>
      <c r="H116" s="325">
        <f t="shared" si="48"/>
        <v>-24698335</v>
      </c>
      <c r="I116" s="325">
        <f t="shared" si="48"/>
        <v>-1000000</v>
      </c>
      <c r="J116" s="325">
        <f t="shared" si="48"/>
        <v>0</v>
      </c>
      <c r="K116" s="325">
        <f t="shared" si="48"/>
        <v>0</v>
      </c>
      <c r="L116" s="325">
        <f t="shared" si="48"/>
        <v>0</v>
      </c>
      <c r="M116" s="325">
        <f t="shared" si="48"/>
        <v>0</v>
      </c>
      <c r="N116" s="325">
        <f t="shared" si="48"/>
        <v>0</v>
      </c>
      <c r="O116" s="325">
        <f t="shared" si="48"/>
        <v>-3000000</v>
      </c>
      <c r="P116" s="325">
        <f t="shared" si="48"/>
        <v>-2100000</v>
      </c>
      <c r="Q116" s="325">
        <f t="shared" si="48"/>
        <v>0</v>
      </c>
      <c r="R116" s="325">
        <f t="shared" si="48"/>
        <v>0</v>
      </c>
      <c r="S116" s="325">
        <f t="shared" si="48"/>
        <v>0</v>
      </c>
      <c r="T116" s="325">
        <f t="shared" si="48"/>
        <v>83020136.09413299</v>
      </c>
      <c r="U116" s="325">
        <f t="shared" si="48"/>
        <v>0</v>
      </c>
      <c r="V116" s="325">
        <f t="shared" si="48"/>
        <v>0</v>
      </c>
      <c r="W116" s="325">
        <f t="shared" si="48"/>
        <v>0</v>
      </c>
      <c r="X116" s="325">
        <f t="shared" si="48"/>
        <v>0</v>
      </c>
      <c r="Y116" s="325">
        <f t="shared" si="48"/>
        <v>0</v>
      </c>
      <c r="Z116" s="325">
        <f t="shared" si="48"/>
        <v>0</v>
      </c>
      <c r="AA116" s="325">
        <f t="shared" si="48"/>
        <v>0</v>
      </c>
      <c r="AB116" s="325">
        <f t="shared" si="48"/>
        <v>0</v>
      </c>
      <c r="AC116" s="325">
        <f t="shared" si="48"/>
        <v>0</v>
      </c>
      <c r="AD116" s="325">
        <f t="shared" si="48"/>
        <v>0</v>
      </c>
      <c r="AE116" s="325">
        <f t="shared" si="48"/>
        <v>0</v>
      </c>
      <c r="AF116" s="325">
        <f t="shared" si="48"/>
        <v>0</v>
      </c>
      <c r="AG116" s="325">
        <f t="shared" si="48"/>
        <v>0</v>
      </c>
      <c r="AH116" s="325">
        <f t="shared" si="48"/>
        <v>0</v>
      </c>
      <c r="AI116" s="325">
        <f t="shared" si="48"/>
        <v>0</v>
      </c>
      <c r="AJ116" s="325">
        <f t="shared" si="48"/>
        <v>0</v>
      </c>
      <c r="AK116" s="325">
        <f t="shared" si="48"/>
        <v>0</v>
      </c>
      <c r="AL116" s="325">
        <f t="shared" si="48"/>
        <v>0</v>
      </c>
      <c r="AM116" s="325">
        <f t="shared" si="48"/>
        <v>0</v>
      </c>
      <c r="AN116" s="325">
        <f t="shared" si="48"/>
        <v>0</v>
      </c>
      <c r="AO116" s="325">
        <f t="shared" si="48"/>
        <v>0</v>
      </c>
      <c r="AP116" s="325">
        <f t="shared" si="48"/>
        <v>0</v>
      </c>
      <c r="AQ116" s="325">
        <f t="shared" si="48"/>
        <v>0</v>
      </c>
      <c r="AR116" s="325">
        <f t="shared" si="48"/>
        <v>0</v>
      </c>
      <c r="AS116" s="325">
        <f t="shared" si="48"/>
        <v>0</v>
      </c>
      <c r="AT116" s="325">
        <f t="shared" si="48"/>
        <v>0</v>
      </c>
      <c r="AU116" s="325">
        <f t="shared" si="48"/>
        <v>0</v>
      </c>
      <c r="AV116" s="325">
        <f t="shared" si="48"/>
        <v>0</v>
      </c>
      <c r="AW116" s="325">
        <f t="shared" si="48"/>
        <v>0</v>
      </c>
      <c r="AX116" s="325">
        <f t="shared" si="48"/>
        <v>0</v>
      </c>
      <c r="AY116" s="325">
        <f t="shared" si="48"/>
        <v>0</v>
      </c>
      <c r="AZ116" s="325">
        <f t="shared" si="48"/>
        <v>0</v>
      </c>
      <c r="BA116" s="325">
        <f t="shared" si="48"/>
        <v>0</v>
      </c>
      <c r="BB116" s="325">
        <f t="shared" si="48"/>
        <v>0</v>
      </c>
      <c r="BC116" s="325">
        <f t="shared" si="48"/>
        <v>0</v>
      </c>
      <c r="BD116" s="325">
        <f t="shared" si="48"/>
        <v>0</v>
      </c>
      <c r="BE116" s="325">
        <f t="shared" si="48"/>
        <v>0</v>
      </c>
      <c r="BF116" s="325">
        <f t="shared" si="48"/>
        <v>0</v>
      </c>
      <c r="BG116" s="325">
        <f t="shared" si="48"/>
        <v>0</v>
      </c>
      <c r="BH116" s="325">
        <f t="shared" si="48"/>
        <v>0</v>
      </c>
      <c r="BI116" s="325">
        <f t="shared" si="48"/>
        <v>0</v>
      </c>
      <c r="BJ116" s="325">
        <f t="shared" si="48"/>
        <v>0</v>
      </c>
      <c r="BK116" s="325">
        <f t="shared" si="48"/>
        <v>0</v>
      </c>
      <c r="BL116" s="325">
        <f t="shared" si="48"/>
        <v>0</v>
      </c>
      <c r="BM116" s="325">
        <f t="shared" si="48"/>
        <v>0</v>
      </c>
      <c r="BN116" s="325">
        <f t="shared" si="48"/>
        <v>0</v>
      </c>
      <c r="BO116" s="325">
        <f t="shared" si="48"/>
        <v>0</v>
      </c>
      <c r="BP116" s="325">
        <f t="shared" si="48"/>
        <v>0</v>
      </c>
      <c r="BQ116" s="325">
        <f t="shared" si="48"/>
        <v>0</v>
      </c>
      <c r="BR116" s="325">
        <f t="shared" si="48"/>
        <v>0</v>
      </c>
      <c r="BS116" s="325">
        <f t="shared" si="48"/>
        <v>0</v>
      </c>
      <c r="BT116" s="325">
        <f t="shared" si="48"/>
        <v>0</v>
      </c>
      <c r="BU116" s="325">
        <f t="shared" si="48"/>
        <v>0</v>
      </c>
      <c r="BV116" s="325">
        <f t="shared" si="48"/>
        <v>0</v>
      </c>
      <c r="BW116" s="325">
        <f t="shared" si="48"/>
        <v>0</v>
      </c>
      <c r="BX116" s="325">
        <f>BX110+BX111+BX112+BX113+BX114+BX115</f>
        <v>60358259.094132997</v>
      </c>
    </row>
    <row r="117" spans="3:76">
      <c r="C117" s="317" t="s">
        <v>339</v>
      </c>
      <c r="D117" s="326">
        <f>IRR(E116:BX116)*12</f>
        <v>1.1338626374856959</v>
      </c>
      <c r="E117" s="226"/>
      <c r="F117" s="226"/>
      <c r="G117" s="226"/>
      <c r="H117" s="226"/>
      <c r="I117" s="226"/>
      <c r="J117" s="226"/>
      <c r="K117" s="226"/>
      <c r="L117" s="226"/>
      <c r="M117" s="226"/>
      <c r="N117" s="226"/>
      <c r="O117" s="226"/>
      <c r="P117" s="226"/>
      <c r="Q117" s="226"/>
      <c r="R117" s="226"/>
      <c r="S117" s="226"/>
      <c r="T117" s="226"/>
      <c r="U117" s="226"/>
      <c r="V117" s="226"/>
      <c r="W117" s="226"/>
      <c r="X117" s="226"/>
      <c r="Y117" s="226"/>
      <c r="Z117" s="226"/>
      <c r="AA117" s="226"/>
      <c r="AB117" s="226"/>
      <c r="AC117" s="226"/>
      <c r="AD117" s="226"/>
      <c r="AE117" s="226"/>
      <c r="AF117" s="226"/>
      <c r="AG117" s="226"/>
      <c r="AH117" s="226"/>
      <c r="AI117" s="226"/>
      <c r="AJ117" s="226"/>
      <c r="AK117" s="226"/>
      <c r="AL117" s="226"/>
      <c r="AM117" s="226"/>
      <c r="AN117" s="226"/>
      <c r="AO117" s="226"/>
      <c r="AP117" s="226"/>
      <c r="AQ117" s="226"/>
      <c r="AR117" s="226"/>
      <c r="AS117" s="226"/>
      <c r="AT117" s="226"/>
      <c r="AU117" s="226"/>
      <c r="AV117" s="226"/>
      <c r="AW117" s="226"/>
      <c r="AX117" s="226"/>
      <c r="AY117" s="226"/>
      <c r="AZ117" s="226"/>
      <c r="BA117" s="226"/>
      <c r="BB117" s="226"/>
      <c r="BC117" s="226"/>
      <c r="BD117" s="226"/>
      <c r="BE117" s="226"/>
      <c r="BF117" s="226"/>
      <c r="BG117" s="226"/>
      <c r="BH117" s="226"/>
      <c r="BI117" s="226"/>
      <c r="BJ117" s="226"/>
      <c r="BK117" s="226"/>
      <c r="BL117" s="226"/>
      <c r="BM117" s="226"/>
      <c r="BN117" s="226"/>
      <c r="BO117" s="226"/>
      <c r="BP117" s="226"/>
      <c r="BQ117" s="226"/>
      <c r="BR117" s="226"/>
      <c r="BS117" s="226"/>
      <c r="BT117" s="226"/>
      <c r="BU117" s="226"/>
      <c r="BV117" s="226"/>
      <c r="BW117" s="226"/>
      <c r="BX117" s="226"/>
    </row>
    <row r="118" spans="3:76">
      <c r="C118" s="327" t="s">
        <v>347</v>
      </c>
      <c r="D118" s="328">
        <f>SUM(BY5:BY6)</f>
        <v>22465002</v>
      </c>
      <c r="E118" s="226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>
        <f>T110+8333000</f>
        <v>30798002</v>
      </c>
      <c r="U118" s="226"/>
      <c r="V118" s="226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26"/>
      <c r="AJ118" s="226"/>
      <c r="AK118" s="226"/>
      <c r="AL118" s="226"/>
      <c r="AM118" s="226"/>
      <c r="AN118" s="226"/>
      <c r="AO118" s="226"/>
      <c r="AP118" s="226"/>
      <c r="AQ118" s="226"/>
      <c r="AR118" s="226"/>
      <c r="AS118" s="226"/>
      <c r="AT118" s="226"/>
      <c r="AU118" s="226"/>
      <c r="AV118" s="226"/>
      <c r="AW118" s="226"/>
      <c r="AX118" s="226"/>
      <c r="AY118" s="226"/>
      <c r="AZ118" s="226"/>
      <c r="BA118" s="226"/>
      <c r="BB118" s="226"/>
      <c r="BC118" s="226"/>
      <c r="BD118" s="226"/>
      <c r="BE118" s="226"/>
      <c r="BF118" s="226"/>
      <c r="BG118" s="226"/>
      <c r="BH118" s="226"/>
      <c r="BI118" s="226"/>
      <c r="BJ118" s="226"/>
      <c r="BK118" s="226"/>
      <c r="BL118" s="226"/>
      <c r="BM118" s="226"/>
      <c r="BN118" s="226"/>
      <c r="BO118" s="226"/>
      <c r="BP118" s="226"/>
      <c r="BQ118" s="226"/>
      <c r="BR118" s="226"/>
      <c r="BS118" s="226"/>
      <c r="BT118" s="226"/>
      <c r="BU118" s="226"/>
      <c r="BV118" s="226"/>
      <c r="BW118" s="226"/>
      <c r="BX118" s="226"/>
    </row>
    <row r="119" spans="3:76">
      <c r="C119" s="327" t="s">
        <v>348</v>
      </c>
      <c r="D119" s="328">
        <f>-SUM(E111:BM111)</f>
        <v>8333333</v>
      </c>
      <c r="E119" s="226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>
        <f>T118+11000000</f>
        <v>41798002</v>
      </c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  <c r="AI119" s="226"/>
      <c r="AJ119" s="226"/>
      <c r="AK119" s="226"/>
      <c r="AL119" s="226"/>
      <c r="AM119" s="226"/>
      <c r="AN119" s="226"/>
      <c r="AO119" s="226"/>
      <c r="AP119" s="226"/>
      <c r="AQ119" s="226"/>
      <c r="AR119" s="226"/>
      <c r="AS119" s="226"/>
      <c r="AT119" s="226"/>
      <c r="AU119" s="226"/>
      <c r="AV119" s="226"/>
      <c r="AW119" s="226"/>
      <c r="AX119" s="226"/>
      <c r="AY119" s="226"/>
      <c r="AZ119" s="226"/>
      <c r="BA119" s="226"/>
      <c r="BB119" s="226"/>
      <c r="BC119" s="226"/>
      <c r="BD119" s="226"/>
      <c r="BE119" s="226"/>
      <c r="BF119" s="226"/>
      <c r="BG119" s="226"/>
      <c r="BH119" s="226"/>
      <c r="BI119" s="226"/>
      <c r="BJ119" s="226"/>
      <c r="BK119" s="226"/>
      <c r="BL119" s="226"/>
      <c r="BM119" s="226"/>
      <c r="BN119" s="226"/>
      <c r="BO119" s="226"/>
      <c r="BP119" s="226"/>
      <c r="BQ119" s="226"/>
      <c r="BR119" s="226"/>
      <c r="BS119" s="226"/>
      <c r="BT119" s="226"/>
      <c r="BU119" s="226"/>
      <c r="BV119" s="226"/>
      <c r="BW119" s="226"/>
      <c r="BX119" s="226"/>
    </row>
    <row r="120" spans="3:76">
      <c r="C120" s="317" t="s">
        <v>349</v>
      </c>
      <c r="D120" s="329">
        <f>D118+D119</f>
        <v>30798335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>
        <f>T119-T116</f>
        <v>-41222134.09413299</v>
      </c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6"/>
      <c r="BQ120" s="226"/>
      <c r="BR120" s="226"/>
      <c r="BS120" s="226"/>
      <c r="BT120" s="226"/>
      <c r="BU120" s="226"/>
      <c r="BV120" s="226"/>
      <c r="BW120" s="226"/>
      <c r="BX120" s="226"/>
    </row>
    <row r="121" spans="3:76">
      <c r="C121" s="317" t="s">
        <v>350</v>
      </c>
      <c r="D121" s="329">
        <f>T116-D118</f>
        <v>60555134.09413299</v>
      </c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  <c r="BX121" s="226"/>
    </row>
    <row r="122" spans="3:76">
      <c r="C122" s="317" t="s">
        <v>351</v>
      </c>
      <c r="D122" s="326">
        <f>(D121-D119)/D120</f>
        <v>1.6956046842835168</v>
      </c>
      <c r="E122" s="226"/>
      <c r="F122" s="242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  <c r="BX122" s="226"/>
    </row>
    <row r="123" spans="3:76"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226"/>
      <c r="T123" s="226"/>
      <c r="U123" s="226"/>
      <c r="V123" s="226"/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Y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  <c r="BX123" s="226"/>
    </row>
    <row r="124" spans="3:76"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226"/>
      <c r="T124" s="226"/>
      <c r="U124" s="226"/>
      <c r="V124" s="226"/>
      <c r="W124" s="226"/>
      <c r="X124" s="226"/>
      <c r="Y124" s="226"/>
      <c r="Z124" s="226"/>
      <c r="AA124" s="226"/>
      <c r="AB124" s="226"/>
      <c r="AC124" s="226"/>
      <c r="AD124" s="226"/>
      <c r="AE124" s="226"/>
      <c r="AF124" s="226"/>
      <c r="AG124" s="226"/>
      <c r="AH124" s="226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AY124" s="226"/>
      <c r="AZ124" s="226"/>
      <c r="BA124" s="226"/>
      <c r="BB124" s="226"/>
      <c r="BC124" s="226"/>
      <c r="BD124" s="226"/>
      <c r="BE124" s="226"/>
      <c r="BF124" s="226"/>
      <c r="BG124" s="226"/>
      <c r="BH124" s="226"/>
      <c r="BI124" s="226"/>
      <c r="BJ124" s="226"/>
      <c r="BK124" s="226"/>
      <c r="BL124" s="226"/>
      <c r="BM124" s="226"/>
      <c r="BN124" s="226"/>
      <c r="BO124" s="226"/>
      <c r="BP124" s="226"/>
      <c r="BQ124" s="226"/>
      <c r="BR124" s="226"/>
      <c r="BS124" s="226"/>
      <c r="BT124" s="226"/>
      <c r="BU124" s="226"/>
      <c r="BV124" s="226"/>
      <c r="BW124" s="226"/>
      <c r="BX124" s="226"/>
    </row>
    <row r="125" spans="3:76">
      <c r="E125" s="226"/>
      <c r="F125" s="226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/>
      <c r="T125" s="226"/>
      <c r="U125" s="226"/>
      <c r="V125" s="226"/>
      <c r="W125" s="226"/>
      <c r="X125" s="226"/>
      <c r="Y125" s="226"/>
      <c r="Z125" s="226"/>
      <c r="AA125" s="226"/>
      <c r="AB125" s="226"/>
      <c r="AC125" s="226"/>
      <c r="AD125" s="226"/>
      <c r="AE125" s="226"/>
      <c r="AF125" s="226"/>
      <c r="AG125" s="226"/>
      <c r="AH125" s="226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AY125" s="226"/>
      <c r="AZ125" s="226"/>
      <c r="BA125" s="226"/>
      <c r="BB125" s="226"/>
      <c r="BC125" s="226"/>
      <c r="BD125" s="226"/>
      <c r="BE125" s="226"/>
      <c r="BF125" s="226"/>
      <c r="BG125" s="226"/>
      <c r="BH125" s="226"/>
      <c r="BI125" s="226"/>
      <c r="BJ125" s="226"/>
      <c r="BK125" s="226"/>
      <c r="BL125" s="226"/>
      <c r="BM125" s="226"/>
      <c r="BN125" s="226"/>
      <c r="BO125" s="226"/>
      <c r="BP125" s="226"/>
      <c r="BQ125" s="226"/>
      <c r="BR125" s="226"/>
      <c r="BS125" s="226"/>
      <c r="BT125" s="226"/>
      <c r="BU125" s="226"/>
      <c r="BV125" s="226"/>
      <c r="BW125" s="226"/>
      <c r="BX125" s="226"/>
    </row>
    <row r="126" spans="3:76">
      <c r="C126" s="314" t="s">
        <v>352</v>
      </c>
      <c r="D126" s="315"/>
      <c r="E126" s="315">
        <f t="shared" ref="E126:BX126" si="49">-(E6+E90)</f>
        <v>0</v>
      </c>
      <c r="F126" s="315">
        <f t="shared" si="49"/>
        <v>0</v>
      </c>
      <c r="G126" s="315">
        <f t="shared" si="49"/>
        <v>0</v>
      </c>
      <c r="H126" s="315">
        <f t="shared" si="49"/>
        <v>0</v>
      </c>
      <c r="I126" s="315">
        <f t="shared" si="49"/>
        <v>-1000000</v>
      </c>
      <c r="J126" s="315">
        <f t="shared" si="49"/>
        <v>0</v>
      </c>
      <c r="K126" s="315">
        <f t="shared" si="49"/>
        <v>0</v>
      </c>
      <c r="L126" s="315">
        <f t="shared" si="49"/>
        <v>0</v>
      </c>
      <c r="M126" s="315">
        <f t="shared" si="49"/>
        <v>0</v>
      </c>
      <c r="N126" s="315">
        <f t="shared" si="49"/>
        <v>0</v>
      </c>
      <c r="O126" s="315">
        <f t="shared" si="49"/>
        <v>0</v>
      </c>
      <c r="P126" s="315">
        <f t="shared" si="49"/>
        <v>-2100000</v>
      </c>
      <c r="Q126" s="315">
        <f t="shared" si="49"/>
        <v>0</v>
      </c>
      <c r="R126" s="315">
        <f t="shared" si="49"/>
        <v>0</v>
      </c>
      <c r="S126" s="315">
        <f t="shared" si="49"/>
        <v>0</v>
      </c>
      <c r="T126" s="315">
        <f t="shared" si="49"/>
        <v>3100000</v>
      </c>
      <c r="U126" s="315">
        <f t="shared" si="49"/>
        <v>0</v>
      </c>
      <c r="V126" s="315">
        <f t="shared" si="49"/>
        <v>0</v>
      </c>
      <c r="W126" s="315">
        <f t="shared" si="49"/>
        <v>0</v>
      </c>
      <c r="X126" s="315">
        <f t="shared" si="49"/>
        <v>0</v>
      </c>
      <c r="Y126" s="315">
        <f t="shared" si="49"/>
        <v>0</v>
      </c>
      <c r="Z126" s="315">
        <f t="shared" si="49"/>
        <v>0</v>
      </c>
      <c r="AA126" s="315">
        <f t="shared" si="49"/>
        <v>0</v>
      </c>
      <c r="AB126" s="315">
        <f t="shared" si="49"/>
        <v>0</v>
      </c>
      <c r="AC126" s="315">
        <f t="shared" si="49"/>
        <v>0</v>
      </c>
      <c r="AD126" s="315">
        <f t="shared" si="49"/>
        <v>0</v>
      </c>
      <c r="AE126" s="315">
        <f t="shared" si="49"/>
        <v>0</v>
      </c>
      <c r="AF126" s="315">
        <f t="shared" si="49"/>
        <v>0</v>
      </c>
      <c r="AG126" s="315">
        <f t="shared" si="49"/>
        <v>0</v>
      </c>
      <c r="AH126" s="315">
        <f t="shared" si="49"/>
        <v>0</v>
      </c>
      <c r="AI126" s="315">
        <f t="shared" si="49"/>
        <v>0</v>
      </c>
      <c r="AJ126" s="315">
        <f t="shared" si="49"/>
        <v>0</v>
      </c>
      <c r="AK126" s="315">
        <f t="shared" si="49"/>
        <v>0</v>
      </c>
      <c r="AL126" s="315">
        <f t="shared" si="49"/>
        <v>0</v>
      </c>
      <c r="AM126" s="315">
        <f t="shared" si="49"/>
        <v>0</v>
      </c>
      <c r="AN126" s="315">
        <f t="shared" si="49"/>
        <v>0</v>
      </c>
      <c r="AO126" s="315">
        <f t="shared" si="49"/>
        <v>0</v>
      </c>
      <c r="AP126" s="315">
        <f t="shared" si="49"/>
        <v>0</v>
      </c>
      <c r="AQ126" s="315">
        <f t="shared" si="49"/>
        <v>0</v>
      </c>
      <c r="AR126" s="315">
        <f t="shared" si="49"/>
        <v>0</v>
      </c>
      <c r="AS126" s="315">
        <f t="shared" si="49"/>
        <v>0</v>
      </c>
      <c r="AT126" s="315">
        <f t="shared" si="49"/>
        <v>0</v>
      </c>
      <c r="AU126" s="315">
        <f t="shared" si="49"/>
        <v>0</v>
      </c>
      <c r="AV126" s="315">
        <f t="shared" si="49"/>
        <v>0</v>
      </c>
      <c r="AW126" s="315">
        <f t="shared" si="49"/>
        <v>0</v>
      </c>
      <c r="AX126" s="315">
        <f t="shared" si="49"/>
        <v>0</v>
      </c>
      <c r="AY126" s="315">
        <f t="shared" si="49"/>
        <v>0</v>
      </c>
      <c r="AZ126" s="315">
        <f t="shared" si="49"/>
        <v>0</v>
      </c>
      <c r="BA126" s="315">
        <f t="shared" si="49"/>
        <v>0</v>
      </c>
      <c r="BB126" s="315">
        <f t="shared" si="49"/>
        <v>0</v>
      </c>
      <c r="BC126" s="315">
        <f t="shared" si="49"/>
        <v>0</v>
      </c>
      <c r="BD126" s="315">
        <f t="shared" si="49"/>
        <v>0</v>
      </c>
      <c r="BE126" s="315">
        <f t="shared" si="49"/>
        <v>0</v>
      </c>
      <c r="BF126" s="315">
        <f t="shared" si="49"/>
        <v>0</v>
      </c>
      <c r="BG126" s="315">
        <f t="shared" si="49"/>
        <v>0</v>
      </c>
      <c r="BH126" s="315">
        <f t="shared" si="49"/>
        <v>0</v>
      </c>
      <c r="BI126" s="315">
        <f t="shared" si="49"/>
        <v>0</v>
      </c>
      <c r="BJ126" s="315">
        <f t="shared" si="49"/>
        <v>0</v>
      </c>
      <c r="BK126" s="315">
        <f t="shared" si="49"/>
        <v>0</v>
      </c>
      <c r="BL126" s="315">
        <f t="shared" si="49"/>
        <v>0</v>
      </c>
      <c r="BM126" s="315">
        <f t="shared" si="49"/>
        <v>0</v>
      </c>
      <c r="BN126" s="315">
        <f t="shared" si="49"/>
        <v>0</v>
      </c>
      <c r="BO126" s="315">
        <f t="shared" si="49"/>
        <v>0</v>
      </c>
      <c r="BP126" s="315">
        <f t="shared" si="49"/>
        <v>0</v>
      </c>
      <c r="BQ126" s="315">
        <f t="shared" si="49"/>
        <v>0</v>
      </c>
      <c r="BR126" s="315">
        <f t="shared" si="49"/>
        <v>0</v>
      </c>
      <c r="BS126" s="315">
        <f t="shared" si="49"/>
        <v>0</v>
      </c>
      <c r="BT126" s="315">
        <f t="shared" si="49"/>
        <v>0</v>
      </c>
      <c r="BU126" s="315">
        <f t="shared" si="49"/>
        <v>0</v>
      </c>
      <c r="BV126" s="315">
        <f t="shared" si="49"/>
        <v>0</v>
      </c>
      <c r="BW126" s="315">
        <f t="shared" si="49"/>
        <v>0</v>
      </c>
      <c r="BX126" s="315">
        <f t="shared" si="49"/>
        <v>0</v>
      </c>
    </row>
    <row r="127" spans="3:76">
      <c r="C127" s="314" t="s">
        <v>353</v>
      </c>
      <c r="D127" s="323"/>
      <c r="E127" s="315"/>
      <c r="F127" s="315"/>
      <c r="G127" s="315"/>
      <c r="H127" s="315"/>
      <c r="I127" s="315"/>
      <c r="J127" s="315"/>
      <c r="K127" s="315"/>
      <c r="L127" s="315"/>
      <c r="M127" s="315"/>
      <c r="N127" s="315"/>
      <c r="O127" s="315"/>
      <c r="P127" s="315"/>
      <c r="Q127" s="315"/>
      <c r="R127" s="315"/>
      <c r="S127" s="315"/>
      <c r="T127" s="315"/>
      <c r="U127" s="315"/>
      <c r="V127" s="315"/>
      <c r="W127" s="315"/>
      <c r="X127" s="315"/>
      <c r="Y127" s="315"/>
      <c r="Z127" s="315"/>
      <c r="AA127" s="315"/>
      <c r="AB127" s="315"/>
      <c r="AC127" s="315"/>
      <c r="AD127" s="315"/>
      <c r="AE127" s="315"/>
      <c r="AF127" s="315"/>
      <c r="AG127" s="315"/>
      <c r="AH127" s="315"/>
      <c r="AI127" s="315"/>
      <c r="AJ127" s="315"/>
      <c r="AK127" s="315"/>
      <c r="AL127" s="315"/>
      <c r="AM127" s="315"/>
      <c r="AN127" s="315"/>
      <c r="AO127" s="315"/>
      <c r="AP127" s="315"/>
      <c r="AQ127" s="315"/>
      <c r="AR127" s="315"/>
      <c r="AS127" s="315"/>
      <c r="AT127" s="315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</row>
    <row r="128" spans="3:76">
      <c r="C128" s="314" t="s">
        <v>343</v>
      </c>
      <c r="D128" s="323"/>
      <c r="E128" s="315">
        <f t="shared" ref="E128:BX128" si="50">-E55</f>
        <v>0</v>
      </c>
      <c r="F128" s="315">
        <f t="shared" si="50"/>
        <v>0</v>
      </c>
      <c r="G128" s="315">
        <f t="shared" si="50"/>
        <v>0</v>
      </c>
      <c r="H128" s="315">
        <f t="shared" si="50"/>
        <v>0</v>
      </c>
      <c r="I128" s="315">
        <f t="shared" si="50"/>
        <v>0</v>
      </c>
      <c r="J128" s="315">
        <f t="shared" si="50"/>
        <v>0</v>
      </c>
      <c r="K128" s="315">
        <f t="shared" si="50"/>
        <v>0</v>
      </c>
      <c r="L128" s="315">
        <f t="shared" si="50"/>
        <v>0</v>
      </c>
      <c r="M128" s="315">
        <f t="shared" si="50"/>
        <v>0</v>
      </c>
      <c r="N128" s="315">
        <f t="shared" si="50"/>
        <v>0</v>
      </c>
      <c r="O128" s="315">
        <f t="shared" si="50"/>
        <v>0</v>
      </c>
      <c r="P128" s="315">
        <f t="shared" si="50"/>
        <v>0</v>
      </c>
      <c r="Q128" s="315">
        <f t="shared" si="50"/>
        <v>0</v>
      </c>
      <c r="R128" s="315">
        <f t="shared" si="50"/>
        <v>0</v>
      </c>
      <c r="S128" s="315">
        <f t="shared" si="50"/>
        <v>0</v>
      </c>
      <c r="T128" s="315">
        <f t="shared" si="50"/>
        <v>196875</v>
      </c>
      <c r="U128" s="315">
        <f t="shared" si="50"/>
        <v>0</v>
      </c>
      <c r="V128" s="315">
        <f t="shared" si="50"/>
        <v>0</v>
      </c>
      <c r="W128" s="315">
        <f t="shared" si="50"/>
        <v>0</v>
      </c>
      <c r="X128" s="315">
        <f t="shared" si="50"/>
        <v>0</v>
      </c>
      <c r="Y128" s="315">
        <f t="shared" si="50"/>
        <v>0</v>
      </c>
      <c r="Z128" s="315">
        <f t="shared" si="50"/>
        <v>0</v>
      </c>
      <c r="AA128" s="315">
        <f t="shared" si="50"/>
        <v>0</v>
      </c>
      <c r="AB128" s="315">
        <f t="shared" si="50"/>
        <v>0</v>
      </c>
      <c r="AC128" s="315">
        <f t="shared" si="50"/>
        <v>0</v>
      </c>
      <c r="AD128" s="315">
        <f t="shared" si="50"/>
        <v>0</v>
      </c>
      <c r="AE128" s="315">
        <f t="shared" si="50"/>
        <v>0</v>
      </c>
      <c r="AF128" s="315">
        <f t="shared" si="50"/>
        <v>0</v>
      </c>
      <c r="AG128" s="315">
        <f t="shared" si="50"/>
        <v>0</v>
      </c>
      <c r="AH128" s="315">
        <f t="shared" si="50"/>
        <v>0</v>
      </c>
      <c r="AI128" s="315">
        <f t="shared" si="50"/>
        <v>0</v>
      </c>
      <c r="AJ128" s="315">
        <f t="shared" si="50"/>
        <v>0</v>
      </c>
      <c r="AK128" s="315">
        <f t="shared" si="50"/>
        <v>0</v>
      </c>
      <c r="AL128" s="315">
        <f t="shared" si="50"/>
        <v>0</v>
      </c>
      <c r="AM128" s="315">
        <f t="shared" si="50"/>
        <v>0</v>
      </c>
      <c r="AN128" s="315">
        <f t="shared" si="50"/>
        <v>0</v>
      </c>
      <c r="AO128" s="315">
        <f t="shared" si="50"/>
        <v>0</v>
      </c>
      <c r="AP128" s="315">
        <f t="shared" si="50"/>
        <v>0</v>
      </c>
      <c r="AQ128" s="315">
        <f t="shared" si="50"/>
        <v>0</v>
      </c>
      <c r="AR128" s="315">
        <f t="shared" si="50"/>
        <v>0</v>
      </c>
      <c r="AS128" s="315">
        <f t="shared" si="50"/>
        <v>0</v>
      </c>
      <c r="AT128" s="315">
        <f t="shared" si="50"/>
        <v>0</v>
      </c>
      <c r="AU128" s="315">
        <f t="shared" si="50"/>
        <v>0</v>
      </c>
      <c r="AV128" s="315">
        <f t="shared" si="50"/>
        <v>0</v>
      </c>
      <c r="AW128" s="315">
        <f t="shared" si="50"/>
        <v>0</v>
      </c>
      <c r="AX128" s="315">
        <f t="shared" si="50"/>
        <v>0</v>
      </c>
      <c r="AY128" s="315">
        <f t="shared" si="50"/>
        <v>0</v>
      </c>
      <c r="AZ128" s="315">
        <f t="shared" si="50"/>
        <v>0</v>
      </c>
      <c r="BA128" s="315">
        <f t="shared" si="50"/>
        <v>0</v>
      </c>
      <c r="BB128" s="315">
        <f t="shared" si="50"/>
        <v>0</v>
      </c>
      <c r="BC128" s="315">
        <f t="shared" si="50"/>
        <v>0</v>
      </c>
      <c r="BD128" s="315">
        <f t="shared" si="50"/>
        <v>0</v>
      </c>
      <c r="BE128" s="315">
        <f t="shared" si="50"/>
        <v>0</v>
      </c>
      <c r="BF128" s="315">
        <f t="shared" si="50"/>
        <v>0</v>
      </c>
      <c r="BG128" s="315">
        <f t="shared" si="50"/>
        <v>0</v>
      </c>
      <c r="BH128" s="315">
        <f t="shared" si="50"/>
        <v>0</v>
      </c>
      <c r="BI128" s="315">
        <f t="shared" si="50"/>
        <v>0</v>
      </c>
      <c r="BJ128" s="315">
        <f t="shared" si="50"/>
        <v>0</v>
      </c>
      <c r="BK128" s="315">
        <f t="shared" si="50"/>
        <v>0</v>
      </c>
      <c r="BL128" s="315">
        <f t="shared" si="50"/>
        <v>0</v>
      </c>
      <c r="BM128" s="315">
        <f t="shared" si="50"/>
        <v>0</v>
      </c>
      <c r="BN128" s="315">
        <f t="shared" si="50"/>
        <v>0</v>
      </c>
      <c r="BO128" s="315">
        <f t="shared" si="50"/>
        <v>0</v>
      </c>
      <c r="BP128" s="315">
        <f t="shared" si="50"/>
        <v>0</v>
      </c>
      <c r="BQ128" s="315">
        <f t="shared" si="50"/>
        <v>0</v>
      </c>
      <c r="BR128" s="315">
        <f t="shared" si="50"/>
        <v>0</v>
      </c>
      <c r="BS128" s="315">
        <f t="shared" si="50"/>
        <v>0</v>
      </c>
      <c r="BT128" s="315">
        <f t="shared" si="50"/>
        <v>0</v>
      </c>
      <c r="BU128" s="315">
        <f t="shared" si="50"/>
        <v>0</v>
      </c>
      <c r="BV128" s="315">
        <f t="shared" si="50"/>
        <v>0</v>
      </c>
      <c r="BW128" s="315">
        <f t="shared" si="50"/>
        <v>0</v>
      </c>
      <c r="BX128" s="315">
        <f t="shared" si="50"/>
        <v>0</v>
      </c>
    </row>
    <row r="129" spans="3:76">
      <c r="C129" s="314" t="s">
        <v>344</v>
      </c>
      <c r="D129" s="323"/>
      <c r="E129" s="315"/>
      <c r="F129" s="315"/>
      <c r="G129" s="315"/>
      <c r="H129" s="315"/>
      <c r="I129" s="315"/>
      <c r="J129" s="315"/>
      <c r="K129" s="315"/>
      <c r="L129" s="315"/>
      <c r="M129" s="315"/>
      <c r="N129" s="315"/>
      <c r="O129" s="315"/>
      <c r="P129" s="315"/>
      <c r="Q129" s="315"/>
      <c r="R129" s="315"/>
      <c r="S129" s="315"/>
      <c r="T129" s="315"/>
      <c r="U129" s="315"/>
      <c r="V129" s="315"/>
      <c r="W129" s="315"/>
      <c r="X129" s="315"/>
      <c r="Y129" s="315"/>
      <c r="Z129" s="315"/>
      <c r="AA129" s="315"/>
      <c r="AB129" s="315"/>
      <c r="AC129" s="315"/>
      <c r="AD129" s="315"/>
      <c r="AE129" s="315"/>
      <c r="AF129" s="315"/>
      <c r="AG129" s="315"/>
      <c r="AH129" s="315"/>
      <c r="AI129" s="315"/>
      <c r="AJ129" s="315"/>
      <c r="AK129" s="315"/>
      <c r="AL129" s="315"/>
      <c r="AM129" s="315"/>
      <c r="AN129" s="315"/>
      <c r="AO129" s="315"/>
      <c r="AP129" s="315"/>
      <c r="AQ129" s="315"/>
      <c r="AR129" s="315"/>
      <c r="AS129" s="315"/>
      <c r="AT129" s="315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>
        <f>IF(D103&gt;0.25,(BX98-BX106)*D130,BX98*D130)</f>
        <v>19314642.910122558</v>
      </c>
    </row>
    <row r="130" spans="3:76">
      <c r="C130" s="317" t="s">
        <v>345</v>
      </c>
      <c r="D130" s="323">
        <v>0.4</v>
      </c>
      <c r="E130" s="246"/>
      <c r="F130" s="246"/>
      <c r="G130" s="246"/>
      <c r="H130" s="246"/>
      <c r="I130" s="246"/>
      <c r="J130" s="246"/>
      <c r="K130" s="246"/>
      <c r="L130" s="246"/>
      <c r="M130" s="246"/>
      <c r="N130" s="246"/>
      <c r="O130" s="246"/>
      <c r="P130" s="246"/>
      <c r="Q130" s="246"/>
      <c r="R130" s="246"/>
      <c r="S130" s="246"/>
      <c r="T130" s="246">
        <f>T98-T145-T161-T177</f>
        <v>49358259.094132997</v>
      </c>
      <c r="U130" s="246"/>
      <c r="V130" s="246"/>
      <c r="W130" s="246"/>
      <c r="X130" s="246"/>
      <c r="Y130" s="246"/>
      <c r="Z130" s="246"/>
      <c r="AA130" s="246"/>
      <c r="AB130" s="246"/>
      <c r="AC130" s="246"/>
      <c r="AD130" s="246"/>
      <c r="AE130" s="246"/>
      <c r="AF130" s="246"/>
      <c r="AG130" s="246"/>
      <c r="AH130" s="246"/>
      <c r="AI130" s="246"/>
      <c r="AJ130" s="246"/>
      <c r="AK130" s="246"/>
      <c r="AL130" s="246"/>
      <c r="AM130" s="246"/>
      <c r="AN130" s="246"/>
      <c r="AO130" s="246"/>
      <c r="AP130" s="246"/>
      <c r="AQ130" s="246"/>
      <c r="AR130" s="246"/>
      <c r="AS130" s="246"/>
      <c r="AT130" s="246"/>
      <c r="AU130" s="246"/>
      <c r="AV130" s="246"/>
      <c r="AW130" s="246"/>
      <c r="AX130" s="246"/>
      <c r="AY130" s="246"/>
      <c r="AZ130" s="246"/>
      <c r="BA130" s="246"/>
      <c r="BB130" s="246"/>
      <c r="BC130" s="246"/>
      <c r="BD130" s="246"/>
      <c r="BE130" s="246"/>
      <c r="BF130" s="246"/>
      <c r="BG130" s="246"/>
      <c r="BH130" s="246"/>
      <c r="BI130" s="246"/>
      <c r="BJ130" s="246"/>
      <c r="BK130" s="246"/>
      <c r="BL130" s="246"/>
      <c r="BM130" s="246"/>
      <c r="BN130" s="246"/>
      <c r="BO130" s="246"/>
      <c r="BP130" s="246"/>
      <c r="BQ130" s="246"/>
      <c r="BR130" s="246"/>
      <c r="BS130" s="246"/>
      <c r="BT130" s="246"/>
      <c r="BU130" s="246"/>
      <c r="BV130" s="246"/>
      <c r="BW130" s="246"/>
      <c r="BX130" s="246"/>
    </row>
    <row r="131" spans="3:76">
      <c r="C131" s="314" t="s">
        <v>346</v>
      </c>
      <c r="D131" s="315"/>
      <c r="E131" s="325">
        <f t="shared" ref="E131:BX131" si="51">E126+E127+E128+E129+E130</f>
        <v>0</v>
      </c>
      <c r="F131" s="325">
        <f t="shared" si="51"/>
        <v>0</v>
      </c>
      <c r="G131" s="325">
        <f t="shared" si="51"/>
        <v>0</v>
      </c>
      <c r="H131" s="325">
        <f t="shared" si="51"/>
        <v>0</v>
      </c>
      <c r="I131" s="325">
        <f t="shared" si="51"/>
        <v>-1000000</v>
      </c>
      <c r="J131" s="325">
        <f t="shared" si="51"/>
        <v>0</v>
      </c>
      <c r="K131" s="325">
        <f t="shared" si="51"/>
        <v>0</v>
      </c>
      <c r="L131" s="325">
        <f t="shared" si="51"/>
        <v>0</v>
      </c>
      <c r="M131" s="325">
        <f t="shared" si="51"/>
        <v>0</v>
      </c>
      <c r="N131" s="325">
        <f t="shared" si="51"/>
        <v>0</v>
      </c>
      <c r="O131" s="325">
        <f t="shared" si="51"/>
        <v>0</v>
      </c>
      <c r="P131" s="325">
        <f t="shared" si="51"/>
        <v>-2100000</v>
      </c>
      <c r="Q131" s="325">
        <f t="shared" si="51"/>
        <v>0</v>
      </c>
      <c r="R131" s="325">
        <f t="shared" si="51"/>
        <v>0</v>
      </c>
      <c r="S131" s="325">
        <f t="shared" si="51"/>
        <v>0</v>
      </c>
      <c r="T131" s="325">
        <f t="shared" si="51"/>
        <v>52655134.094132997</v>
      </c>
      <c r="U131" s="325">
        <f t="shared" si="51"/>
        <v>0</v>
      </c>
      <c r="V131" s="325">
        <f t="shared" si="51"/>
        <v>0</v>
      </c>
      <c r="W131" s="325">
        <f t="shared" si="51"/>
        <v>0</v>
      </c>
      <c r="X131" s="325">
        <f t="shared" si="51"/>
        <v>0</v>
      </c>
      <c r="Y131" s="325">
        <f t="shared" si="51"/>
        <v>0</v>
      </c>
      <c r="Z131" s="325">
        <f t="shared" si="51"/>
        <v>0</v>
      </c>
      <c r="AA131" s="325">
        <f t="shared" si="51"/>
        <v>0</v>
      </c>
      <c r="AB131" s="325">
        <f t="shared" si="51"/>
        <v>0</v>
      </c>
      <c r="AC131" s="325">
        <f t="shared" si="51"/>
        <v>0</v>
      </c>
      <c r="AD131" s="325">
        <f t="shared" si="51"/>
        <v>0</v>
      </c>
      <c r="AE131" s="325">
        <f t="shared" si="51"/>
        <v>0</v>
      </c>
      <c r="AF131" s="325">
        <f t="shared" si="51"/>
        <v>0</v>
      </c>
      <c r="AG131" s="325">
        <f t="shared" si="51"/>
        <v>0</v>
      </c>
      <c r="AH131" s="325">
        <f t="shared" si="51"/>
        <v>0</v>
      </c>
      <c r="AI131" s="325">
        <f t="shared" si="51"/>
        <v>0</v>
      </c>
      <c r="AJ131" s="325">
        <f t="shared" si="51"/>
        <v>0</v>
      </c>
      <c r="AK131" s="325">
        <f t="shared" si="51"/>
        <v>0</v>
      </c>
      <c r="AL131" s="325">
        <f t="shared" si="51"/>
        <v>0</v>
      </c>
      <c r="AM131" s="325">
        <f t="shared" si="51"/>
        <v>0</v>
      </c>
      <c r="AN131" s="325">
        <f t="shared" si="51"/>
        <v>0</v>
      </c>
      <c r="AO131" s="325">
        <f t="shared" si="51"/>
        <v>0</v>
      </c>
      <c r="AP131" s="325">
        <f t="shared" si="51"/>
        <v>0</v>
      </c>
      <c r="AQ131" s="325">
        <f t="shared" si="51"/>
        <v>0</v>
      </c>
      <c r="AR131" s="325">
        <f t="shared" si="51"/>
        <v>0</v>
      </c>
      <c r="AS131" s="325">
        <f t="shared" si="51"/>
        <v>0</v>
      </c>
      <c r="AT131" s="325">
        <f t="shared" si="51"/>
        <v>0</v>
      </c>
      <c r="AU131" s="325">
        <f t="shared" si="51"/>
        <v>0</v>
      </c>
      <c r="AV131" s="325">
        <f t="shared" si="51"/>
        <v>0</v>
      </c>
      <c r="AW131" s="325">
        <f t="shared" si="51"/>
        <v>0</v>
      </c>
      <c r="AX131" s="325">
        <f t="shared" si="51"/>
        <v>0</v>
      </c>
      <c r="AY131" s="325">
        <f t="shared" si="51"/>
        <v>0</v>
      </c>
      <c r="AZ131" s="325">
        <f t="shared" si="51"/>
        <v>0</v>
      </c>
      <c r="BA131" s="325">
        <f t="shared" si="51"/>
        <v>0</v>
      </c>
      <c r="BB131" s="325">
        <f t="shared" si="51"/>
        <v>0</v>
      </c>
      <c r="BC131" s="325">
        <f t="shared" si="51"/>
        <v>0</v>
      </c>
      <c r="BD131" s="325">
        <f t="shared" si="51"/>
        <v>0</v>
      </c>
      <c r="BE131" s="325">
        <f t="shared" si="51"/>
        <v>0</v>
      </c>
      <c r="BF131" s="325">
        <f t="shared" si="51"/>
        <v>0</v>
      </c>
      <c r="BG131" s="325">
        <f t="shared" si="51"/>
        <v>0</v>
      </c>
      <c r="BH131" s="325">
        <f t="shared" si="51"/>
        <v>0</v>
      </c>
      <c r="BI131" s="325">
        <f t="shared" si="51"/>
        <v>0</v>
      </c>
      <c r="BJ131" s="325">
        <f t="shared" si="51"/>
        <v>0</v>
      </c>
      <c r="BK131" s="325">
        <f t="shared" si="51"/>
        <v>0</v>
      </c>
      <c r="BL131" s="325">
        <f t="shared" si="51"/>
        <v>0</v>
      </c>
      <c r="BM131" s="325">
        <f t="shared" si="51"/>
        <v>0</v>
      </c>
      <c r="BN131" s="325">
        <f t="shared" si="51"/>
        <v>0</v>
      </c>
      <c r="BO131" s="325">
        <f t="shared" si="51"/>
        <v>0</v>
      </c>
      <c r="BP131" s="325">
        <f t="shared" si="51"/>
        <v>0</v>
      </c>
      <c r="BQ131" s="325">
        <f t="shared" si="51"/>
        <v>0</v>
      </c>
      <c r="BR131" s="325">
        <f t="shared" si="51"/>
        <v>0</v>
      </c>
      <c r="BS131" s="325">
        <f t="shared" si="51"/>
        <v>0</v>
      </c>
      <c r="BT131" s="325">
        <f t="shared" si="51"/>
        <v>0</v>
      </c>
      <c r="BU131" s="325">
        <f t="shared" si="51"/>
        <v>0</v>
      </c>
      <c r="BV131" s="325">
        <f t="shared" si="51"/>
        <v>0</v>
      </c>
      <c r="BW131" s="325">
        <f t="shared" si="51"/>
        <v>0</v>
      </c>
      <c r="BX131" s="325">
        <f t="shared" si="51"/>
        <v>19314642.910122558</v>
      </c>
    </row>
    <row r="132" spans="3:76">
      <c r="C132" s="318"/>
      <c r="D132" s="326" t="s">
        <v>354</v>
      </c>
      <c r="E132" s="330">
        <f>E131</f>
        <v>0</v>
      </c>
      <c r="F132" s="330">
        <f t="shared" ref="F132:BX132" si="52">E132+F131</f>
        <v>0</v>
      </c>
      <c r="G132" s="330">
        <f t="shared" si="52"/>
        <v>0</v>
      </c>
      <c r="H132" s="330">
        <f t="shared" si="52"/>
        <v>0</v>
      </c>
      <c r="I132" s="330">
        <f t="shared" si="52"/>
        <v>-1000000</v>
      </c>
      <c r="J132" s="330">
        <f t="shared" si="52"/>
        <v>-1000000</v>
      </c>
      <c r="K132" s="330">
        <f t="shared" si="52"/>
        <v>-1000000</v>
      </c>
      <c r="L132" s="330">
        <f t="shared" si="52"/>
        <v>-1000000</v>
      </c>
      <c r="M132" s="330">
        <f t="shared" si="52"/>
        <v>-1000000</v>
      </c>
      <c r="N132" s="330">
        <f t="shared" si="52"/>
        <v>-1000000</v>
      </c>
      <c r="O132" s="330">
        <f t="shared" si="52"/>
        <v>-1000000</v>
      </c>
      <c r="P132" s="330">
        <f t="shared" si="52"/>
        <v>-3100000</v>
      </c>
      <c r="Q132" s="330">
        <f t="shared" si="52"/>
        <v>-3100000</v>
      </c>
      <c r="R132" s="330">
        <f t="shared" si="52"/>
        <v>-3100000</v>
      </c>
      <c r="S132" s="330">
        <f t="shared" si="52"/>
        <v>-3100000</v>
      </c>
      <c r="T132" s="330">
        <f t="shared" si="52"/>
        <v>49555134.094132997</v>
      </c>
      <c r="U132" s="330">
        <f t="shared" si="52"/>
        <v>49555134.094132997</v>
      </c>
      <c r="V132" s="330">
        <f t="shared" si="52"/>
        <v>49555134.094132997</v>
      </c>
      <c r="W132" s="330">
        <f t="shared" si="52"/>
        <v>49555134.094132997</v>
      </c>
      <c r="X132" s="330">
        <f t="shared" si="52"/>
        <v>49555134.094132997</v>
      </c>
      <c r="Y132" s="330">
        <f t="shared" si="52"/>
        <v>49555134.094132997</v>
      </c>
      <c r="Z132" s="330">
        <f t="shared" si="52"/>
        <v>49555134.094132997</v>
      </c>
      <c r="AA132" s="330">
        <f t="shared" si="52"/>
        <v>49555134.094132997</v>
      </c>
      <c r="AB132" s="330">
        <f t="shared" si="52"/>
        <v>49555134.094132997</v>
      </c>
      <c r="AC132" s="330">
        <f t="shared" si="52"/>
        <v>49555134.094132997</v>
      </c>
      <c r="AD132" s="330">
        <f t="shared" si="52"/>
        <v>49555134.094132997</v>
      </c>
      <c r="AE132" s="330">
        <f t="shared" si="52"/>
        <v>49555134.094132997</v>
      </c>
      <c r="AF132" s="330">
        <f t="shared" si="52"/>
        <v>49555134.094132997</v>
      </c>
      <c r="AG132" s="330">
        <f t="shared" si="52"/>
        <v>49555134.094132997</v>
      </c>
      <c r="AH132" s="330">
        <f t="shared" si="52"/>
        <v>49555134.094132997</v>
      </c>
      <c r="AI132" s="330">
        <f t="shared" si="52"/>
        <v>49555134.094132997</v>
      </c>
      <c r="AJ132" s="330">
        <f t="shared" si="52"/>
        <v>49555134.094132997</v>
      </c>
      <c r="AK132" s="330">
        <f t="shared" si="52"/>
        <v>49555134.094132997</v>
      </c>
      <c r="AL132" s="330">
        <f t="shared" si="52"/>
        <v>49555134.094132997</v>
      </c>
      <c r="AM132" s="330">
        <f t="shared" si="52"/>
        <v>49555134.094132997</v>
      </c>
      <c r="AN132" s="330">
        <f t="shared" si="52"/>
        <v>49555134.094132997</v>
      </c>
      <c r="AO132" s="330">
        <f t="shared" si="52"/>
        <v>49555134.094132997</v>
      </c>
      <c r="AP132" s="330">
        <f t="shared" si="52"/>
        <v>49555134.094132997</v>
      </c>
      <c r="AQ132" s="330">
        <f t="shared" si="52"/>
        <v>49555134.094132997</v>
      </c>
      <c r="AR132" s="330">
        <f t="shared" si="52"/>
        <v>49555134.094132997</v>
      </c>
      <c r="AS132" s="330">
        <f t="shared" si="52"/>
        <v>49555134.094132997</v>
      </c>
      <c r="AT132" s="330">
        <f t="shared" si="52"/>
        <v>49555134.094132997</v>
      </c>
      <c r="AU132" s="330">
        <f t="shared" si="52"/>
        <v>49555134.094132997</v>
      </c>
      <c r="AV132" s="330">
        <f t="shared" si="52"/>
        <v>49555134.094132997</v>
      </c>
      <c r="AW132" s="330">
        <f t="shared" si="52"/>
        <v>49555134.094132997</v>
      </c>
      <c r="AX132" s="330">
        <f t="shared" si="52"/>
        <v>49555134.094132997</v>
      </c>
      <c r="AY132" s="330">
        <f t="shared" si="52"/>
        <v>49555134.094132997</v>
      </c>
      <c r="AZ132" s="330">
        <f t="shared" si="52"/>
        <v>49555134.094132997</v>
      </c>
      <c r="BA132" s="330">
        <f t="shared" si="52"/>
        <v>49555134.094132997</v>
      </c>
      <c r="BB132" s="330">
        <f t="shared" si="52"/>
        <v>49555134.094132997</v>
      </c>
      <c r="BC132" s="330">
        <f t="shared" si="52"/>
        <v>49555134.094132997</v>
      </c>
      <c r="BD132" s="330">
        <f t="shared" si="52"/>
        <v>49555134.094132997</v>
      </c>
      <c r="BE132" s="330">
        <f t="shared" si="52"/>
        <v>49555134.094132997</v>
      </c>
      <c r="BF132" s="330">
        <f t="shared" si="52"/>
        <v>49555134.094132997</v>
      </c>
      <c r="BG132" s="330">
        <f t="shared" si="52"/>
        <v>49555134.094132997</v>
      </c>
      <c r="BH132" s="330">
        <f t="shared" si="52"/>
        <v>49555134.094132997</v>
      </c>
      <c r="BI132" s="330">
        <f t="shared" si="52"/>
        <v>49555134.094132997</v>
      </c>
      <c r="BJ132" s="330">
        <f t="shared" si="52"/>
        <v>49555134.094132997</v>
      </c>
      <c r="BK132" s="330">
        <f t="shared" si="52"/>
        <v>49555134.094132997</v>
      </c>
      <c r="BL132" s="330">
        <f t="shared" si="52"/>
        <v>49555134.094132997</v>
      </c>
      <c r="BM132" s="330">
        <f t="shared" si="52"/>
        <v>49555134.094132997</v>
      </c>
      <c r="BN132" s="330">
        <f t="shared" si="52"/>
        <v>49555134.094132997</v>
      </c>
      <c r="BO132" s="330">
        <f t="shared" si="52"/>
        <v>49555134.094132997</v>
      </c>
      <c r="BP132" s="330">
        <f t="shared" si="52"/>
        <v>49555134.094132997</v>
      </c>
      <c r="BQ132" s="330">
        <f t="shared" si="52"/>
        <v>49555134.094132997</v>
      </c>
      <c r="BR132" s="330">
        <f t="shared" si="52"/>
        <v>49555134.094132997</v>
      </c>
      <c r="BS132" s="330">
        <f t="shared" si="52"/>
        <v>49555134.094132997</v>
      </c>
      <c r="BT132" s="330">
        <f t="shared" si="52"/>
        <v>49555134.094132997</v>
      </c>
      <c r="BU132" s="330">
        <f t="shared" si="52"/>
        <v>49555134.094132997</v>
      </c>
      <c r="BV132" s="330">
        <f t="shared" si="52"/>
        <v>49555134.094132997</v>
      </c>
      <c r="BW132" s="330">
        <f t="shared" si="52"/>
        <v>49555134.094132997</v>
      </c>
      <c r="BX132" s="330">
        <f t="shared" si="52"/>
        <v>68869777.004255563</v>
      </c>
    </row>
    <row r="133" spans="3:76">
      <c r="C133" s="317" t="s">
        <v>339</v>
      </c>
      <c r="D133" s="326">
        <f>IRR(E131:BX131)*12</f>
        <v>4.9383463274110744</v>
      </c>
      <c r="E133" s="226"/>
      <c r="F133" s="226"/>
      <c r="G133" s="226"/>
      <c r="H133" s="226"/>
      <c r="I133" s="226"/>
      <c r="J133" s="226"/>
      <c r="K133" s="226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6"/>
      <c r="AA133" s="226"/>
      <c r="AB133" s="226"/>
      <c r="AC133" s="226"/>
      <c r="AD133" s="226"/>
      <c r="AE133" s="226"/>
      <c r="AF133" s="226"/>
      <c r="AG133" s="226"/>
      <c r="AH133" s="226"/>
      <c r="AI133" s="226"/>
      <c r="AJ133" s="226"/>
      <c r="AK133" s="226"/>
      <c r="AL133" s="226"/>
      <c r="AM133" s="226"/>
      <c r="AN133" s="226"/>
      <c r="AO133" s="226"/>
      <c r="AP133" s="226"/>
      <c r="AQ133" s="226"/>
      <c r="AR133" s="226"/>
      <c r="AS133" s="226"/>
      <c r="AT133" s="226"/>
      <c r="AU133" s="226"/>
      <c r="AV133" s="226"/>
      <c r="AW133" s="226"/>
      <c r="AX133" s="226"/>
      <c r="AY133" s="226"/>
      <c r="AZ133" s="226"/>
      <c r="BA133" s="226"/>
      <c r="BB133" s="226"/>
      <c r="BC133" s="226"/>
      <c r="BD133" s="226"/>
      <c r="BE133" s="226"/>
      <c r="BF133" s="226"/>
      <c r="BG133" s="226"/>
      <c r="BH133" s="226"/>
      <c r="BI133" s="226"/>
      <c r="BJ133" s="226"/>
      <c r="BK133" s="226"/>
      <c r="BL133" s="226"/>
      <c r="BM133" s="226"/>
      <c r="BN133" s="226"/>
      <c r="BO133" s="226"/>
      <c r="BP133" s="226"/>
      <c r="BQ133" s="226"/>
      <c r="BR133" s="226"/>
      <c r="BS133" s="226"/>
      <c r="BT133" s="226"/>
      <c r="BU133" s="226"/>
      <c r="BV133" s="226"/>
      <c r="BW133" s="226"/>
      <c r="BX133" s="226"/>
    </row>
    <row r="134" spans="3:76">
      <c r="C134" s="327" t="s">
        <v>347</v>
      </c>
      <c r="D134" s="328">
        <f>BY6</f>
        <v>3100000</v>
      </c>
      <c r="E134" s="226"/>
      <c r="F134" s="226"/>
      <c r="G134" s="226"/>
      <c r="H134" s="226"/>
      <c r="I134" s="226"/>
      <c r="J134" s="226"/>
      <c r="K134" s="226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6"/>
      <c r="AA134" s="226"/>
      <c r="AB134" s="226"/>
      <c r="AC134" s="226"/>
      <c r="AD134" s="226"/>
      <c r="AE134" s="226"/>
      <c r="AF134" s="226"/>
      <c r="AG134" s="226"/>
      <c r="AH134" s="226"/>
      <c r="AI134" s="226"/>
      <c r="AJ134" s="226"/>
      <c r="AK134" s="226"/>
      <c r="AL134" s="226"/>
      <c r="AM134" s="226"/>
      <c r="AN134" s="226"/>
      <c r="AO134" s="226"/>
      <c r="AP134" s="226"/>
      <c r="AQ134" s="226"/>
      <c r="AR134" s="226"/>
      <c r="AS134" s="226"/>
      <c r="AT134" s="226"/>
      <c r="AU134" s="226"/>
      <c r="AV134" s="226"/>
      <c r="AW134" s="226"/>
      <c r="AX134" s="226"/>
      <c r="AY134" s="226"/>
      <c r="AZ134" s="226"/>
      <c r="BA134" s="226"/>
      <c r="BB134" s="226"/>
      <c r="BC134" s="226"/>
      <c r="BD134" s="226"/>
      <c r="BE134" s="226"/>
      <c r="BF134" s="226"/>
      <c r="BG134" s="226"/>
      <c r="BH134" s="226"/>
      <c r="BI134" s="226"/>
      <c r="BJ134" s="226"/>
      <c r="BK134" s="226"/>
      <c r="BL134" s="226"/>
      <c r="BM134" s="226"/>
      <c r="BN134" s="226"/>
      <c r="BO134" s="226"/>
      <c r="BP134" s="226"/>
      <c r="BQ134" s="226"/>
      <c r="BR134" s="226"/>
      <c r="BS134" s="226"/>
      <c r="BT134" s="226"/>
      <c r="BU134" s="226"/>
      <c r="BV134" s="226"/>
      <c r="BW134" s="226"/>
      <c r="BX134" s="226"/>
    </row>
    <row r="135" spans="3:76">
      <c r="C135" s="327" t="s">
        <v>348</v>
      </c>
      <c r="D135" s="328"/>
      <c r="E135" s="226"/>
      <c r="F135" s="226"/>
      <c r="G135" s="226"/>
      <c r="H135" s="226"/>
      <c r="I135" s="226"/>
      <c r="J135" s="226"/>
      <c r="K135" s="226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226"/>
      <c r="AB135" s="226"/>
      <c r="AC135" s="226"/>
      <c r="AD135" s="226"/>
      <c r="AE135" s="226"/>
      <c r="AF135" s="226"/>
      <c r="AG135" s="226"/>
      <c r="AH135" s="226"/>
      <c r="AI135" s="226"/>
      <c r="AJ135" s="226"/>
      <c r="AK135" s="226"/>
      <c r="AL135" s="226"/>
      <c r="AM135" s="226"/>
      <c r="AN135" s="226"/>
      <c r="AO135" s="226"/>
      <c r="AP135" s="226"/>
      <c r="AQ135" s="226"/>
      <c r="AR135" s="226"/>
      <c r="AS135" s="226"/>
      <c r="AT135" s="226"/>
      <c r="AU135" s="226"/>
      <c r="AV135" s="226"/>
      <c r="AW135" s="226"/>
      <c r="AX135" s="226"/>
      <c r="AY135" s="226"/>
      <c r="AZ135" s="226"/>
      <c r="BA135" s="226"/>
      <c r="BB135" s="226"/>
      <c r="BC135" s="226"/>
      <c r="BD135" s="226"/>
      <c r="BE135" s="226"/>
      <c r="BF135" s="226"/>
      <c r="BG135" s="226"/>
      <c r="BH135" s="226"/>
      <c r="BI135" s="226"/>
      <c r="BJ135" s="226"/>
      <c r="BK135" s="226"/>
      <c r="BL135" s="226"/>
      <c r="BM135" s="226"/>
      <c r="BN135" s="226"/>
      <c r="BO135" s="226"/>
      <c r="BP135" s="226"/>
      <c r="BQ135" s="226"/>
      <c r="BR135" s="226"/>
      <c r="BS135" s="226"/>
      <c r="BT135" s="226"/>
      <c r="BU135" s="226"/>
      <c r="BV135" s="226"/>
      <c r="BW135" s="226"/>
      <c r="BX135" s="226"/>
    </row>
    <row r="136" spans="3:76">
      <c r="C136" s="317" t="s">
        <v>349</v>
      </c>
      <c r="D136" s="329">
        <f>D135+D134</f>
        <v>3100000</v>
      </c>
      <c r="E136" s="226"/>
      <c r="F136" s="226"/>
      <c r="G136" s="226"/>
      <c r="H136" s="226"/>
      <c r="I136" s="226"/>
      <c r="J136" s="226"/>
      <c r="K136" s="226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6"/>
      <c r="AA136" s="226"/>
      <c r="AB136" s="226"/>
      <c r="AC136" s="226"/>
      <c r="AD136" s="226"/>
      <c r="AE136" s="226"/>
      <c r="AF136" s="226"/>
      <c r="AG136" s="226"/>
      <c r="AH136" s="226"/>
      <c r="AI136" s="226"/>
      <c r="AJ136" s="226"/>
      <c r="AK136" s="226"/>
      <c r="AL136" s="226"/>
      <c r="AM136" s="226"/>
      <c r="AN136" s="226"/>
      <c r="AO136" s="226"/>
      <c r="AP136" s="226"/>
      <c r="AQ136" s="226"/>
      <c r="AR136" s="226"/>
      <c r="AS136" s="226"/>
      <c r="AT136" s="226"/>
      <c r="AU136" s="226"/>
      <c r="AV136" s="226"/>
      <c r="AW136" s="226"/>
      <c r="AX136" s="226"/>
      <c r="AY136" s="226"/>
      <c r="AZ136" s="226"/>
      <c r="BA136" s="226"/>
      <c r="BB136" s="226"/>
      <c r="BC136" s="226"/>
      <c r="BD136" s="226"/>
      <c r="BE136" s="226"/>
      <c r="BF136" s="226"/>
      <c r="BG136" s="226"/>
      <c r="BH136" s="226"/>
      <c r="BI136" s="226"/>
      <c r="BJ136" s="226"/>
      <c r="BK136" s="226"/>
      <c r="BL136" s="226"/>
      <c r="BM136" s="226"/>
      <c r="BN136" s="226"/>
      <c r="BO136" s="226"/>
      <c r="BP136" s="226"/>
      <c r="BQ136" s="226"/>
      <c r="BR136" s="226"/>
      <c r="BS136" s="226"/>
      <c r="BT136" s="226"/>
      <c r="BU136" s="226"/>
      <c r="BV136" s="226"/>
      <c r="BW136" s="226"/>
      <c r="BX136" s="226"/>
    </row>
    <row r="137" spans="3:76">
      <c r="C137" s="317" t="s">
        <v>350</v>
      </c>
      <c r="D137" s="329">
        <f>T130+T128</f>
        <v>49555134.094132997</v>
      </c>
      <c r="E137" s="226"/>
      <c r="F137" s="226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  <c r="AD137" s="226"/>
      <c r="AE137" s="226"/>
      <c r="AF137" s="226"/>
      <c r="AG137" s="226"/>
      <c r="AH137" s="226"/>
      <c r="AI137" s="226"/>
      <c r="AJ137" s="226"/>
      <c r="AK137" s="226"/>
      <c r="AL137" s="226"/>
      <c r="AM137" s="226"/>
      <c r="AN137" s="226"/>
      <c r="AO137" s="226"/>
      <c r="AP137" s="226"/>
      <c r="AQ137" s="226"/>
      <c r="AR137" s="226"/>
      <c r="AS137" s="226"/>
      <c r="AT137" s="226"/>
      <c r="AU137" s="226"/>
      <c r="AV137" s="226"/>
      <c r="AW137" s="226"/>
      <c r="AX137" s="226"/>
      <c r="AY137" s="226"/>
      <c r="AZ137" s="226"/>
      <c r="BA137" s="226"/>
      <c r="BB137" s="226"/>
      <c r="BC137" s="226"/>
      <c r="BD137" s="226"/>
      <c r="BE137" s="226"/>
      <c r="BF137" s="226"/>
      <c r="BG137" s="226"/>
      <c r="BH137" s="226"/>
      <c r="BI137" s="226"/>
      <c r="BJ137" s="226"/>
      <c r="BK137" s="226"/>
      <c r="BL137" s="226"/>
      <c r="BM137" s="226"/>
      <c r="BN137" s="226"/>
      <c r="BO137" s="226"/>
      <c r="BP137" s="226"/>
      <c r="BQ137" s="226"/>
      <c r="BR137" s="226"/>
      <c r="BS137" s="226"/>
      <c r="BT137" s="226"/>
      <c r="BU137" s="226"/>
      <c r="BV137" s="226"/>
      <c r="BW137" s="226"/>
      <c r="BX137" s="226"/>
    </row>
    <row r="138" spans="3:76">
      <c r="C138" s="317" t="s">
        <v>351</v>
      </c>
      <c r="D138" s="326">
        <f>(D137-D135)/D136</f>
        <v>15.985527127139676</v>
      </c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  <c r="BU138" s="226"/>
      <c r="BV138" s="226"/>
      <c r="BW138" s="226"/>
      <c r="BX138" s="226"/>
    </row>
    <row r="139" spans="3:76"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6"/>
      <c r="BN139" s="226"/>
      <c r="BO139" s="226"/>
      <c r="BP139" s="226"/>
      <c r="BQ139" s="226"/>
      <c r="BR139" s="226"/>
      <c r="BS139" s="226"/>
      <c r="BT139" s="226"/>
      <c r="BU139" s="226"/>
      <c r="BV139" s="226"/>
      <c r="BW139" s="226"/>
      <c r="BX139" s="226"/>
    </row>
    <row r="140" spans="3:76"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  <c r="BU140" s="226"/>
      <c r="BV140" s="226"/>
      <c r="BW140" s="226"/>
      <c r="BX140" s="226"/>
    </row>
    <row r="141" spans="3:76"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AY141" s="226"/>
      <c r="AZ141" s="226"/>
      <c r="BA141" s="226"/>
      <c r="BB141" s="226"/>
      <c r="BC141" s="226"/>
      <c r="BD141" s="226"/>
      <c r="BE141" s="226"/>
      <c r="BF141" s="226"/>
      <c r="BG141" s="226"/>
      <c r="BH141" s="226"/>
      <c r="BI141" s="226"/>
      <c r="BJ141" s="226"/>
      <c r="BK141" s="226"/>
      <c r="BL141" s="226"/>
      <c r="BM141" s="226"/>
      <c r="BN141" s="226"/>
      <c r="BO141" s="226"/>
      <c r="BP141" s="226"/>
      <c r="BQ141" s="226"/>
      <c r="BR141" s="226"/>
      <c r="BS141" s="226"/>
      <c r="BT141" s="226"/>
      <c r="BU141" s="226"/>
      <c r="BV141" s="226"/>
      <c r="BW141" s="226"/>
      <c r="BX141" s="226"/>
    </row>
    <row r="142" spans="3:76">
      <c r="C142" s="314" t="s">
        <v>355</v>
      </c>
      <c r="D142" s="315"/>
      <c r="E142" s="316">
        <f t="shared" ref="E142:G142" si="53">-(E22+E106)</f>
        <v>0</v>
      </c>
      <c r="F142" s="316">
        <f t="shared" si="53"/>
        <v>0</v>
      </c>
      <c r="G142" s="316">
        <f t="shared" si="53"/>
        <v>0</v>
      </c>
      <c r="H142" s="316">
        <f>-10682501</f>
        <v>-10682501</v>
      </c>
      <c r="I142" s="316">
        <v>0</v>
      </c>
      <c r="J142" s="316">
        <f>-(J22+J106)</f>
        <v>0</v>
      </c>
      <c r="K142" s="316">
        <v>0</v>
      </c>
      <c r="L142" s="316">
        <f t="shared" ref="L142:S142" si="54">-(L22+L106)</f>
        <v>0</v>
      </c>
      <c r="M142" s="316">
        <f t="shared" si="54"/>
        <v>0</v>
      </c>
      <c r="N142" s="316">
        <f t="shared" si="54"/>
        <v>0</v>
      </c>
      <c r="O142" s="316">
        <f t="shared" si="54"/>
        <v>0</v>
      </c>
      <c r="P142" s="316">
        <f t="shared" si="54"/>
        <v>0</v>
      </c>
      <c r="Q142" s="316">
        <f t="shared" si="54"/>
        <v>0</v>
      </c>
      <c r="R142" s="316">
        <f t="shared" si="54"/>
        <v>0</v>
      </c>
      <c r="S142" s="316">
        <f t="shared" si="54"/>
        <v>0</v>
      </c>
      <c r="T142" s="316">
        <f>-H142</f>
        <v>10682501</v>
      </c>
      <c r="U142" s="316">
        <f t="shared" ref="U142:BX142" si="55">-(U22+U106)</f>
        <v>0</v>
      </c>
      <c r="V142" s="316">
        <f t="shared" si="55"/>
        <v>0</v>
      </c>
      <c r="W142" s="316">
        <f t="shared" si="55"/>
        <v>0</v>
      </c>
      <c r="X142" s="316">
        <f t="shared" si="55"/>
        <v>0</v>
      </c>
      <c r="Y142" s="316">
        <f t="shared" si="55"/>
        <v>0</v>
      </c>
      <c r="Z142" s="316">
        <f t="shared" si="55"/>
        <v>0</v>
      </c>
      <c r="AA142" s="316">
        <f t="shared" si="55"/>
        <v>0</v>
      </c>
      <c r="AB142" s="316">
        <f t="shared" si="55"/>
        <v>0</v>
      </c>
      <c r="AC142" s="316">
        <f t="shared" si="55"/>
        <v>0</v>
      </c>
      <c r="AD142" s="316">
        <f t="shared" si="55"/>
        <v>0</v>
      </c>
      <c r="AE142" s="316">
        <f t="shared" si="55"/>
        <v>0</v>
      </c>
      <c r="AF142" s="316">
        <f t="shared" si="55"/>
        <v>0</v>
      </c>
      <c r="AG142" s="316">
        <f t="shared" si="55"/>
        <v>0</v>
      </c>
      <c r="AH142" s="316">
        <f t="shared" si="55"/>
        <v>0</v>
      </c>
      <c r="AI142" s="316">
        <f t="shared" si="55"/>
        <v>0</v>
      </c>
      <c r="AJ142" s="316">
        <f t="shared" si="55"/>
        <v>0</v>
      </c>
      <c r="AK142" s="316">
        <f t="shared" si="55"/>
        <v>0</v>
      </c>
      <c r="AL142" s="316">
        <f t="shared" si="55"/>
        <v>0</v>
      </c>
      <c r="AM142" s="316">
        <f t="shared" si="55"/>
        <v>0</v>
      </c>
      <c r="AN142" s="316">
        <f t="shared" si="55"/>
        <v>0</v>
      </c>
      <c r="AO142" s="316">
        <f t="shared" si="55"/>
        <v>0</v>
      </c>
      <c r="AP142" s="316">
        <f t="shared" si="55"/>
        <v>0</v>
      </c>
      <c r="AQ142" s="316">
        <f t="shared" si="55"/>
        <v>0</v>
      </c>
      <c r="AR142" s="316">
        <f t="shared" si="55"/>
        <v>0</v>
      </c>
      <c r="AS142" s="316">
        <f t="shared" si="55"/>
        <v>0</v>
      </c>
      <c r="AT142" s="316">
        <f t="shared" si="55"/>
        <v>0</v>
      </c>
      <c r="AU142" s="316">
        <f t="shared" si="55"/>
        <v>0</v>
      </c>
      <c r="AV142" s="316">
        <f t="shared" si="55"/>
        <v>0</v>
      </c>
      <c r="AW142" s="316">
        <f t="shared" si="55"/>
        <v>0</v>
      </c>
      <c r="AX142" s="316">
        <f t="shared" si="55"/>
        <v>0</v>
      </c>
      <c r="AY142" s="316">
        <f t="shared" si="55"/>
        <v>0</v>
      </c>
      <c r="AZ142" s="316">
        <f t="shared" si="55"/>
        <v>0</v>
      </c>
      <c r="BA142" s="316">
        <f t="shared" si="55"/>
        <v>0</v>
      </c>
      <c r="BB142" s="316">
        <f t="shared" si="55"/>
        <v>0</v>
      </c>
      <c r="BC142" s="316">
        <f t="shared" si="55"/>
        <v>0</v>
      </c>
      <c r="BD142" s="316">
        <f t="shared" si="55"/>
        <v>0</v>
      </c>
      <c r="BE142" s="316">
        <f t="shared" si="55"/>
        <v>0</v>
      </c>
      <c r="BF142" s="316">
        <f t="shared" si="55"/>
        <v>0</v>
      </c>
      <c r="BG142" s="316">
        <f t="shared" si="55"/>
        <v>0</v>
      </c>
      <c r="BH142" s="316">
        <f t="shared" si="55"/>
        <v>0</v>
      </c>
      <c r="BI142" s="316">
        <f t="shared" si="55"/>
        <v>0</v>
      </c>
      <c r="BJ142" s="316">
        <f t="shared" si="55"/>
        <v>0</v>
      </c>
      <c r="BK142" s="316">
        <f t="shared" si="55"/>
        <v>0</v>
      </c>
      <c r="BL142" s="316">
        <f t="shared" si="55"/>
        <v>0</v>
      </c>
      <c r="BM142" s="316">
        <f t="shared" si="55"/>
        <v>0</v>
      </c>
      <c r="BN142" s="316">
        <f t="shared" si="55"/>
        <v>0</v>
      </c>
      <c r="BO142" s="316">
        <f t="shared" si="55"/>
        <v>0</v>
      </c>
      <c r="BP142" s="316">
        <f t="shared" si="55"/>
        <v>0</v>
      </c>
      <c r="BQ142" s="316">
        <f t="shared" si="55"/>
        <v>0</v>
      </c>
      <c r="BR142" s="316">
        <f t="shared" si="55"/>
        <v>0</v>
      </c>
      <c r="BS142" s="316">
        <f t="shared" si="55"/>
        <v>0</v>
      </c>
      <c r="BT142" s="316">
        <f t="shared" si="55"/>
        <v>0</v>
      </c>
      <c r="BU142" s="316">
        <f t="shared" si="55"/>
        <v>0</v>
      </c>
      <c r="BV142" s="316">
        <f t="shared" si="55"/>
        <v>0</v>
      </c>
      <c r="BW142" s="316">
        <f t="shared" si="55"/>
        <v>0</v>
      </c>
      <c r="BX142" s="316">
        <f t="shared" si="55"/>
        <v>-12071651.818826601</v>
      </c>
    </row>
    <row r="143" spans="3:76">
      <c r="C143" s="314" t="s">
        <v>353</v>
      </c>
      <c r="D143" s="323"/>
      <c r="E143" s="315"/>
      <c r="F143" s="315"/>
      <c r="G143" s="315"/>
      <c r="H143" s="315"/>
      <c r="I143" s="315"/>
      <c r="J143" s="315"/>
      <c r="K143" s="315"/>
      <c r="L143" s="315"/>
      <c r="M143" s="315"/>
      <c r="N143" s="315"/>
      <c r="O143" s="315"/>
      <c r="P143" s="315"/>
      <c r="Q143" s="315"/>
      <c r="R143" s="315"/>
      <c r="S143" s="315"/>
      <c r="T143" s="315"/>
      <c r="U143" s="315"/>
      <c r="V143" s="315"/>
      <c r="W143" s="315"/>
      <c r="X143" s="315"/>
      <c r="Y143" s="315"/>
      <c r="Z143" s="315"/>
      <c r="AA143" s="315"/>
      <c r="AB143" s="315"/>
      <c r="AC143" s="315"/>
      <c r="AD143" s="315"/>
      <c r="AE143" s="315"/>
      <c r="AF143" s="315"/>
      <c r="AG143" s="315"/>
      <c r="AH143" s="315"/>
      <c r="AI143" s="315"/>
      <c r="AJ143" s="315"/>
      <c r="AK143" s="315"/>
      <c r="AL143" s="315"/>
      <c r="AM143" s="315"/>
      <c r="AN143" s="315"/>
      <c r="AO143" s="315"/>
      <c r="AP143" s="315"/>
      <c r="AQ143" s="315"/>
      <c r="AR143" s="315"/>
      <c r="AS143" s="315"/>
      <c r="AT143" s="315"/>
      <c r="AU143" s="315"/>
      <c r="AV143" s="315"/>
      <c r="AW143" s="315"/>
      <c r="AX143" s="315"/>
      <c r="AY143" s="315"/>
      <c r="AZ143" s="315"/>
      <c r="BA143" s="315"/>
      <c r="BB143" s="315"/>
      <c r="BC143" s="316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</row>
    <row r="144" spans="3:76">
      <c r="C144" s="314" t="s">
        <v>343</v>
      </c>
      <c r="D144" s="323"/>
      <c r="E144" s="315">
        <f t="shared" ref="E144:BX144" si="56">-E71</f>
        <v>0</v>
      </c>
      <c r="F144" s="315">
        <f t="shared" si="56"/>
        <v>0</v>
      </c>
      <c r="G144" s="315">
        <f t="shared" si="56"/>
        <v>0</v>
      </c>
      <c r="H144" s="315">
        <f t="shared" si="56"/>
        <v>0</v>
      </c>
      <c r="I144" s="315">
        <f t="shared" si="56"/>
        <v>0</v>
      </c>
      <c r="J144" s="315">
        <f t="shared" si="56"/>
        <v>0</v>
      </c>
      <c r="K144" s="315">
        <f t="shared" si="56"/>
        <v>0</v>
      </c>
      <c r="L144" s="315">
        <f t="shared" si="56"/>
        <v>0</v>
      </c>
      <c r="M144" s="315">
        <f t="shared" si="56"/>
        <v>0</v>
      </c>
      <c r="N144" s="315">
        <f t="shared" si="56"/>
        <v>0</v>
      </c>
      <c r="O144" s="315">
        <f t="shared" si="56"/>
        <v>0</v>
      </c>
      <c r="P144" s="315">
        <f t="shared" si="56"/>
        <v>0</v>
      </c>
      <c r="Q144" s="315">
        <f t="shared" si="56"/>
        <v>0</v>
      </c>
      <c r="R144" s="315">
        <f t="shared" si="56"/>
        <v>0</v>
      </c>
      <c r="S144" s="315">
        <f t="shared" si="56"/>
        <v>0</v>
      </c>
      <c r="T144" s="315">
        <f t="shared" si="56"/>
        <v>0</v>
      </c>
      <c r="U144" s="315">
        <f t="shared" si="56"/>
        <v>0</v>
      </c>
      <c r="V144" s="315">
        <f t="shared" si="56"/>
        <v>0</v>
      </c>
      <c r="W144" s="315">
        <f t="shared" si="56"/>
        <v>0</v>
      </c>
      <c r="X144" s="315">
        <f t="shared" si="56"/>
        <v>0</v>
      </c>
      <c r="Y144" s="315">
        <f t="shared" si="56"/>
        <v>0</v>
      </c>
      <c r="Z144" s="315">
        <f t="shared" si="56"/>
        <v>0</v>
      </c>
      <c r="AA144" s="315">
        <f t="shared" si="56"/>
        <v>0</v>
      </c>
      <c r="AB144" s="315">
        <f t="shared" si="56"/>
        <v>0</v>
      </c>
      <c r="AC144" s="315">
        <f t="shared" si="56"/>
        <v>0</v>
      </c>
      <c r="AD144" s="315">
        <f t="shared" si="56"/>
        <v>0</v>
      </c>
      <c r="AE144" s="315">
        <f t="shared" si="56"/>
        <v>0</v>
      </c>
      <c r="AF144" s="315">
        <f t="shared" si="56"/>
        <v>0</v>
      </c>
      <c r="AG144" s="315">
        <f t="shared" si="56"/>
        <v>0</v>
      </c>
      <c r="AH144" s="315">
        <f t="shared" si="56"/>
        <v>0</v>
      </c>
      <c r="AI144" s="315">
        <f t="shared" si="56"/>
        <v>0</v>
      </c>
      <c r="AJ144" s="315">
        <f t="shared" si="56"/>
        <v>0</v>
      </c>
      <c r="AK144" s="315">
        <f t="shared" si="56"/>
        <v>0</v>
      </c>
      <c r="AL144" s="315">
        <f t="shared" si="56"/>
        <v>0</v>
      </c>
      <c r="AM144" s="315">
        <f t="shared" si="56"/>
        <v>0</v>
      </c>
      <c r="AN144" s="315">
        <f t="shared" si="56"/>
        <v>0</v>
      </c>
      <c r="AO144" s="315">
        <f t="shared" si="56"/>
        <v>0</v>
      </c>
      <c r="AP144" s="315">
        <f t="shared" si="56"/>
        <v>0</v>
      </c>
      <c r="AQ144" s="315">
        <f t="shared" si="56"/>
        <v>0</v>
      </c>
      <c r="AR144" s="315">
        <f t="shared" si="56"/>
        <v>0</v>
      </c>
      <c r="AS144" s="315">
        <f t="shared" si="56"/>
        <v>0</v>
      </c>
      <c r="AT144" s="315">
        <f t="shared" si="56"/>
        <v>0</v>
      </c>
      <c r="AU144" s="315">
        <f t="shared" si="56"/>
        <v>0</v>
      </c>
      <c r="AV144" s="315">
        <f t="shared" si="56"/>
        <v>0</v>
      </c>
      <c r="AW144" s="315">
        <f t="shared" si="56"/>
        <v>0</v>
      </c>
      <c r="AX144" s="315">
        <f t="shared" si="56"/>
        <v>0</v>
      </c>
      <c r="AY144" s="315">
        <f t="shared" si="56"/>
        <v>0</v>
      </c>
      <c r="AZ144" s="315">
        <f t="shared" si="56"/>
        <v>0</v>
      </c>
      <c r="BA144" s="315">
        <f t="shared" si="56"/>
        <v>0</v>
      </c>
      <c r="BB144" s="315">
        <f t="shared" si="56"/>
        <v>0</v>
      </c>
      <c r="BC144" s="315">
        <f t="shared" si="56"/>
        <v>0</v>
      </c>
      <c r="BD144" s="315">
        <f t="shared" si="56"/>
        <v>0</v>
      </c>
      <c r="BE144" s="315">
        <f t="shared" si="56"/>
        <v>0</v>
      </c>
      <c r="BF144" s="315">
        <f t="shared" si="56"/>
        <v>0</v>
      </c>
      <c r="BG144" s="315">
        <f t="shared" si="56"/>
        <v>0</v>
      </c>
      <c r="BH144" s="315">
        <f t="shared" si="56"/>
        <v>0</v>
      </c>
      <c r="BI144" s="315">
        <f t="shared" si="56"/>
        <v>0</v>
      </c>
      <c r="BJ144" s="315">
        <f t="shared" si="56"/>
        <v>0</v>
      </c>
      <c r="BK144" s="315">
        <f t="shared" si="56"/>
        <v>0</v>
      </c>
      <c r="BL144" s="315">
        <f t="shared" si="56"/>
        <v>0</v>
      </c>
      <c r="BM144" s="315">
        <f t="shared" si="56"/>
        <v>0</v>
      </c>
      <c r="BN144" s="315">
        <f t="shared" si="56"/>
        <v>0</v>
      </c>
      <c r="BO144" s="315">
        <f t="shared" si="56"/>
        <v>0</v>
      </c>
      <c r="BP144" s="315">
        <f t="shared" si="56"/>
        <v>0</v>
      </c>
      <c r="BQ144" s="315">
        <f t="shared" si="56"/>
        <v>0</v>
      </c>
      <c r="BR144" s="315">
        <f t="shared" si="56"/>
        <v>0</v>
      </c>
      <c r="BS144" s="315">
        <f t="shared" si="56"/>
        <v>0</v>
      </c>
      <c r="BT144" s="315">
        <f t="shared" si="56"/>
        <v>0</v>
      </c>
      <c r="BU144" s="315">
        <f t="shared" si="56"/>
        <v>0</v>
      </c>
      <c r="BV144" s="315">
        <f t="shared" si="56"/>
        <v>0</v>
      </c>
      <c r="BW144" s="315">
        <f t="shared" si="56"/>
        <v>0</v>
      </c>
      <c r="BX144" s="315">
        <f t="shared" si="56"/>
        <v>0</v>
      </c>
    </row>
    <row r="145" spans="3:76">
      <c r="C145" s="314" t="s">
        <v>344</v>
      </c>
      <c r="D145" s="323"/>
      <c r="E145" s="315"/>
      <c r="F145" s="315"/>
      <c r="G145" s="315"/>
      <c r="H145" s="315"/>
      <c r="I145" s="315"/>
      <c r="J145" s="315"/>
      <c r="K145" s="315"/>
      <c r="L145" s="315"/>
      <c r="M145" s="315"/>
      <c r="N145" s="315"/>
      <c r="O145" s="315"/>
      <c r="P145" s="315"/>
      <c r="Q145" s="315"/>
      <c r="R145" s="315"/>
      <c r="S145" s="315"/>
      <c r="T145" s="315">
        <f>5500000</f>
        <v>5500000</v>
      </c>
      <c r="U145" s="315"/>
      <c r="V145" s="315"/>
      <c r="W145" s="315"/>
      <c r="X145" s="315"/>
      <c r="Y145" s="315"/>
      <c r="Z145" s="315"/>
      <c r="AA145" s="315"/>
      <c r="AB145" s="315"/>
      <c r="AC145" s="315"/>
      <c r="AD145" s="315"/>
      <c r="AE145" s="315"/>
      <c r="AF145" s="315"/>
      <c r="AG145" s="315"/>
      <c r="AH145" s="315"/>
      <c r="AI145" s="315"/>
      <c r="AJ145" s="315"/>
      <c r="AK145" s="315"/>
      <c r="AL145" s="315"/>
      <c r="AM145" s="315"/>
      <c r="AN145" s="315"/>
      <c r="AO145" s="315"/>
      <c r="AP145" s="315"/>
      <c r="AQ145" s="315"/>
      <c r="AR145" s="315"/>
      <c r="AS145" s="315"/>
      <c r="AT145" s="315"/>
      <c r="AU145" s="315"/>
      <c r="AV145" s="315"/>
      <c r="AW145" s="315"/>
      <c r="AX145" s="315"/>
      <c r="AY145" s="315"/>
      <c r="AZ145" s="315"/>
      <c r="BA145" s="315"/>
      <c r="BB145" s="315"/>
      <c r="BC145" s="316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>
        <f>IF(D117&gt;0.25,(BX112-BX120)*D146,BX112*D146)</f>
        <v>0</v>
      </c>
    </row>
    <row r="146" spans="3:76">
      <c r="C146" s="317" t="s">
        <v>345</v>
      </c>
      <c r="D146" s="323">
        <v>0.2</v>
      </c>
      <c r="E146" s="315"/>
      <c r="F146" s="315"/>
      <c r="G146" s="315"/>
      <c r="H146" s="315"/>
      <c r="I146" s="315"/>
      <c r="J146" s="315"/>
      <c r="K146" s="315"/>
      <c r="L146" s="315"/>
      <c r="M146" s="315"/>
      <c r="N146" s="315"/>
      <c r="O146" s="315"/>
      <c r="P146" s="315"/>
      <c r="Q146" s="315"/>
      <c r="R146" s="315"/>
      <c r="S146" s="315"/>
      <c r="T146" s="315"/>
      <c r="U146" s="315"/>
      <c r="V146" s="315"/>
      <c r="W146" s="315"/>
      <c r="X146" s="315"/>
      <c r="Y146" s="315"/>
      <c r="Z146" s="315"/>
      <c r="AA146" s="315"/>
      <c r="AB146" s="315"/>
      <c r="AC146" s="315"/>
      <c r="AD146" s="315"/>
      <c r="AE146" s="315"/>
      <c r="AF146" s="315"/>
      <c r="AG146" s="315"/>
      <c r="AH146" s="315"/>
      <c r="AI146" s="315"/>
      <c r="AJ146" s="315"/>
      <c r="AK146" s="315"/>
      <c r="AL146" s="315"/>
      <c r="AM146" s="315"/>
      <c r="AN146" s="315"/>
      <c r="AO146" s="315"/>
      <c r="AP146" s="315"/>
      <c r="AQ146" s="315"/>
      <c r="AR146" s="315"/>
      <c r="AS146" s="315"/>
      <c r="AT146" s="315"/>
      <c r="AU146" s="315"/>
      <c r="AV146" s="315"/>
      <c r="AW146" s="315"/>
      <c r="AX146" s="315"/>
      <c r="AY146" s="315"/>
      <c r="AZ146" s="315"/>
      <c r="BA146" s="315"/>
      <c r="BB146" s="315"/>
      <c r="BC146" s="316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</row>
    <row r="147" spans="3:76">
      <c r="C147" s="314" t="s">
        <v>346</v>
      </c>
      <c r="D147" s="315"/>
      <c r="E147" s="325">
        <f t="shared" ref="E147:BX147" si="57">E142+E143+E144+E145+E146</f>
        <v>0</v>
      </c>
      <c r="F147" s="325">
        <f t="shared" si="57"/>
        <v>0</v>
      </c>
      <c r="G147" s="325">
        <f t="shared" si="57"/>
        <v>0</v>
      </c>
      <c r="H147" s="325">
        <f t="shared" si="57"/>
        <v>-10682501</v>
      </c>
      <c r="I147" s="325">
        <f t="shared" si="57"/>
        <v>0</v>
      </c>
      <c r="J147" s="325">
        <f t="shared" si="57"/>
        <v>0</v>
      </c>
      <c r="K147" s="325">
        <f t="shared" si="57"/>
        <v>0</v>
      </c>
      <c r="L147" s="325">
        <f t="shared" si="57"/>
        <v>0</v>
      </c>
      <c r="M147" s="325">
        <f t="shared" si="57"/>
        <v>0</v>
      </c>
      <c r="N147" s="325">
        <f t="shared" si="57"/>
        <v>0</v>
      </c>
      <c r="O147" s="325">
        <f t="shared" si="57"/>
        <v>0</v>
      </c>
      <c r="P147" s="325">
        <f t="shared" si="57"/>
        <v>0</v>
      </c>
      <c r="Q147" s="325">
        <f t="shared" si="57"/>
        <v>0</v>
      </c>
      <c r="R147" s="325">
        <f t="shared" si="57"/>
        <v>0</v>
      </c>
      <c r="S147" s="325">
        <f t="shared" si="57"/>
        <v>0</v>
      </c>
      <c r="T147" s="325">
        <f t="shared" si="57"/>
        <v>16182501</v>
      </c>
      <c r="U147" s="325">
        <f t="shared" si="57"/>
        <v>0</v>
      </c>
      <c r="V147" s="325">
        <f t="shared" si="57"/>
        <v>0</v>
      </c>
      <c r="W147" s="325">
        <f t="shared" si="57"/>
        <v>0</v>
      </c>
      <c r="X147" s="325">
        <f t="shared" si="57"/>
        <v>0</v>
      </c>
      <c r="Y147" s="325">
        <f t="shared" si="57"/>
        <v>0</v>
      </c>
      <c r="Z147" s="325">
        <f t="shared" si="57"/>
        <v>0</v>
      </c>
      <c r="AA147" s="325">
        <f t="shared" si="57"/>
        <v>0</v>
      </c>
      <c r="AB147" s="325">
        <f t="shared" si="57"/>
        <v>0</v>
      </c>
      <c r="AC147" s="325">
        <f t="shared" si="57"/>
        <v>0</v>
      </c>
      <c r="AD147" s="325">
        <f t="shared" si="57"/>
        <v>0</v>
      </c>
      <c r="AE147" s="325">
        <f t="shared" si="57"/>
        <v>0</v>
      </c>
      <c r="AF147" s="325">
        <f t="shared" si="57"/>
        <v>0</v>
      </c>
      <c r="AG147" s="325">
        <f t="shared" si="57"/>
        <v>0</v>
      </c>
      <c r="AH147" s="325">
        <f t="shared" si="57"/>
        <v>0</v>
      </c>
      <c r="AI147" s="325">
        <f t="shared" si="57"/>
        <v>0</v>
      </c>
      <c r="AJ147" s="325">
        <f t="shared" si="57"/>
        <v>0</v>
      </c>
      <c r="AK147" s="325">
        <f t="shared" si="57"/>
        <v>0</v>
      </c>
      <c r="AL147" s="325">
        <f t="shared" si="57"/>
        <v>0</v>
      </c>
      <c r="AM147" s="325">
        <f t="shared" si="57"/>
        <v>0</v>
      </c>
      <c r="AN147" s="325">
        <f t="shared" si="57"/>
        <v>0</v>
      </c>
      <c r="AO147" s="325">
        <f t="shared" si="57"/>
        <v>0</v>
      </c>
      <c r="AP147" s="325">
        <f t="shared" si="57"/>
        <v>0</v>
      </c>
      <c r="AQ147" s="325">
        <f t="shared" si="57"/>
        <v>0</v>
      </c>
      <c r="AR147" s="325">
        <f t="shared" si="57"/>
        <v>0</v>
      </c>
      <c r="AS147" s="325">
        <f t="shared" si="57"/>
        <v>0</v>
      </c>
      <c r="AT147" s="325">
        <f t="shared" si="57"/>
        <v>0</v>
      </c>
      <c r="AU147" s="325">
        <f t="shared" si="57"/>
        <v>0</v>
      </c>
      <c r="AV147" s="325">
        <f t="shared" si="57"/>
        <v>0</v>
      </c>
      <c r="AW147" s="325">
        <f t="shared" si="57"/>
        <v>0</v>
      </c>
      <c r="AX147" s="325">
        <f t="shared" si="57"/>
        <v>0</v>
      </c>
      <c r="AY147" s="325">
        <f t="shared" si="57"/>
        <v>0</v>
      </c>
      <c r="AZ147" s="325">
        <f t="shared" si="57"/>
        <v>0</v>
      </c>
      <c r="BA147" s="325">
        <f t="shared" si="57"/>
        <v>0</v>
      </c>
      <c r="BB147" s="325">
        <f t="shared" si="57"/>
        <v>0</v>
      </c>
      <c r="BC147" s="325">
        <f t="shared" si="57"/>
        <v>0</v>
      </c>
      <c r="BD147" s="325">
        <f t="shared" si="57"/>
        <v>0</v>
      </c>
      <c r="BE147" s="325">
        <f t="shared" si="57"/>
        <v>0</v>
      </c>
      <c r="BF147" s="325">
        <f t="shared" si="57"/>
        <v>0</v>
      </c>
      <c r="BG147" s="325">
        <f t="shared" si="57"/>
        <v>0</v>
      </c>
      <c r="BH147" s="325">
        <f t="shared" si="57"/>
        <v>0</v>
      </c>
      <c r="BI147" s="325">
        <f t="shared" si="57"/>
        <v>0</v>
      </c>
      <c r="BJ147" s="325">
        <f t="shared" si="57"/>
        <v>0</v>
      </c>
      <c r="BK147" s="325">
        <f t="shared" si="57"/>
        <v>0</v>
      </c>
      <c r="BL147" s="325">
        <f t="shared" si="57"/>
        <v>0</v>
      </c>
      <c r="BM147" s="325">
        <f t="shared" si="57"/>
        <v>0</v>
      </c>
      <c r="BN147" s="325">
        <f t="shared" si="57"/>
        <v>0</v>
      </c>
      <c r="BO147" s="325">
        <f t="shared" si="57"/>
        <v>0</v>
      </c>
      <c r="BP147" s="325">
        <f t="shared" si="57"/>
        <v>0</v>
      </c>
      <c r="BQ147" s="325">
        <f t="shared" si="57"/>
        <v>0</v>
      </c>
      <c r="BR147" s="325">
        <f t="shared" si="57"/>
        <v>0</v>
      </c>
      <c r="BS147" s="325">
        <f t="shared" si="57"/>
        <v>0</v>
      </c>
      <c r="BT147" s="325">
        <f t="shared" si="57"/>
        <v>0</v>
      </c>
      <c r="BU147" s="325">
        <f t="shared" si="57"/>
        <v>0</v>
      </c>
      <c r="BV147" s="325">
        <f t="shared" si="57"/>
        <v>0</v>
      </c>
      <c r="BW147" s="325">
        <f t="shared" si="57"/>
        <v>0</v>
      </c>
      <c r="BX147" s="325">
        <f t="shared" si="57"/>
        <v>-12071651.818826601</v>
      </c>
    </row>
    <row r="148" spans="3:76">
      <c r="C148" s="318"/>
      <c r="D148" s="326" t="s">
        <v>354</v>
      </c>
      <c r="E148" s="330">
        <f>E147</f>
        <v>0</v>
      </c>
      <c r="F148" s="330">
        <f t="shared" ref="F148:BX148" si="58">E148+F147</f>
        <v>0</v>
      </c>
      <c r="G148" s="330">
        <f t="shared" si="58"/>
        <v>0</v>
      </c>
      <c r="H148" s="330">
        <f t="shared" si="58"/>
        <v>-10682501</v>
      </c>
      <c r="I148" s="330">
        <f t="shared" si="58"/>
        <v>-10682501</v>
      </c>
      <c r="J148" s="330">
        <f t="shared" si="58"/>
        <v>-10682501</v>
      </c>
      <c r="K148" s="330">
        <f t="shared" si="58"/>
        <v>-10682501</v>
      </c>
      <c r="L148" s="330">
        <f t="shared" si="58"/>
        <v>-10682501</v>
      </c>
      <c r="M148" s="330">
        <f t="shared" si="58"/>
        <v>-10682501</v>
      </c>
      <c r="N148" s="330">
        <f t="shared" si="58"/>
        <v>-10682501</v>
      </c>
      <c r="O148" s="330">
        <f t="shared" si="58"/>
        <v>-10682501</v>
      </c>
      <c r="P148" s="330">
        <f t="shared" si="58"/>
        <v>-10682501</v>
      </c>
      <c r="Q148" s="330">
        <f t="shared" si="58"/>
        <v>-10682501</v>
      </c>
      <c r="R148" s="330">
        <f t="shared" si="58"/>
        <v>-10682501</v>
      </c>
      <c r="S148" s="330">
        <f t="shared" si="58"/>
        <v>-10682501</v>
      </c>
      <c r="T148" s="330">
        <f t="shared" si="58"/>
        <v>5500000</v>
      </c>
      <c r="U148" s="330">
        <f t="shared" si="58"/>
        <v>5500000</v>
      </c>
      <c r="V148" s="331">
        <f t="shared" si="58"/>
        <v>5500000</v>
      </c>
      <c r="W148" s="331">
        <f t="shared" si="58"/>
        <v>5500000</v>
      </c>
      <c r="X148" s="331">
        <f t="shared" si="58"/>
        <v>5500000</v>
      </c>
      <c r="Y148" s="331">
        <f t="shared" si="58"/>
        <v>5500000</v>
      </c>
      <c r="Z148" s="331">
        <f t="shared" si="58"/>
        <v>5500000</v>
      </c>
      <c r="AA148" s="331">
        <f t="shared" si="58"/>
        <v>5500000</v>
      </c>
      <c r="AB148" s="331">
        <f t="shared" si="58"/>
        <v>5500000</v>
      </c>
      <c r="AC148" s="331">
        <f t="shared" si="58"/>
        <v>5500000</v>
      </c>
      <c r="AD148" s="331">
        <f t="shared" si="58"/>
        <v>5500000</v>
      </c>
      <c r="AE148" s="331">
        <f t="shared" si="58"/>
        <v>5500000</v>
      </c>
      <c r="AF148" s="331">
        <f t="shared" si="58"/>
        <v>5500000</v>
      </c>
      <c r="AG148" s="331">
        <f t="shared" si="58"/>
        <v>5500000</v>
      </c>
      <c r="AH148" s="331">
        <f t="shared" si="58"/>
        <v>5500000</v>
      </c>
      <c r="AI148" s="331">
        <f t="shared" si="58"/>
        <v>5500000</v>
      </c>
      <c r="AJ148" s="331">
        <f t="shared" si="58"/>
        <v>5500000</v>
      </c>
      <c r="AK148" s="331">
        <f t="shared" si="58"/>
        <v>5500000</v>
      </c>
      <c r="AL148" s="331">
        <f t="shared" si="58"/>
        <v>5500000</v>
      </c>
      <c r="AM148" s="331">
        <f t="shared" si="58"/>
        <v>5500000</v>
      </c>
      <c r="AN148" s="331">
        <f t="shared" si="58"/>
        <v>5500000</v>
      </c>
      <c r="AO148" s="331">
        <f t="shared" si="58"/>
        <v>5500000</v>
      </c>
      <c r="AP148" s="331">
        <f t="shared" si="58"/>
        <v>5500000</v>
      </c>
      <c r="AQ148" s="331">
        <f t="shared" si="58"/>
        <v>5500000</v>
      </c>
      <c r="AR148" s="331">
        <f t="shared" si="58"/>
        <v>5500000</v>
      </c>
      <c r="AS148" s="331">
        <f t="shared" si="58"/>
        <v>5500000</v>
      </c>
      <c r="AT148" s="331">
        <f t="shared" si="58"/>
        <v>5500000</v>
      </c>
      <c r="AU148" s="331">
        <f t="shared" si="58"/>
        <v>5500000</v>
      </c>
      <c r="AV148" s="331">
        <f t="shared" si="58"/>
        <v>5500000</v>
      </c>
      <c r="AW148" s="331">
        <f t="shared" si="58"/>
        <v>5500000</v>
      </c>
      <c r="AX148" s="331">
        <f t="shared" si="58"/>
        <v>5500000</v>
      </c>
      <c r="AY148" s="331">
        <f t="shared" si="58"/>
        <v>5500000</v>
      </c>
      <c r="AZ148" s="331">
        <f t="shared" si="58"/>
        <v>5500000</v>
      </c>
      <c r="BA148" s="331">
        <f t="shared" si="58"/>
        <v>5500000</v>
      </c>
      <c r="BB148" s="331">
        <f t="shared" si="58"/>
        <v>5500000</v>
      </c>
      <c r="BC148" s="330">
        <f t="shared" si="58"/>
        <v>5500000</v>
      </c>
      <c r="BD148" s="330">
        <f t="shared" si="58"/>
        <v>5500000</v>
      </c>
      <c r="BE148" s="330">
        <f t="shared" si="58"/>
        <v>5500000</v>
      </c>
      <c r="BF148" s="330">
        <f t="shared" si="58"/>
        <v>5500000</v>
      </c>
      <c r="BG148" s="330">
        <f t="shared" si="58"/>
        <v>5500000</v>
      </c>
      <c r="BH148" s="330">
        <f t="shared" si="58"/>
        <v>5500000</v>
      </c>
      <c r="BI148" s="330">
        <f t="shared" si="58"/>
        <v>5500000</v>
      </c>
      <c r="BJ148" s="330">
        <f t="shared" si="58"/>
        <v>5500000</v>
      </c>
      <c r="BK148" s="330">
        <f t="shared" si="58"/>
        <v>5500000</v>
      </c>
      <c r="BL148" s="330">
        <f t="shared" si="58"/>
        <v>5500000</v>
      </c>
      <c r="BM148" s="330">
        <f t="shared" si="58"/>
        <v>5500000</v>
      </c>
      <c r="BN148" s="330">
        <f t="shared" si="58"/>
        <v>5500000</v>
      </c>
      <c r="BO148" s="330">
        <f t="shared" si="58"/>
        <v>5500000</v>
      </c>
      <c r="BP148" s="330">
        <f t="shared" si="58"/>
        <v>5500000</v>
      </c>
      <c r="BQ148" s="330">
        <f t="shared" si="58"/>
        <v>5500000</v>
      </c>
      <c r="BR148" s="330">
        <f t="shared" si="58"/>
        <v>5500000</v>
      </c>
      <c r="BS148" s="330">
        <f t="shared" si="58"/>
        <v>5500000</v>
      </c>
      <c r="BT148" s="330">
        <f t="shared" si="58"/>
        <v>5500000</v>
      </c>
      <c r="BU148" s="330">
        <f t="shared" si="58"/>
        <v>5500000</v>
      </c>
      <c r="BV148" s="330">
        <f t="shared" si="58"/>
        <v>5500000</v>
      </c>
      <c r="BW148" s="330">
        <f t="shared" si="58"/>
        <v>5500000</v>
      </c>
      <c r="BX148" s="330">
        <f t="shared" si="58"/>
        <v>-6571651.8188266009</v>
      </c>
    </row>
    <row r="149" spans="3:76">
      <c r="C149" s="317" t="s">
        <v>339</v>
      </c>
      <c r="D149" s="326">
        <f>IRR(H147:T147)*12</f>
        <v>0.4225943643698109</v>
      </c>
      <c r="E149" s="226"/>
      <c r="F149" s="226"/>
      <c r="G149" s="226"/>
      <c r="H149" s="226"/>
      <c r="I149" s="226"/>
      <c r="J149" s="226"/>
      <c r="K149" s="226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6"/>
      <c r="AA149" s="226"/>
      <c r="AB149" s="226"/>
      <c r="AC149" s="226"/>
      <c r="AD149" s="226"/>
      <c r="AE149" s="226"/>
      <c r="AF149" s="226"/>
      <c r="AG149" s="226"/>
      <c r="AH149" s="226"/>
      <c r="AI149" s="226"/>
      <c r="AJ149" s="226"/>
      <c r="AK149" s="226"/>
      <c r="AL149" s="226"/>
      <c r="AM149" s="226"/>
      <c r="AN149" s="226"/>
      <c r="AO149" s="226"/>
      <c r="AP149" s="226"/>
      <c r="AQ149" s="226"/>
      <c r="AR149" s="226"/>
      <c r="AS149" s="226"/>
      <c r="AT149" s="226"/>
      <c r="AU149" s="226"/>
      <c r="AV149" s="226"/>
      <c r="AW149" s="226"/>
      <c r="AX149" s="226"/>
      <c r="AY149" s="226"/>
      <c r="AZ149" s="226"/>
      <c r="BA149" s="226"/>
      <c r="BB149" s="226"/>
      <c r="BC149" s="226"/>
      <c r="BD149" s="226"/>
      <c r="BE149" s="226"/>
      <c r="BF149" s="226"/>
      <c r="BG149" s="226"/>
      <c r="BH149" s="226"/>
      <c r="BI149" s="226"/>
      <c r="BJ149" s="226"/>
      <c r="BK149" s="226"/>
      <c r="BL149" s="226"/>
      <c r="BM149" s="226"/>
      <c r="BN149" s="226"/>
      <c r="BO149" s="226"/>
      <c r="BP149" s="226"/>
      <c r="BQ149" s="226"/>
      <c r="BR149" s="226"/>
      <c r="BS149" s="226"/>
      <c r="BT149" s="226"/>
      <c r="BU149" s="226"/>
      <c r="BV149" s="226"/>
      <c r="BW149" s="226"/>
      <c r="BX149" s="226"/>
    </row>
    <row r="150" spans="3:76">
      <c r="C150" s="327" t="s">
        <v>347</v>
      </c>
      <c r="D150" s="328">
        <f>-MIN(M148:BL148)-D151</f>
        <v>10682501</v>
      </c>
      <c r="E150" s="226"/>
      <c r="F150" s="226"/>
      <c r="G150" s="226"/>
      <c r="H150" s="226"/>
      <c r="I150" s="226"/>
      <c r="J150" s="226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6"/>
      <c r="AA150" s="226"/>
      <c r="AB150" s="226"/>
      <c r="AC150" s="226"/>
      <c r="AD150" s="226"/>
      <c r="AE150" s="226"/>
      <c r="AF150" s="226"/>
      <c r="AG150" s="226"/>
      <c r="AH150" s="226"/>
      <c r="AI150" s="226"/>
      <c r="AJ150" s="226"/>
      <c r="AK150" s="226"/>
      <c r="AL150" s="226"/>
      <c r="AM150" s="226"/>
      <c r="AN150" s="226"/>
      <c r="AO150" s="226"/>
      <c r="AP150" s="226"/>
      <c r="AQ150" s="226"/>
      <c r="AR150" s="226"/>
      <c r="AS150" s="226"/>
      <c r="AT150" s="226"/>
      <c r="AU150" s="226"/>
      <c r="AV150" s="226"/>
      <c r="AW150" s="226"/>
      <c r="AX150" s="226"/>
      <c r="AY150" s="226"/>
      <c r="AZ150" s="226"/>
      <c r="BA150" s="226"/>
      <c r="BB150" s="226"/>
      <c r="BC150" s="226"/>
      <c r="BD150" s="226"/>
      <c r="BE150" s="226"/>
      <c r="BF150" s="226"/>
      <c r="BG150" s="226"/>
      <c r="BH150" s="226"/>
      <c r="BI150" s="226"/>
      <c r="BJ150" s="226"/>
      <c r="BK150" s="226"/>
      <c r="BL150" s="226"/>
      <c r="BM150" s="226"/>
      <c r="BN150" s="226"/>
      <c r="BO150" s="226"/>
      <c r="BP150" s="226"/>
      <c r="BQ150" s="226"/>
      <c r="BR150" s="226"/>
      <c r="BS150" s="226"/>
      <c r="BT150" s="226"/>
      <c r="BU150" s="226"/>
      <c r="BV150" s="226"/>
      <c r="BW150" s="226"/>
      <c r="BX150" s="226"/>
    </row>
    <row r="151" spans="3:76">
      <c r="C151" s="327" t="s">
        <v>348</v>
      </c>
      <c r="D151" s="328">
        <f>-SUM(M146:BB146)</f>
        <v>0</v>
      </c>
      <c r="E151" s="226"/>
      <c r="F151" s="226"/>
      <c r="G151" s="226"/>
      <c r="H151" s="226"/>
      <c r="I151" s="226"/>
      <c r="J151" s="226"/>
      <c r="K151" s="226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6"/>
      <c r="AA151" s="226"/>
      <c r="AB151" s="226"/>
      <c r="AC151" s="226"/>
      <c r="AD151" s="226"/>
      <c r="AE151" s="226"/>
      <c r="AF151" s="226"/>
      <c r="AG151" s="226"/>
      <c r="AH151" s="226"/>
      <c r="AI151" s="226"/>
      <c r="AJ151" s="226"/>
      <c r="AK151" s="226"/>
      <c r="AL151" s="226"/>
      <c r="AM151" s="226"/>
      <c r="AN151" s="226"/>
      <c r="AO151" s="226"/>
      <c r="AP151" s="226"/>
      <c r="AQ151" s="226"/>
      <c r="AR151" s="226"/>
      <c r="AS151" s="226"/>
      <c r="AT151" s="226"/>
      <c r="AU151" s="226"/>
      <c r="AV151" s="226"/>
      <c r="AW151" s="226"/>
      <c r="AX151" s="226"/>
      <c r="AY151" s="226"/>
      <c r="AZ151" s="226"/>
      <c r="BA151" s="226"/>
      <c r="BB151" s="226"/>
      <c r="BC151" s="226"/>
      <c r="BD151" s="226"/>
      <c r="BE151" s="226"/>
      <c r="BF151" s="226"/>
      <c r="BG151" s="226"/>
      <c r="BH151" s="226"/>
      <c r="BI151" s="226"/>
      <c r="BJ151" s="226"/>
      <c r="BK151" s="226"/>
      <c r="BL151" s="226"/>
      <c r="BM151" s="226"/>
      <c r="BN151" s="226"/>
      <c r="BO151" s="226"/>
      <c r="BP151" s="226"/>
      <c r="BQ151" s="226"/>
      <c r="BR151" s="226"/>
      <c r="BS151" s="226"/>
      <c r="BT151" s="226"/>
      <c r="BU151" s="226"/>
      <c r="BV151" s="226"/>
      <c r="BW151" s="226"/>
      <c r="BX151" s="226"/>
    </row>
    <row r="152" spans="3:76">
      <c r="C152" s="317" t="s">
        <v>349</v>
      </c>
      <c r="D152" s="329">
        <f>D151+D150</f>
        <v>10682501</v>
      </c>
      <c r="E152" s="226"/>
      <c r="F152" s="226"/>
      <c r="G152" s="226"/>
      <c r="H152" s="226"/>
      <c r="I152" s="226"/>
      <c r="J152" s="226"/>
      <c r="K152" s="226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6"/>
      <c r="AA152" s="226"/>
      <c r="AB152" s="226"/>
      <c r="AC152" s="226"/>
      <c r="AD152" s="226"/>
      <c r="AE152" s="226"/>
      <c r="AF152" s="226"/>
      <c r="AG152" s="226"/>
      <c r="AH152" s="226"/>
      <c r="AI152" s="226"/>
      <c r="AJ152" s="226"/>
      <c r="AK152" s="226"/>
      <c r="AL152" s="226"/>
      <c r="AM152" s="226"/>
      <c r="AN152" s="226"/>
      <c r="AO152" s="226"/>
      <c r="AP152" s="226"/>
      <c r="AQ152" s="226"/>
      <c r="AR152" s="226"/>
      <c r="AS152" s="226"/>
      <c r="AT152" s="226"/>
      <c r="AU152" s="226"/>
      <c r="AV152" s="226"/>
      <c r="AW152" s="226"/>
      <c r="AX152" s="226"/>
      <c r="AY152" s="226"/>
      <c r="AZ152" s="226"/>
      <c r="BA152" s="226"/>
      <c r="BB152" s="226"/>
      <c r="BC152" s="226"/>
      <c r="BD152" s="226"/>
      <c r="BE152" s="226"/>
      <c r="BF152" s="226"/>
      <c r="BG152" s="226"/>
      <c r="BH152" s="226"/>
      <c r="BI152" s="226"/>
      <c r="BJ152" s="226"/>
      <c r="BK152" s="226"/>
      <c r="BL152" s="226"/>
      <c r="BM152" s="226"/>
      <c r="BN152" s="226"/>
      <c r="BO152" s="226"/>
      <c r="BP152" s="226"/>
      <c r="BQ152" s="226"/>
      <c r="BR152" s="226"/>
      <c r="BS152" s="226"/>
      <c r="BT152" s="226"/>
      <c r="BU152" s="226"/>
      <c r="BV152" s="226"/>
      <c r="BW152" s="226"/>
      <c r="BX152" s="226"/>
    </row>
    <row r="153" spans="3:76">
      <c r="C153" s="317" t="s">
        <v>350</v>
      </c>
      <c r="D153" s="329">
        <f>T145</f>
        <v>5500000</v>
      </c>
      <c r="E153" s="226"/>
      <c r="F153" s="226"/>
      <c r="G153" s="226"/>
      <c r="H153" s="226"/>
      <c r="I153" s="226"/>
      <c r="J153" s="226"/>
      <c r="K153" s="226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6"/>
      <c r="AA153" s="226"/>
      <c r="AB153" s="226"/>
      <c r="AC153" s="226"/>
      <c r="AD153" s="226"/>
      <c r="AE153" s="226"/>
      <c r="AF153" s="226"/>
      <c r="AG153" s="226"/>
      <c r="AH153" s="226"/>
      <c r="AI153" s="226"/>
      <c r="AJ153" s="226"/>
      <c r="AK153" s="226"/>
      <c r="AL153" s="226"/>
      <c r="AM153" s="226"/>
      <c r="AN153" s="226"/>
      <c r="AO153" s="226"/>
      <c r="AP153" s="226"/>
      <c r="AQ153" s="226"/>
      <c r="AR153" s="226"/>
      <c r="AS153" s="226"/>
      <c r="AT153" s="226"/>
      <c r="AU153" s="226"/>
      <c r="AV153" s="226"/>
      <c r="AW153" s="226"/>
      <c r="AX153" s="226"/>
      <c r="AY153" s="226"/>
      <c r="AZ153" s="226"/>
      <c r="BA153" s="226"/>
      <c r="BB153" s="226"/>
      <c r="BC153" s="226"/>
      <c r="BD153" s="226"/>
      <c r="BE153" s="226"/>
      <c r="BF153" s="226"/>
      <c r="BG153" s="226"/>
      <c r="BH153" s="226"/>
      <c r="BI153" s="226"/>
      <c r="BJ153" s="226"/>
      <c r="BK153" s="226"/>
      <c r="BL153" s="226"/>
      <c r="BM153" s="226"/>
      <c r="BN153" s="226"/>
      <c r="BO153" s="226"/>
      <c r="BP153" s="226"/>
      <c r="BQ153" s="226"/>
      <c r="BR153" s="226"/>
      <c r="BS153" s="226"/>
      <c r="BT153" s="226"/>
      <c r="BU153" s="226"/>
      <c r="BV153" s="226"/>
      <c r="BW153" s="226"/>
      <c r="BX153" s="226"/>
    </row>
    <row r="154" spans="3:76">
      <c r="C154" s="317" t="s">
        <v>351</v>
      </c>
      <c r="D154" s="326">
        <f>(D153-D151)/D152</f>
        <v>0.51486070537227191</v>
      </c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  <c r="AG154" s="226"/>
      <c r="AH154" s="226"/>
      <c r="AI154" s="226"/>
      <c r="AJ154" s="226"/>
      <c r="AK154" s="226"/>
      <c r="AL154" s="226"/>
      <c r="AM154" s="226"/>
      <c r="AN154" s="226"/>
      <c r="AO154" s="226"/>
      <c r="AP154" s="226"/>
      <c r="AQ154" s="226"/>
      <c r="AR154" s="226"/>
      <c r="AS154" s="226"/>
      <c r="AT154" s="226"/>
      <c r="AU154" s="226"/>
      <c r="AV154" s="226"/>
      <c r="AW154" s="226"/>
      <c r="AX154" s="226"/>
      <c r="AY154" s="226"/>
      <c r="AZ154" s="226"/>
      <c r="BA154" s="226"/>
      <c r="BB154" s="226"/>
      <c r="BC154" s="226"/>
      <c r="BD154" s="226"/>
      <c r="BE154" s="226"/>
      <c r="BF154" s="226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6"/>
      <c r="BQ154" s="226"/>
      <c r="BR154" s="226"/>
      <c r="BS154" s="226"/>
      <c r="BT154" s="226"/>
      <c r="BU154" s="226"/>
      <c r="BV154" s="226"/>
      <c r="BW154" s="226"/>
      <c r="BX154" s="226"/>
    </row>
    <row r="157" spans="3:76"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  <c r="BX157" s="226"/>
    </row>
    <row r="158" spans="3:76">
      <c r="C158" s="314" t="s">
        <v>356</v>
      </c>
      <c r="D158" s="315"/>
      <c r="E158" s="315">
        <f t="shared" ref="E158:G158" si="59">-(E5+E89)</f>
        <v>0</v>
      </c>
      <c r="F158" s="315">
        <f t="shared" si="59"/>
        <v>0</v>
      </c>
      <c r="G158" s="315">
        <f t="shared" si="59"/>
        <v>0</v>
      </c>
      <c r="H158" s="315">
        <f>-5341205.5</f>
        <v>-5341205.5</v>
      </c>
      <c r="I158" s="315">
        <f t="shared" ref="I158:S158" si="60">-(I5+I89)</f>
        <v>0</v>
      </c>
      <c r="J158" s="315">
        <f t="shared" si="60"/>
        <v>0</v>
      </c>
      <c r="K158" s="315">
        <f t="shared" si="60"/>
        <v>0</v>
      </c>
      <c r="L158" s="315">
        <f t="shared" si="60"/>
        <v>0</v>
      </c>
      <c r="M158" s="315">
        <f t="shared" si="60"/>
        <v>0</v>
      </c>
      <c r="N158" s="315">
        <f t="shared" si="60"/>
        <v>0</v>
      </c>
      <c r="O158" s="315">
        <f t="shared" si="60"/>
        <v>-3000000</v>
      </c>
      <c r="P158" s="315">
        <f t="shared" si="60"/>
        <v>0</v>
      </c>
      <c r="Q158" s="315">
        <f t="shared" si="60"/>
        <v>0</v>
      </c>
      <c r="R158" s="315">
        <f t="shared" si="60"/>
        <v>0</v>
      </c>
      <c r="S158" s="315">
        <f t="shared" si="60"/>
        <v>0</v>
      </c>
      <c r="T158" s="315">
        <f>5341205.5</f>
        <v>5341205.5</v>
      </c>
      <c r="U158" s="315">
        <f t="shared" ref="U158:BX158" si="61">-(U5+U89)</f>
        <v>0</v>
      </c>
      <c r="V158" s="315">
        <f t="shared" si="61"/>
        <v>0</v>
      </c>
      <c r="W158" s="315">
        <f t="shared" si="61"/>
        <v>0</v>
      </c>
      <c r="X158" s="315">
        <f t="shared" si="61"/>
        <v>0</v>
      </c>
      <c r="Y158" s="315">
        <f t="shared" si="61"/>
        <v>0</v>
      </c>
      <c r="Z158" s="315">
        <f t="shared" si="61"/>
        <v>0</v>
      </c>
      <c r="AA158" s="315">
        <f t="shared" si="61"/>
        <v>0</v>
      </c>
      <c r="AB158" s="315">
        <f t="shared" si="61"/>
        <v>0</v>
      </c>
      <c r="AC158" s="315">
        <f t="shared" si="61"/>
        <v>0</v>
      </c>
      <c r="AD158" s="315">
        <f t="shared" si="61"/>
        <v>0</v>
      </c>
      <c r="AE158" s="315">
        <f t="shared" si="61"/>
        <v>0</v>
      </c>
      <c r="AF158" s="315">
        <f t="shared" si="61"/>
        <v>0</v>
      </c>
      <c r="AG158" s="315">
        <f t="shared" si="61"/>
        <v>0</v>
      </c>
      <c r="AH158" s="315">
        <f t="shared" si="61"/>
        <v>0</v>
      </c>
      <c r="AI158" s="315">
        <f t="shared" si="61"/>
        <v>0</v>
      </c>
      <c r="AJ158" s="315">
        <f t="shared" si="61"/>
        <v>0</v>
      </c>
      <c r="AK158" s="315">
        <f t="shared" si="61"/>
        <v>0</v>
      </c>
      <c r="AL158" s="315">
        <f t="shared" si="61"/>
        <v>0</v>
      </c>
      <c r="AM158" s="315">
        <f t="shared" si="61"/>
        <v>0</v>
      </c>
      <c r="AN158" s="315">
        <f t="shared" si="61"/>
        <v>0</v>
      </c>
      <c r="AO158" s="315">
        <f t="shared" si="61"/>
        <v>0</v>
      </c>
      <c r="AP158" s="315">
        <f t="shared" si="61"/>
        <v>0</v>
      </c>
      <c r="AQ158" s="315">
        <f t="shared" si="61"/>
        <v>0</v>
      </c>
      <c r="AR158" s="315">
        <f t="shared" si="61"/>
        <v>0</v>
      </c>
      <c r="AS158" s="315">
        <f t="shared" si="61"/>
        <v>0</v>
      </c>
      <c r="AT158" s="315">
        <f t="shared" si="61"/>
        <v>0</v>
      </c>
      <c r="AU158" s="315">
        <f t="shared" si="61"/>
        <v>0</v>
      </c>
      <c r="AV158" s="315">
        <f t="shared" si="61"/>
        <v>0</v>
      </c>
      <c r="AW158" s="315">
        <f t="shared" si="61"/>
        <v>0</v>
      </c>
      <c r="AX158" s="315">
        <f t="shared" si="61"/>
        <v>0</v>
      </c>
      <c r="AY158" s="315">
        <f t="shared" si="61"/>
        <v>0</v>
      </c>
      <c r="AZ158" s="315">
        <f t="shared" si="61"/>
        <v>0</v>
      </c>
      <c r="BA158" s="315">
        <f t="shared" si="61"/>
        <v>0</v>
      </c>
      <c r="BB158" s="315">
        <f t="shared" si="61"/>
        <v>0</v>
      </c>
      <c r="BC158" s="315">
        <f t="shared" si="61"/>
        <v>0</v>
      </c>
      <c r="BD158" s="315">
        <f t="shared" si="61"/>
        <v>0</v>
      </c>
      <c r="BE158" s="315">
        <f t="shared" si="61"/>
        <v>0</v>
      </c>
      <c r="BF158" s="315">
        <f t="shared" si="61"/>
        <v>0</v>
      </c>
      <c r="BG158" s="315">
        <f t="shared" si="61"/>
        <v>0</v>
      </c>
      <c r="BH158" s="315">
        <f t="shared" si="61"/>
        <v>0</v>
      </c>
      <c r="BI158" s="315">
        <f t="shared" si="61"/>
        <v>0</v>
      </c>
      <c r="BJ158" s="315">
        <f t="shared" si="61"/>
        <v>0</v>
      </c>
      <c r="BK158" s="315">
        <f t="shared" si="61"/>
        <v>0</v>
      </c>
      <c r="BL158" s="315">
        <f t="shared" si="61"/>
        <v>0</v>
      </c>
      <c r="BM158" s="315">
        <f t="shared" si="61"/>
        <v>0</v>
      </c>
      <c r="BN158" s="315">
        <f t="shared" si="61"/>
        <v>0</v>
      </c>
      <c r="BO158" s="315">
        <f t="shared" si="61"/>
        <v>0</v>
      </c>
      <c r="BP158" s="315">
        <f t="shared" si="61"/>
        <v>0</v>
      </c>
      <c r="BQ158" s="315">
        <f t="shared" si="61"/>
        <v>0</v>
      </c>
      <c r="BR158" s="315">
        <f t="shared" si="61"/>
        <v>0</v>
      </c>
      <c r="BS158" s="315">
        <f t="shared" si="61"/>
        <v>0</v>
      </c>
      <c r="BT158" s="315">
        <f t="shared" si="61"/>
        <v>0</v>
      </c>
      <c r="BU158" s="315">
        <f t="shared" si="61"/>
        <v>0</v>
      </c>
      <c r="BV158" s="315">
        <f t="shared" si="61"/>
        <v>0</v>
      </c>
      <c r="BW158" s="315">
        <f t="shared" si="61"/>
        <v>0</v>
      </c>
      <c r="BX158" s="315">
        <f t="shared" si="61"/>
        <v>0</v>
      </c>
    </row>
    <row r="159" spans="3:76">
      <c r="C159" s="314" t="s">
        <v>353</v>
      </c>
      <c r="D159" s="323"/>
      <c r="E159" s="315"/>
      <c r="F159" s="315"/>
      <c r="G159" s="315"/>
      <c r="H159" s="315"/>
      <c r="I159" s="315"/>
      <c r="J159" s="315"/>
      <c r="K159" s="315"/>
      <c r="L159" s="315"/>
      <c r="M159" s="315"/>
      <c r="N159" s="315"/>
      <c r="O159" s="315"/>
      <c r="P159" s="315"/>
      <c r="Q159" s="315"/>
      <c r="R159" s="315"/>
      <c r="S159" s="315"/>
      <c r="T159" s="315"/>
      <c r="U159" s="315"/>
      <c r="V159" s="315"/>
      <c r="W159" s="315"/>
      <c r="X159" s="315"/>
      <c r="Y159" s="315"/>
      <c r="Z159" s="315"/>
      <c r="AA159" s="315"/>
      <c r="AB159" s="315"/>
      <c r="AC159" s="315"/>
      <c r="AD159" s="315"/>
      <c r="AE159" s="315"/>
      <c r="AF159" s="315"/>
      <c r="AG159" s="315"/>
      <c r="AH159" s="315"/>
      <c r="AI159" s="315"/>
      <c r="AJ159" s="315"/>
      <c r="AK159" s="315"/>
      <c r="AL159" s="315"/>
      <c r="AM159" s="315"/>
      <c r="AN159" s="315"/>
      <c r="AO159" s="315"/>
      <c r="AP159" s="315"/>
      <c r="AQ159" s="315"/>
      <c r="AR159" s="315"/>
      <c r="AS159" s="315"/>
      <c r="AT159" s="315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</row>
    <row r="160" spans="3:76">
      <c r="C160" s="314" t="s">
        <v>343</v>
      </c>
      <c r="D160" s="323"/>
      <c r="E160" s="315">
        <f t="shared" ref="E160:BX160" si="62">-E54</f>
        <v>0</v>
      </c>
      <c r="F160" s="315">
        <f t="shared" si="62"/>
        <v>0</v>
      </c>
      <c r="G160" s="315">
        <f t="shared" si="62"/>
        <v>0</v>
      </c>
      <c r="H160" s="315">
        <f t="shared" si="62"/>
        <v>0</v>
      </c>
      <c r="I160" s="315">
        <f t="shared" si="62"/>
        <v>0</v>
      </c>
      <c r="J160" s="315">
        <f t="shared" si="62"/>
        <v>0</v>
      </c>
      <c r="K160" s="315">
        <f t="shared" si="62"/>
        <v>0</v>
      </c>
      <c r="L160" s="315">
        <f t="shared" si="62"/>
        <v>0</v>
      </c>
      <c r="M160" s="315">
        <f t="shared" si="62"/>
        <v>0</v>
      </c>
      <c r="N160" s="315">
        <f t="shared" si="62"/>
        <v>0</v>
      </c>
      <c r="O160" s="315">
        <f t="shared" si="62"/>
        <v>0</v>
      </c>
      <c r="P160" s="315">
        <f t="shared" si="62"/>
        <v>0</v>
      </c>
      <c r="Q160" s="315">
        <f t="shared" si="62"/>
        <v>0</v>
      </c>
      <c r="R160" s="315">
        <f t="shared" si="62"/>
        <v>0</v>
      </c>
      <c r="S160" s="315">
        <f t="shared" si="62"/>
        <v>0</v>
      </c>
      <c r="T160" s="315">
        <f t="shared" si="62"/>
        <v>0</v>
      </c>
      <c r="U160" s="315">
        <f t="shared" si="62"/>
        <v>0</v>
      </c>
      <c r="V160" s="315">
        <f t="shared" si="62"/>
        <v>0</v>
      </c>
      <c r="W160" s="315">
        <f t="shared" si="62"/>
        <v>0</v>
      </c>
      <c r="X160" s="315">
        <f t="shared" si="62"/>
        <v>0</v>
      </c>
      <c r="Y160" s="315">
        <f t="shared" si="62"/>
        <v>0</v>
      </c>
      <c r="Z160" s="315">
        <f t="shared" si="62"/>
        <v>0</v>
      </c>
      <c r="AA160" s="315">
        <f t="shared" si="62"/>
        <v>0</v>
      </c>
      <c r="AB160" s="315">
        <f t="shared" si="62"/>
        <v>0</v>
      </c>
      <c r="AC160" s="315">
        <f t="shared" si="62"/>
        <v>0</v>
      </c>
      <c r="AD160" s="315">
        <f t="shared" si="62"/>
        <v>0</v>
      </c>
      <c r="AE160" s="315">
        <f t="shared" si="62"/>
        <v>0</v>
      </c>
      <c r="AF160" s="315">
        <f t="shared" si="62"/>
        <v>0</v>
      </c>
      <c r="AG160" s="315">
        <f t="shared" si="62"/>
        <v>0</v>
      </c>
      <c r="AH160" s="315">
        <f t="shared" si="62"/>
        <v>0</v>
      </c>
      <c r="AI160" s="315">
        <f t="shared" si="62"/>
        <v>0</v>
      </c>
      <c r="AJ160" s="315">
        <f t="shared" si="62"/>
        <v>0</v>
      </c>
      <c r="AK160" s="315">
        <f t="shared" si="62"/>
        <v>0</v>
      </c>
      <c r="AL160" s="315">
        <f t="shared" si="62"/>
        <v>0</v>
      </c>
      <c r="AM160" s="315">
        <f t="shared" si="62"/>
        <v>0</v>
      </c>
      <c r="AN160" s="315">
        <f t="shared" si="62"/>
        <v>0</v>
      </c>
      <c r="AO160" s="315">
        <f t="shared" si="62"/>
        <v>0</v>
      </c>
      <c r="AP160" s="315">
        <f t="shared" si="62"/>
        <v>0</v>
      </c>
      <c r="AQ160" s="315">
        <f t="shared" si="62"/>
        <v>0</v>
      </c>
      <c r="AR160" s="315">
        <f t="shared" si="62"/>
        <v>0</v>
      </c>
      <c r="AS160" s="315">
        <f t="shared" si="62"/>
        <v>0</v>
      </c>
      <c r="AT160" s="315">
        <f t="shared" si="62"/>
        <v>0</v>
      </c>
      <c r="AU160" s="315">
        <f t="shared" si="62"/>
        <v>0</v>
      </c>
      <c r="AV160" s="315">
        <f t="shared" si="62"/>
        <v>0</v>
      </c>
      <c r="AW160" s="315">
        <f t="shared" si="62"/>
        <v>0</v>
      </c>
      <c r="AX160" s="315">
        <f t="shared" si="62"/>
        <v>0</v>
      </c>
      <c r="AY160" s="315">
        <f t="shared" si="62"/>
        <v>0</v>
      </c>
      <c r="AZ160" s="315">
        <f t="shared" si="62"/>
        <v>0</v>
      </c>
      <c r="BA160" s="315">
        <f t="shared" si="62"/>
        <v>0</v>
      </c>
      <c r="BB160" s="315">
        <f t="shared" si="62"/>
        <v>0</v>
      </c>
      <c r="BC160" s="315">
        <f t="shared" si="62"/>
        <v>0</v>
      </c>
      <c r="BD160" s="315">
        <f t="shared" si="62"/>
        <v>0</v>
      </c>
      <c r="BE160" s="315">
        <f t="shared" si="62"/>
        <v>0</v>
      </c>
      <c r="BF160" s="315">
        <f t="shared" si="62"/>
        <v>0</v>
      </c>
      <c r="BG160" s="315">
        <f t="shared" si="62"/>
        <v>0</v>
      </c>
      <c r="BH160" s="315">
        <f t="shared" si="62"/>
        <v>0</v>
      </c>
      <c r="BI160" s="315">
        <f t="shared" si="62"/>
        <v>0</v>
      </c>
      <c r="BJ160" s="315">
        <f t="shared" si="62"/>
        <v>0</v>
      </c>
      <c r="BK160" s="315">
        <f t="shared" si="62"/>
        <v>0</v>
      </c>
      <c r="BL160" s="315">
        <f t="shared" si="62"/>
        <v>0</v>
      </c>
      <c r="BM160" s="315">
        <f t="shared" si="62"/>
        <v>0</v>
      </c>
      <c r="BN160" s="315">
        <f t="shared" si="62"/>
        <v>0</v>
      </c>
      <c r="BO160" s="315">
        <f t="shared" si="62"/>
        <v>0</v>
      </c>
      <c r="BP160" s="315">
        <f t="shared" si="62"/>
        <v>0</v>
      </c>
      <c r="BQ160" s="315">
        <f t="shared" si="62"/>
        <v>0</v>
      </c>
      <c r="BR160" s="315">
        <f t="shared" si="62"/>
        <v>0</v>
      </c>
      <c r="BS160" s="315">
        <f t="shared" si="62"/>
        <v>0</v>
      </c>
      <c r="BT160" s="315">
        <f t="shared" si="62"/>
        <v>0</v>
      </c>
      <c r="BU160" s="315">
        <f t="shared" si="62"/>
        <v>0</v>
      </c>
      <c r="BV160" s="315">
        <f t="shared" si="62"/>
        <v>0</v>
      </c>
      <c r="BW160" s="315">
        <f t="shared" si="62"/>
        <v>0</v>
      </c>
      <c r="BX160" s="315">
        <f t="shared" si="62"/>
        <v>0</v>
      </c>
    </row>
    <row r="161" spans="3:76">
      <c r="C161" s="314" t="s">
        <v>344</v>
      </c>
      <c r="D161" s="323"/>
      <c r="E161" s="315"/>
      <c r="F161" s="315"/>
      <c r="G161" s="315"/>
      <c r="H161" s="315"/>
      <c r="I161" s="315"/>
      <c r="J161" s="315"/>
      <c r="K161" s="315"/>
      <c r="L161" s="315"/>
      <c r="M161" s="315"/>
      <c r="N161" s="315"/>
      <c r="O161" s="315"/>
      <c r="P161" s="315"/>
      <c r="Q161" s="315"/>
      <c r="R161" s="315"/>
      <c r="S161" s="315"/>
      <c r="T161" s="315">
        <v>2750000</v>
      </c>
      <c r="U161" s="315"/>
      <c r="V161" s="315"/>
      <c r="W161" s="315"/>
      <c r="X161" s="315"/>
      <c r="Y161" s="315"/>
      <c r="Z161" s="315"/>
      <c r="AA161" s="315"/>
      <c r="AB161" s="315"/>
      <c r="AC161" s="315"/>
      <c r="AD161" s="315"/>
      <c r="AE161" s="315"/>
      <c r="AF161" s="315"/>
      <c r="AG161" s="315"/>
      <c r="AH161" s="315"/>
      <c r="AI161" s="315"/>
      <c r="AJ161" s="315"/>
      <c r="AK161" s="315"/>
      <c r="AL161" s="315"/>
      <c r="AM161" s="315"/>
      <c r="AN161" s="315"/>
      <c r="AO161" s="315"/>
      <c r="AP161" s="315"/>
      <c r="AQ161" s="315"/>
      <c r="AR161" s="315"/>
      <c r="AS161" s="315"/>
      <c r="AT161" s="315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>
        <f>IF(D101&gt;0.25,(BX96-BX104)*D162,BX96*D162)</f>
        <v>0</v>
      </c>
    </row>
    <row r="162" spans="3:76">
      <c r="C162" s="317" t="s">
        <v>345</v>
      </c>
      <c r="D162" s="323">
        <v>0.2</v>
      </c>
      <c r="E162" s="246"/>
      <c r="F162" s="246"/>
      <c r="G162" s="246"/>
      <c r="H162" s="246"/>
      <c r="I162" s="246"/>
      <c r="J162" s="246"/>
      <c r="K162" s="246"/>
      <c r="L162" s="246"/>
      <c r="M162" s="246"/>
      <c r="N162" s="246"/>
      <c r="O162" s="246"/>
      <c r="P162" s="246"/>
      <c r="Q162" s="246"/>
      <c r="R162" s="246"/>
      <c r="S162" s="246"/>
      <c r="T162" s="246"/>
      <c r="U162" s="246"/>
      <c r="V162" s="246"/>
      <c r="W162" s="246"/>
      <c r="X162" s="246"/>
      <c r="Y162" s="246"/>
      <c r="Z162" s="246"/>
      <c r="AA162" s="246"/>
      <c r="AB162" s="246"/>
      <c r="AC162" s="246"/>
      <c r="AD162" s="246"/>
      <c r="AE162" s="246"/>
      <c r="AF162" s="246"/>
      <c r="AG162" s="246"/>
      <c r="AH162" s="246"/>
      <c r="AI162" s="246"/>
      <c r="AJ162" s="246"/>
      <c r="AK162" s="246"/>
      <c r="AL162" s="246"/>
      <c r="AM162" s="246"/>
      <c r="AN162" s="246"/>
      <c r="AO162" s="246"/>
      <c r="AP162" s="246"/>
      <c r="AQ162" s="246"/>
      <c r="AR162" s="246"/>
      <c r="AS162" s="246"/>
      <c r="AT162" s="246"/>
      <c r="AU162" s="246"/>
      <c r="AV162" s="246"/>
      <c r="AW162" s="246"/>
      <c r="AX162" s="246"/>
      <c r="AY162" s="246"/>
      <c r="AZ162" s="246"/>
      <c r="BA162" s="246"/>
      <c r="BB162" s="246"/>
      <c r="BC162" s="246"/>
      <c r="BD162" s="246"/>
      <c r="BE162" s="246"/>
      <c r="BF162" s="246"/>
      <c r="BG162" s="246"/>
      <c r="BH162" s="246"/>
      <c r="BI162" s="246"/>
      <c r="BJ162" s="246"/>
      <c r="BK162" s="246"/>
      <c r="BL162" s="246"/>
      <c r="BM162" s="246"/>
      <c r="BN162" s="246"/>
      <c r="BO162" s="246"/>
      <c r="BP162" s="246"/>
      <c r="BQ162" s="246"/>
      <c r="BR162" s="246"/>
      <c r="BS162" s="246"/>
      <c r="BT162" s="246"/>
      <c r="BU162" s="246"/>
      <c r="BV162" s="246"/>
      <c r="BW162" s="246"/>
      <c r="BX162" s="246"/>
    </row>
    <row r="163" spans="3:76">
      <c r="C163" s="314" t="s">
        <v>346</v>
      </c>
      <c r="D163" s="315"/>
      <c r="E163" s="325">
        <f t="shared" ref="E163:BX163" si="63">E158+E159+E160+E161+E162</f>
        <v>0</v>
      </c>
      <c r="F163" s="325">
        <f t="shared" si="63"/>
        <v>0</v>
      </c>
      <c r="G163" s="325">
        <f t="shared" si="63"/>
        <v>0</v>
      </c>
      <c r="H163" s="325">
        <f t="shared" si="63"/>
        <v>-5341205.5</v>
      </c>
      <c r="I163" s="325">
        <f t="shared" si="63"/>
        <v>0</v>
      </c>
      <c r="J163" s="325">
        <f t="shared" si="63"/>
        <v>0</v>
      </c>
      <c r="K163" s="325">
        <f t="shared" si="63"/>
        <v>0</v>
      </c>
      <c r="L163" s="325">
        <f t="shared" si="63"/>
        <v>0</v>
      </c>
      <c r="M163" s="325">
        <f t="shared" si="63"/>
        <v>0</v>
      </c>
      <c r="N163" s="325">
        <f t="shared" si="63"/>
        <v>0</v>
      </c>
      <c r="O163" s="325">
        <f t="shared" si="63"/>
        <v>-3000000</v>
      </c>
      <c r="P163" s="325">
        <f t="shared" si="63"/>
        <v>0</v>
      </c>
      <c r="Q163" s="325">
        <f t="shared" si="63"/>
        <v>0</v>
      </c>
      <c r="R163" s="325">
        <f t="shared" si="63"/>
        <v>0</v>
      </c>
      <c r="S163" s="325">
        <f t="shared" si="63"/>
        <v>0</v>
      </c>
      <c r="T163" s="325">
        <f t="shared" si="63"/>
        <v>8091205.5</v>
      </c>
      <c r="U163" s="325">
        <f t="shared" si="63"/>
        <v>0</v>
      </c>
      <c r="V163" s="325">
        <f t="shared" si="63"/>
        <v>0</v>
      </c>
      <c r="W163" s="325">
        <f t="shared" si="63"/>
        <v>0</v>
      </c>
      <c r="X163" s="325">
        <f t="shared" si="63"/>
        <v>0</v>
      </c>
      <c r="Y163" s="325">
        <f t="shared" si="63"/>
        <v>0</v>
      </c>
      <c r="Z163" s="325">
        <f t="shared" si="63"/>
        <v>0</v>
      </c>
      <c r="AA163" s="325">
        <f t="shared" si="63"/>
        <v>0</v>
      </c>
      <c r="AB163" s="325">
        <f t="shared" si="63"/>
        <v>0</v>
      </c>
      <c r="AC163" s="325">
        <f t="shared" si="63"/>
        <v>0</v>
      </c>
      <c r="AD163" s="325">
        <f t="shared" si="63"/>
        <v>0</v>
      </c>
      <c r="AE163" s="325">
        <f t="shared" si="63"/>
        <v>0</v>
      </c>
      <c r="AF163" s="325">
        <f t="shared" si="63"/>
        <v>0</v>
      </c>
      <c r="AG163" s="325">
        <f t="shared" si="63"/>
        <v>0</v>
      </c>
      <c r="AH163" s="325">
        <f t="shared" si="63"/>
        <v>0</v>
      </c>
      <c r="AI163" s="325">
        <f t="shared" si="63"/>
        <v>0</v>
      </c>
      <c r="AJ163" s="325">
        <f t="shared" si="63"/>
        <v>0</v>
      </c>
      <c r="AK163" s="325">
        <f t="shared" si="63"/>
        <v>0</v>
      </c>
      <c r="AL163" s="325">
        <f t="shared" si="63"/>
        <v>0</v>
      </c>
      <c r="AM163" s="325">
        <f t="shared" si="63"/>
        <v>0</v>
      </c>
      <c r="AN163" s="325">
        <f t="shared" si="63"/>
        <v>0</v>
      </c>
      <c r="AO163" s="325">
        <f t="shared" si="63"/>
        <v>0</v>
      </c>
      <c r="AP163" s="325">
        <f t="shared" si="63"/>
        <v>0</v>
      </c>
      <c r="AQ163" s="325">
        <f t="shared" si="63"/>
        <v>0</v>
      </c>
      <c r="AR163" s="325">
        <f t="shared" si="63"/>
        <v>0</v>
      </c>
      <c r="AS163" s="325">
        <f t="shared" si="63"/>
        <v>0</v>
      </c>
      <c r="AT163" s="325">
        <f t="shared" si="63"/>
        <v>0</v>
      </c>
      <c r="AU163" s="325">
        <f t="shared" si="63"/>
        <v>0</v>
      </c>
      <c r="AV163" s="325">
        <f t="shared" si="63"/>
        <v>0</v>
      </c>
      <c r="AW163" s="325">
        <f t="shared" si="63"/>
        <v>0</v>
      </c>
      <c r="AX163" s="325">
        <f t="shared" si="63"/>
        <v>0</v>
      </c>
      <c r="AY163" s="325">
        <f t="shared" si="63"/>
        <v>0</v>
      </c>
      <c r="AZ163" s="325">
        <f t="shared" si="63"/>
        <v>0</v>
      </c>
      <c r="BA163" s="325">
        <f t="shared" si="63"/>
        <v>0</v>
      </c>
      <c r="BB163" s="325">
        <f t="shared" si="63"/>
        <v>0</v>
      </c>
      <c r="BC163" s="325">
        <f t="shared" si="63"/>
        <v>0</v>
      </c>
      <c r="BD163" s="325">
        <f t="shared" si="63"/>
        <v>0</v>
      </c>
      <c r="BE163" s="325">
        <f t="shared" si="63"/>
        <v>0</v>
      </c>
      <c r="BF163" s="325">
        <f t="shared" si="63"/>
        <v>0</v>
      </c>
      <c r="BG163" s="325">
        <f t="shared" si="63"/>
        <v>0</v>
      </c>
      <c r="BH163" s="325">
        <f t="shared" si="63"/>
        <v>0</v>
      </c>
      <c r="BI163" s="325">
        <f t="shared" si="63"/>
        <v>0</v>
      </c>
      <c r="BJ163" s="325">
        <f t="shared" si="63"/>
        <v>0</v>
      </c>
      <c r="BK163" s="325">
        <f t="shared" si="63"/>
        <v>0</v>
      </c>
      <c r="BL163" s="325">
        <f t="shared" si="63"/>
        <v>0</v>
      </c>
      <c r="BM163" s="325">
        <f t="shared" si="63"/>
        <v>0</v>
      </c>
      <c r="BN163" s="325">
        <f t="shared" si="63"/>
        <v>0</v>
      </c>
      <c r="BO163" s="325">
        <f t="shared" si="63"/>
        <v>0</v>
      </c>
      <c r="BP163" s="325">
        <f t="shared" si="63"/>
        <v>0</v>
      </c>
      <c r="BQ163" s="325">
        <f t="shared" si="63"/>
        <v>0</v>
      </c>
      <c r="BR163" s="325">
        <f t="shared" si="63"/>
        <v>0</v>
      </c>
      <c r="BS163" s="325">
        <f t="shared" si="63"/>
        <v>0</v>
      </c>
      <c r="BT163" s="325">
        <f t="shared" si="63"/>
        <v>0</v>
      </c>
      <c r="BU163" s="325">
        <f t="shared" si="63"/>
        <v>0</v>
      </c>
      <c r="BV163" s="325">
        <f t="shared" si="63"/>
        <v>0</v>
      </c>
      <c r="BW163" s="325">
        <f t="shared" si="63"/>
        <v>0</v>
      </c>
      <c r="BX163" s="325">
        <f t="shared" si="63"/>
        <v>0</v>
      </c>
    </row>
    <row r="164" spans="3:76">
      <c r="C164" s="318"/>
      <c r="D164" s="326" t="s">
        <v>354</v>
      </c>
      <c r="E164" s="330">
        <f>E163</f>
        <v>0</v>
      </c>
      <c r="F164" s="330">
        <f t="shared" ref="F164:BX164" si="64">E164+F163</f>
        <v>0</v>
      </c>
      <c r="G164" s="330">
        <f t="shared" si="64"/>
        <v>0</v>
      </c>
      <c r="H164" s="330">
        <f t="shared" si="64"/>
        <v>-5341205.5</v>
      </c>
      <c r="I164" s="330">
        <f t="shared" si="64"/>
        <v>-5341205.5</v>
      </c>
      <c r="J164" s="330">
        <f t="shared" si="64"/>
        <v>-5341205.5</v>
      </c>
      <c r="K164" s="330">
        <f t="shared" si="64"/>
        <v>-5341205.5</v>
      </c>
      <c r="L164" s="330">
        <f t="shared" si="64"/>
        <v>-5341205.5</v>
      </c>
      <c r="M164" s="330">
        <f t="shared" si="64"/>
        <v>-5341205.5</v>
      </c>
      <c r="N164" s="330">
        <f t="shared" si="64"/>
        <v>-5341205.5</v>
      </c>
      <c r="O164" s="330">
        <f t="shared" si="64"/>
        <v>-8341205.5</v>
      </c>
      <c r="P164" s="330">
        <f t="shared" si="64"/>
        <v>-8341205.5</v>
      </c>
      <c r="Q164" s="330">
        <f t="shared" si="64"/>
        <v>-8341205.5</v>
      </c>
      <c r="R164" s="330">
        <f t="shared" si="64"/>
        <v>-8341205.5</v>
      </c>
      <c r="S164" s="330">
        <f t="shared" si="64"/>
        <v>-8341205.5</v>
      </c>
      <c r="T164" s="330">
        <f t="shared" si="64"/>
        <v>-250000</v>
      </c>
      <c r="U164" s="330">
        <f t="shared" si="64"/>
        <v>-250000</v>
      </c>
      <c r="V164" s="330">
        <f t="shared" si="64"/>
        <v>-250000</v>
      </c>
      <c r="W164" s="330">
        <f t="shared" si="64"/>
        <v>-250000</v>
      </c>
      <c r="X164" s="330">
        <f t="shared" si="64"/>
        <v>-250000</v>
      </c>
      <c r="Y164" s="330">
        <f t="shared" si="64"/>
        <v>-250000</v>
      </c>
      <c r="Z164" s="330">
        <f t="shared" si="64"/>
        <v>-250000</v>
      </c>
      <c r="AA164" s="330">
        <f t="shared" si="64"/>
        <v>-250000</v>
      </c>
      <c r="AB164" s="330">
        <f t="shared" si="64"/>
        <v>-250000</v>
      </c>
      <c r="AC164" s="330">
        <f t="shared" si="64"/>
        <v>-250000</v>
      </c>
      <c r="AD164" s="330">
        <f t="shared" si="64"/>
        <v>-250000</v>
      </c>
      <c r="AE164" s="330">
        <f t="shared" si="64"/>
        <v>-250000</v>
      </c>
      <c r="AF164" s="330">
        <f t="shared" si="64"/>
        <v>-250000</v>
      </c>
      <c r="AG164" s="330">
        <f t="shared" si="64"/>
        <v>-250000</v>
      </c>
      <c r="AH164" s="330">
        <f t="shared" si="64"/>
        <v>-250000</v>
      </c>
      <c r="AI164" s="330">
        <f t="shared" si="64"/>
        <v>-250000</v>
      </c>
      <c r="AJ164" s="330">
        <f t="shared" si="64"/>
        <v>-250000</v>
      </c>
      <c r="AK164" s="330">
        <f t="shared" si="64"/>
        <v>-250000</v>
      </c>
      <c r="AL164" s="330">
        <f t="shared" si="64"/>
        <v>-250000</v>
      </c>
      <c r="AM164" s="330">
        <f t="shared" si="64"/>
        <v>-250000</v>
      </c>
      <c r="AN164" s="330">
        <f t="shared" si="64"/>
        <v>-250000</v>
      </c>
      <c r="AO164" s="330">
        <f t="shared" si="64"/>
        <v>-250000</v>
      </c>
      <c r="AP164" s="330">
        <f t="shared" si="64"/>
        <v>-250000</v>
      </c>
      <c r="AQ164" s="330">
        <f t="shared" si="64"/>
        <v>-250000</v>
      </c>
      <c r="AR164" s="330">
        <f t="shared" si="64"/>
        <v>-250000</v>
      </c>
      <c r="AS164" s="330">
        <f t="shared" si="64"/>
        <v>-250000</v>
      </c>
      <c r="AT164" s="330">
        <f t="shared" si="64"/>
        <v>-250000</v>
      </c>
      <c r="AU164" s="330">
        <f t="shared" si="64"/>
        <v>-250000</v>
      </c>
      <c r="AV164" s="330">
        <f t="shared" si="64"/>
        <v>-250000</v>
      </c>
      <c r="AW164" s="330">
        <f t="shared" si="64"/>
        <v>-250000</v>
      </c>
      <c r="AX164" s="330">
        <f t="shared" si="64"/>
        <v>-250000</v>
      </c>
      <c r="AY164" s="330">
        <f t="shared" si="64"/>
        <v>-250000</v>
      </c>
      <c r="AZ164" s="330">
        <f t="shared" si="64"/>
        <v>-250000</v>
      </c>
      <c r="BA164" s="330">
        <f t="shared" si="64"/>
        <v>-250000</v>
      </c>
      <c r="BB164" s="330">
        <f t="shared" si="64"/>
        <v>-250000</v>
      </c>
      <c r="BC164" s="330">
        <f t="shared" si="64"/>
        <v>-250000</v>
      </c>
      <c r="BD164" s="330">
        <f t="shared" si="64"/>
        <v>-250000</v>
      </c>
      <c r="BE164" s="330">
        <f t="shared" si="64"/>
        <v>-250000</v>
      </c>
      <c r="BF164" s="330">
        <f t="shared" si="64"/>
        <v>-250000</v>
      </c>
      <c r="BG164" s="330">
        <f t="shared" si="64"/>
        <v>-250000</v>
      </c>
      <c r="BH164" s="330">
        <f t="shared" si="64"/>
        <v>-250000</v>
      </c>
      <c r="BI164" s="330">
        <f t="shared" si="64"/>
        <v>-250000</v>
      </c>
      <c r="BJ164" s="330">
        <f t="shared" si="64"/>
        <v>-250000</v>
      </c>
      <c r="BK164" s="330">
        <f t="shared" si="64"/>
        <v>-250000</v>
      </c>
      <c r="BL164" s="330">
        <f t="shared" si="64"/>
        <v>-250000</v>
      </c>
      <c r="BM164" s="330">
        <f t="shared" si="64"/>
        <v>-250000</v>
      </c>
      <c r="BN164" s="330">
        <f t="shared" si="64"/>
        <v>-250000</v>
      </c>
      <c r="BO164" s="330">
        <f t="shared" si="64"/>
        <v>-250000</v>
      </c>
      <c r="BP164" s="330">
        <f t="shared" si="64"/>
        <v>-250000</v>
      </c>
      <c r="BQ164" s="330">
        <f t="shared" si="64"/>
        <v>-250000</v>
      </c>
      <c r="BR164" s="330">
        <f t="shared" si="64"/>
        <v>-250000</v>
      </c>
      <c r="BS164" s="330">
        <f t="shared" si="64"/>
        <v>-250000</v>
      </c>
      <c r="BT164" s="330">
        <f t="shared" si="64"/>
        <v>-250000</v>
      </c>
      <c r="BU164" s="330">
        <f t="shared" si="64"/>
        <v>-250000</v>
      </c>
      <c r="BV164" s="330">
        <f t="shared" si="64"/>
        <v>-250000</v>
      </c>
      <c r="BW164" s="330">
        <f t="shared" si="64"/>
        <v>-250000</v>
      </c>
      <c r="BX164" s="330">
        <f t="shared" si="64"/>
        <v>-250000</v>
      </c>
    </row>
    <row r="165" spans="3:76">
      <c r="C165" s="317" t="s">
        <v>339</v>
      </c>
      <c r="D165" s="326">
        <f>IRR(E163:BX163)*12</f>
        <v>-3.8521362505953949E-2</v>
      </c>
      <c r="E165" s="226"/>
      <c r="F165" s="226"/>
      <c r="G165" s="226"/>
      <c r="H165" s="226"/>
      <c r="I165" s="226"/>
      <c r="J165" s="226"/>
      <c r="K165" s="226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6"/>
      <c r="AA165" s="226"/>
      <c r="AB165" s="226"/>
      <c r="AC165" s="226"/>
      <c r="AD165" s="226"/>
      <c r="AE165" s="226"/>
      <c r="AF165" s="226"/>
      <c r="AG165" s="226"/>
      <c r="AH165" s="226"/>
      <c r="AI165" s="226"/>
      <c r="AJ165" s="226"/>
      <c r="AK165" s="226"/>
      <c r="AL165" s="226"/>
      <c r="AM165" s="226"/>
      <c r="AN165" s="226"/>
      <c r="AO165" s="226"/>
      <c r="AP165" s="226"/>
      <c r="AQ165" s="226"/>
      <c r="AR165" s="226"/>
      <c r="AS165" s="226"/>
      <c r="AT165" s="226"/>
      <c r="AU165" s="226"/>
      <c r="AV165" s="226"/>
      <c r="AW165" s="226"/>
      <c r="AX165" s="226"/>
      <c r="AY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  <c r="BX165" s="226"/>
    </row>
    <row r="166" spans="3:76">
      <c r="C166" s="327" t="s">
        <v>347</v>
      </c>
      <c r="D166" s="328">
        <f>-MIN(M164:BL164)-D167</f>
        <v>8341205.5</v>
      </c>
      <c r="E166" s="226"/>
      <c r="F166" s="226"/>
      <c r="G166" s="226"/>
      <c r="H166" s="226"/>
      <c r="I166" s="226"/>
      <c r="J166" s="226"/>
      <c r="K166" s="226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6"/>
      <c r="AA166" s="226"/>
      <c r="AB166" s="226"/>
      <c r="AC166" s="226"/>
      <c r="AD166" s="226"/>
      <c r="AE166" s="226"/>
      <c r="AF166" s="226"/>
      <c r="AG166" s="226"/>
      <c r="AH166" s="226"/>
      <c r="AI166" s="226"/>
      <c r="AJ166" s="226"/>
      <c r="AK166" s="226"/>
      <c r="AL166" s="226"/>
      <c r="AM166" s="226"/>
      <c r="AN166" s="226"/>
      <c r="AO166" s="226"/>
      <c r="AP166" s="226"/>
      <c r="AQ166" s="226"/>
      <c r="AR166" s="226"/>
      <c r="AS166" s="226"/>
      <c r="AT166" s="226"/>
      <c r="AU166" s="226"/>
      <c r="AV166" s="226"/>
      <c r="AW166" s="226"/>
      <c r="AX166" s="226"/>
      <c r="AY166" s="226"/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  <c r="BX166" s="226"/>
    </row>
    <row r="167" spans="3:76">
      <c r="C167" s="327" t="s">
        <v>348</v>
      </c>
      <c r="D167" s="328">
        <f>-SUM(M162:BB162)</f>
        <v>0</v>
      </c>
      <c r="E167" s="226"/>
      <c r="F167" s="226"/>
      <c r="G167" s="226"/>
      <c r="H167" s="226"/>
      <c r="I167" s="226"/>
      <c r="J167" s="226"/>
      <c r="K167" s="226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6"/>
      <c r="AA167" s="226"/>
      <c r="AB167" s="226"/>
      <c r="AC167" s="226"/>
      <c r="AD167" s="226"/>
      <c r="AE167" s="226"/>
      <c r="AF167" s="226"/>
      <c r="AG167" s="226"/>
      <c r="AH167" s="226"/>
      <c r="AI167" s="226"/>
      <c r="AJ167" s="226"/>
      <c r="AK167" s="226"/>
      <c r="AL167" s="226"/>
      <c r="AM167" s="226"/>
      <c r="AN167" s="226"/>
      <c r="AO167" s="226"/>
      <c r="AP167" s="226"/>
      <c r="AQ167" s="226"/>
      <c r="AR167" s="226"/>
      <c r="AS167" s="226"/>
      <c r="AT167" s="226"/>
      <c r="AU167" s="226"/>
      <c r="AV167" s="226"/>
      <c r="AW167" s="226"/>
      <c r="AX167" s="226"/>
      <c r="AY167" s="226"/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  <c r="BX167" s="226"/>
    </row>
    <row r="168" spans="3:76">
      <c r="C168" s="317" t="s">
        <v>349</v>
      </c>
      <c r="D168" s="329">
        <f>D167+D166</f>
        <v>8341205.5</v>
      </c>
      <c r="E168" s="226"/>
      <c r="F168" s="226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6"/>
      <c r="AA168" s="226"/>
      <c r="AB168" s="226"/>
      <c r="AC168" s="226"/>
      <c r="AD168" s="226"/>
      <c r="AE168" s="226"/>
      <c r="AF168" s="226"/>
      <c r="AG168" s="226"/>
      <c r="AH168" s="226"/>
      <c r="AI168" s="226"/>
      <c r="AJ168" s="226"/>
      <c r="AK168" s="226"/>
      <c r="AL168" s="226"/>
      <c r="AM168" s="226"/>
      <c r="AN168" s="226"/>
      <c r="AO168" s="226"/>
      <c r="AP168" s="226"/>
      <c r="AQ168" s="226"/>
      <c r="AR168" s="226"/>
      <c r="AS168" s="226"/>
      <c r="AT168" s="226"/>
      <c r="AU168" s="226"/>
      <c r="AV168" s="226"/>
      <c r="AW168" s="226"/>
      <c r="AX168" s="226"/>
      <c r="AY168" s="226"/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  <c r="BX168" s="226"/>
    </row>
    <row r="169" spans="3:76">
      <c r="C169" s="317" t="s">
        <v>350</v>
      </c>
      <c r="D169" s="329">
        <f>T161</f>
        <v>2750000</v>
      </c>
      <c r="E169" s="226"/>
      <c r="F169" s="226"/>
      <c r="G169" s="226"/>
      <c r="H169" s="226"/>
      <c r="I169" s="226"/>
      <c r="J169" s="226"/>
      <c r="K169" s="226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6"/>
      <c r="AA169" s="226"/>
      <c r="AB169" s="226"/>
      <c r="AC169" s="226"/>
      <c r="AD169" s="226"/>
      <c r="AE169" s="226"/>
      <c r="AF169" s="226"/>
      <c r="AG169" s="226"/>
      <c r="AH169" s="226"/>
      <c r="AI169" s="226"/>
      <c r="AJ169" s="226"/>
      <c r="AK169" s="226"/>
      <c r="AL169" s="226"/>
      <c r="AM169" s="226"/>
      <c r="AN169" s="226"/>
      <c r="AO169" s="226"/>
      <c r="AP169" s="226"/>
      <c r="AQ169" s="226"/>
      <c r="AR169" s="226"/>
      <c r="AS169" s="226"/>
      <c r="AT169" s="226"/>
      <c r="AU169" s="226"/>
      <c r="AV169" s="226"/>
      <c r="AW169" s="226"/>
      <c r="AX169" s="226"/>
      <c r="AY169" s="226"/>
      <c r="AZ169" s="226"/>
      <c r="BA169" s="226"/>
      <c r="BB169" s="226"/>
      <c r="BC169" s="226"/>
      <c r="BD169" s="226"/>
      <c r="BE169" s="226"/>
      <c r="BF169" s="226"/>
      <c r="BG169" s="226"/>
      <c r="BH169" s="226"/>
      <c r="BI169" s="226"/>
      <c r="BJ169" s="226"/>
      <c r="BK169" s="226"/>
      <c r="BL169" s="226"/>
      <c r="BM169" s="226"/>
      <c r="BN169" s="226"/>
      <c r="BO169" s="226"/>
      <c r="BP169" s="226"/>
      <c r="BQ169" s="226"/>
      <c r="BR169" s="226"/>
      <c r="BS169" s="226"/>
      <c r="BT169" s="226"/>
      <c r="BU169" s="226"/>
      <c r="BV169" s="226"/>
      <c r="BW169" s="226"/>
      <c r="BX169" s="226"/>
    </row>
    <row r="170" spans="3:76">
      <c r="C170" s="317" t="s">
        <v>351</v>
      </c>
      <c r="D170" s="326">
        <f>(D169-D167)/D168</f>
        <v>0.32968855640830336</v>
      </c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6"/>
      <c r="AZ170" s="226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6"/>
      <c r="BM170" s="226"/>
      <c r="BN170" s="226"/>
      <c r="BO170" s="226"/>
      <c r="BP170" s="226"/>
      <c r="BQ170" s="226"/>
      <c r="BR170" s="226"/>
      <c r="BS170" s="226"/>
      <c r="BT170" s="226"/>
      <c r="BU170" s="226"/>
      <c r="BV170" s="226"/>
      <c r="BW170" s="226"/>
      <c r="BX170" s="226"/>
    </row>
    <row r="171" spans="3:76"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6"/>
      <c r="AZ171" s="226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6"/>
      <c r="BM171" s="226"/>
      <c r="BN171" s="226"/>
      <c r="BO171" s="226"/>
      <c r="BP171" s="226"/>
      <c r="BQ171" s="226"/>
      <c r="BR171" s="226"/>
      <c r="BS171" s="226"/>
      <c r="BT171" s="226"/>
      <c r="BU171" s="226"/>
      <c r="BV171" s="226"/>
      <c r="BW171" s="226"/>
      <c r="BX171" s="226"/>
    </row>
    <row r="172" spans="3:76"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6"/>
      <c r="BN172" s="226"/>
      <c r="BO172" s="226"/>
      <c r="BP172" s="226"/>
      <c r="BQ172" s="226"/>
      <c r="BR172" s="226"/>
      <c r="BS172" s="226"/>
      <c r="BT172" s="226"/>
      <c r="BU172" s="226"/>
      <c r="BV172" s="226"/>
      <c r="BW172" s="226"/>
      <c r="BX172" s="226"/>
    </row>
    <row r="173" spans="3:76"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6"/>
      <c r="BN173" s="226"/>
      <c r="BO173" s="226"/>
      <c r="BP173" s="226"/>
      <c r="BQ173" s="226"/>
      <c r="BR173" s="226"/>
      <c r="BS173" s="226"/>
      <c r="BT173" s="226"/>
      <c r="BU173" s="226"/>
      <c r="BV173" s="226"/>
      <c r="BW173" s="226"/>
      <c r="BX173" s="226"/>
    </row>
    <row r="174" spans="3:76">
      <c r="C174" s="314" t="s">
        <v>357</v>
      </c>
      <c r="D174" s="315"/>
      <c r="E174" s="316">
        <f t="shared" ref="E174:G174" si="65">-(E6+E90)</f>
        <v>0</v>
      </c>
      <c r="F174" s="316">
        <f t="shared" si="65"/>
        <v>0</v>
      </c>
      <c r="G174" s="316">
        <f t="shared" si="65"/>
        <v>0</v>
      </c>
      <c r="H174" s="315">
        <f>-5341205.5</f>
        <v>-5341205.5</v>
      </c>
      <c r="I174" s="315">
        <v>0</v>
      </c>
      <c r="J174" s="315">
        <v>0</v>
      </c>
      <c r="K174" s="315">
        <v>0</v>
      </c>
      <c r="L174" s="315">
        <v>0</v>
      </c>
      <c r="M174" s="315">
        <v>0</v>
      </c>
      <c r="N174" s="315">
        <v>0</v>
      </c>
      <c r="O174" s="315">
        <v>0</v>
      </c>
      <c r="P174" s="315">
        <v>0</v>
      </c>
      <c r="Q174" s="315">
        <v>0</v>
      </c>
      <c r="R174" s="315">
        <v>0</v>
      </c>
      <c r="S174" s="315">
        <v>0</v>
      </c>
      <c r="T174" s="315">
        <f>5341205.5</f>
        <v>5341205.5</v>
      </c>
      <c r="U174" s="316">
        <f t="shared" ref="U174:BX174" si="66">-(U6+U90)</f>
        <v>0</v>
      </c>
      <c r="V174" s="316">
        <f t="shared" si="66"/>
        <v>0</v>
      </c>
      <c r="W174" s="316">
        <f t="shared" si="66"/>
        <v>0</v>
      </c>
      <c r="X174" s="316">
        <f t="shared" si="66"/>
        <v>0</v>
      </c>
      <c r="Y174" s="316">
        <f t="shared" si="66"/>
        <v>0</v>
      </c>
      <c r="Z174" s="316">
        <f t="shared" si="66"/>
        <v>0</v>
      </c>
      <c r="AA174" s="316">
        <f t="shared" si="66"/>
        <v>0</v>
      </c>
      <c r="AB174" s="316">
        <f t="shared" si="66"/>
        <v>0</v>
      </c>
      <c r="AC174" s="316">
        <f t="shared" si="66"/>
        <v>0</v>
      </c>
      <c r="AD174" s="316">
        <f t="shared" si="66"/>
        <v>0</v>
      </c>
      <c r="AE174" s="316">
        <f t="shared" si="66"/>
        <v>0</v>
      </c>
      <c r="AF174" s="316">
        <f t="shared" si="66"/>
        <v>0</v>
      </c>
      <c r="AG174" s="316">
        <f t="shared" si="66"/>
        <v>0</v>
      </c>
      <c r="AH174" s="316">
        <f t="shared" si="66"/>
        <v>0</v>
      </c>
      <c r="AI174" s="316">
        <f t="shared" si="66"/>
        <v>0</v>
      </c>
      <c r="AJ174" s="316">
        <f t="shared" si="66"/>
        <v>0</v>
      </c>
      <c r="AK174" s="316">
        <f t="shared" si="66"/>
        <v>0</v>
      </c>
      <c r="AL174" s="316">
        <f t="shared" si="66"/>
        <v>0</v>
      </c>
      <c r="AM174" s="316">
        <f t="shared" si="66"/>
        <v>0</v>
      </c>
      <c r="AN174" s="316">
        <f t="shared" si="66"/>
        <v>0</v>
      </c>
      <c r="AO174" s="316">
        <f t="shared" si="66"/>
        <v>0</v>
      </c>
      <c r="AP174" s="316">
        <f t="shared" si="66"/>
        <v>0</v>
      </c>
      <c r="AQ174" s="316">
        <f t="shared" si="66"/>
        <v>0</v>
      </c>
      <c r="AR174" s="316">
        <f t="shared" si="66"/>
        <v>0</v>
      </c>
      <c r="AS174" s="316">
        <f t="shared" si="66"/>
        <v>0</v>
      </c>
      <c r="AT174" s="316">
        <f t="shared" si="66"/>
        <v>0</v>
      </c>
      <c r="AU174" s="316">
        <f t="shared" si="66"/>
        <v>0</v>
      </c>
      <c r="AV174" s="316">
        <f t="shared" si="66"/>
        <v>0</v>
      </c>
      <c r="AW174" s="316">
        <f t="shared" si="66"/>
        <v>0</v>
      </c>
      <c r="AX174" s="316">
        <f t="shared" si="66"/>
        <v>0</v>
      </c>
      <c r="AY174" s="316">
        <f t="shared" si="66"/>
        <v>0</v>
      </c>
      <c r="AZ174" s="316">
        <f t="shared" si="66"/>
        <v>0</v>
      </c>
      <c r="BA174" s="316">
        <f t="shared" si="66"/>
        <v>0</v>
      </c>
      <c r="BB174" s="316">
        <f t="shared" si="66"/>
        <v>0</v>
      </c>
      <c r="BC174" s="316">
        <f t="shared" si="66"/>
        <v>0</v>
      </c>
      <c r="BD174" s="316">
        <f t="shared" si="66"/>
        <v>0</v>
      </c>
      <c r="BE174" s="316">
        <f t="shared" si="66"/>
        <v>0</v>
      </c>
      <c r="BF174" s="316">
        <f t="shared" si="66"/>
        <v>0</v>
      </c>
      <c r="BG174" s="316">
        <f t="shared" si="66"/>
        <v>0</v>
      </c>
      <c r="BH174" s="316">
        <f t="shared" si="66"/>
        <v>0</v>
      </c>
      <c r="BI174" s="316">
        <f t="shared" si="66"/>
        <v>0</v>
      </c>
      <c r="BJ174" s="316">
        <f t="shared" si="66"/>
        <v>0</v>
      </c>
      <c r="BK174" s="316">
        <f t="shared" si="66"/>
        <v>0</v>
      </c>
      <c r="BL174" s="316">
        <f t="shared" si="66"/>
        <v>0</v>
      </c>
      <c r="BM174" s="316">
        <f t="shared" si="66"/>
        <v>0</v>
      </c>
      <c r="BN174" s="316">
        <f t="shared" si="66"/>
        <v>0</v>
      </c>
      <c r="BO174" s="316">
        <f t="shared" si="66"/>
        <v>0</v>
      </c>
      <c r="BP174" s="316">
        <f t="shared" si="66"/>
        <v>0</v>
      </c>
      <c r="BQ174" s="316">
        <f t="shared" si="66"/>
        <v>0</v>
      </c>
      <c r="BR174" s="316">
        <f t="shared" si="66"/>
        <v>0</v>
      </c>
      <c r="BS174" s="316">
        <f t="shared" si="66"/>
        <v>0</v>
      </c>
      <c r="BT174" s="316">
        <f t="shared" si="66"/>
        <v>0</v>
      </c>
      <c r="BU174" s="316">
        <f t="shared" si="66"/>
        <v>0</v>
      </c>
      <c r="BV174" s="316">
        <f t="shared" si="66"/>
        <v>0</v>
      </c>
      <c r="BW174" s="316">
        <f t="shared" si="66"/>
        <v>0</v>
      </c>
      <c r="BX174" s="316">
        <f t="shared" si="66"/>
        <v>0</v>
      </c>
    </row>
    <row r="175" spans="3:76">
      <c r="C175" s="314" t="s">
        <v>353</v>
      </c>
      <c r="D175" s="323"/>
      <c r="E175" s="315"/>
      <c r="F175" s="315"/>
      <c r="G175" s="315"/>
      <c r="H175" s="315"/>
      <c r="I175" s="315"/>
      <c r="J175" s="315"/>
      <c r="K175" s="315"/>
      <c r="L175" s="315"/>
      <c r="M175" s="315"/>
      <c r="N175" s="315"/>
      <c r="O175" s="315"/>
      <c r="P175" s="315"/>
      <c r="Q175" s="315"/>
      <c r="R175" s="315"/>
      <c r="S175" s="315"/>
      <c r="T175" s="315"/>
      <c r="U175" s="315"/>
      <c r="V175" s="315"/>
      <c r="W175" s="315"/>
      <c r="X175" s="315"/>
      <c r="Y175" s="315"/>
      <c r="Z175" s="315"/>
      <c r="AA175" s="315"/>
      <c r="AB175" s="315"/>
      <c r="AC175" s="315"/>
      <c r="AD175" s="315"/>
      <c r="AE175" s="315"/>
      <c r="AF175" s="315"/>
      <c r="AG175" s="315"/>
      <c r="AH175" s="315"/>
      <c r="AI175" s="315"/>
      <c r="AJ175" s="315"/>
      <c r="AK175" s="315"/>
      <c r="AL175" s="315"/>
      <c r="AM175" s="315"/>
      <c r="AN175" s="315"/>
      <c r="AO175" s="315"/>
      <c r="AP175" s="315"/>
      <c r="AQ175" s="315"/>
      <c r="AR175" s="315"/>
      <c r="AS175" s="315"/>
      <c r="AT175" s="315"/>
      <c r="AU175" s="315"/>
      <c r="AV175" s="315"/>
      <c r="AW175" s="315"/>
      <c r="AX175" s="315"/>
      <c r="AY175" s="315"/>
      <c r="AZ175" s="315"/>
      <c r="BA175" s="315"/>
      <c r="BB175" s="315"/>
      <c r="BC175" s="316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</row>
    <row r="176" spans="3:76">
      <c r="C176" s="314" t="s">
        <v>343</v>
      </c>
      <c r="D176" s="323"/>
      <c r="E176" s="315">
        <f t="shared" ref="E176:G176" si="67">-E55</f>
        <v>0</v>
      </c>
      <c r="F176" s="315">
        <f t="shared" si="67"/>
        <v>0</v>
      </c>
      <c r="G176" s="315">
        <f t="shared" si="67"/>
        <v>0</v>
      </c>
      <c r="H176" s="315">
        <f t="shared" ref="H176:T176" si="68">-H70</f>
        <v>0</v>
      </c>
      <c r="I176" s="315">
        <f t="shared" si="68"/>
        <v>0</v>
      </c>
      <c r="J176" s="315">
        <f t="shared" si="68"/>
        <v>0</v>
      </c>
      <c r="K176" s="315">
        <f t="shared" si="68"/>
        <v>0</v>
      </c>
      <c r="L176" s="315">
        <f t="shared" si="68"/>
        <v>0</v>
      </c>
      <c r="M176" s="315">
        <f t="shared" si="68"/>
        <v>0</v>
      </c>
      <c r="N176" s="315">
        <f t="shared" si="68"/>
        <v>0</v>
      </c>
      <c r="O176" s="315">
        <f t="shared" si="68"/>
        <v>0</v>
      </c>
      <c r="P176" s="315">
        <f t="shared" si="68"/>
        <v>0</v>
      </c>
      <c r="Q176" s="315">
        <f t="shared" si="68"/>
        <v>0</v>
      </c>
      <c r="R176" s="315">
        <f t="shared" si="68"/>
        <v>0</v>
      </c>
      <c r="S176" s="315">
        <f t="shared" si="68"/>
        <v>0</v>
      </c>
      <c r="T176" s="315">
        <f t="shared" si="68"/>
        <v>0</v>
      </c>
      <c r="U176" s="315">
        <f t="shared" ref="U176:BX176" si="69">-U55</f>
        <v>0</v>
      </c>
      <c r="V176" s="315">
        <f t="shared" si="69"/>
        <v>0</v>
      </c>
      <c r="W176" s="315">
        <f t="shared" si="69"/>
        <v>0</v>
      </c>
      <c r="X176" s="315">
        <f t="shared" si="69"/>
        <v>0</v>
      </c>
      <c r="Y176" s="315">
        <f t="shared" si="69"/>
        <v>0</v>
      </c>
      <c r="Z176" s="315">
        <f t="shared" si="69"/>
        <v>0</v>
      </c>
      <c r="AA176" s="315">
        <f t="shared" si="69"/>
        <v>0</v>
      </c>
      <c r="AB176" s="315">
        <f t="shared" si="69"/>
        <v>0</v>
      </c>
      <c r="AC176" s="315">
        <f t="shared" si="69"/>
        <v>0</v>
      </c>
      <c r="AD176" s="315">
        <f t="shared" si="69"/>
        <v>0</v>
      </c>
      <c r="AE176" s="315">
        <f t="shared" si="69"/>
        <v>0</v>
      </c>
      <c r="AF176" s="315">
        <f t="shared" si="69"/>
        <v>0</v>
      </c>
      <c r="AG176" s="315">
        <f t="shared" si="69"/>
        <v>0</v>
      </c>
      <c r="AH176" s="315">
        <f t="shared" si="69"/>
        <v>0</v>
      </c>
      <c r="AI176" s="315">
        <f t="shared" si="69"/>
        <v>0</v>
      </c>
      <c r="AJ176" s="315">
        <f t="shared" si="69"/>
        <v>0</v>
      </c>
      <c r="AK176" s="315">
        <f t="shared" si="69"/>
        <v>0</v>
      </c>
      <c r="AL176" s="315">
        <f t="shared" si="69"/>
        <v>0</v>
      </c>
      <c r="AM176" s="315">
        <f t="shared" si="69"/>
        <v>0</v>
      </c>
      <c r="AN176" s="315">
        <f t="shared" si="69"/>
        <v>0</v>
      </c>
      <c r="AO176" s="315">
        <f t="shared" si="69"/>
        <v>0</v>
      </c>
      <c r="AP176" s="315">
        <f t="shared" si="69"/>
        <v>0</v>
      </c>
      <c r="AQ176" s="315">
        <f t="shared" si="69"/>
        <v>0</v>
      </c>
      <c r="AR176" s="315">
        <f t="shared" si="69"/>
        <v>0</v>
      </c>
      <c r="AS176" s="315">
        <f t="shared" si="69"/>
        <v>0</v>
      </c>
      <c r="AT176" s="315">
        <f t="shared" si="69"/>
        <v>0</v>
      </c>
      <c r="AU176" s="315">
        <f t="shared" si="69"/>
        <v>0</v>
      </c>
      <c r="AV176" s="315">
        <f t="shared" si="69"/>
        <v>0</v>
      </c>
      <c r="AW176" s="315">
        <f t="shared" si="69"/>
        <v>0</v>
      </c>
      <c r="AX176" s="315">
        <f t="shared" si="69"/>
        <v>0</v>
      </c>
      <c r="AY176" s="315">
        <f t="shared" si="69"/>
        <v>0</v>
      </c>
      <c r="AZ176" s="315">
        <f t="shared" si="69"/>
        <v>0</v>
      </c>
      <c r="BA176" s="315">
        <f t="shared" si="69"/>
        <v>0</v>
      </c>
      <c r="BB176" s="315">
        <f t="shared" si="69"/>
        <v>0</v>
      </c>
      <c r="BC176" s="315">
        <f t="shared" si="69"/>
        <v>0</v>
      </c>
      <c r="BD176" s="315">
        <f t="shared" si="69"/>
        <v>0</v>
      </c>
      <c r="BE176" s="315">
        <f t="shared" si="69"/>
        <v>0</v>
      </c>
      <c r="BF176" s="315">
        <f t="shared" si="69"/>
        <v>0</v>
      </c>
      <c r="BG176" s="315">
        <f t="shared" si="69"/>
        <v>0</v>
      </c>
      <c r="BH176" s="315">
        <f t="shared" si="69"/>
        <v>0</v>
      </c>
      <c r="BI176" s="315">
        <f t="shared" si="69"/>
        <v>0</v>
      </c>
      <c r="BJ176" s="315">
        <f t="shared" si="69"/>
        <v>0</v>
      </c>
      <c r="BK176" s="315">
        <f t="shared" si="69"/>
        <v>0</v>
      </c>
      <c r="BL176" s="315">
        <f t="shared" si="69"/>
        <v>0</v>
      </c>
      <c r="BM176" s="315">
        <f t="shared" si="69"/>
        <v>0</v>
      </c>
      <c r="BN176" s="315">
        <f t="shared" si="69"/>
        <v>0</v>
      </c>
      <c r="BO176" s="315">
        <f t="shared" si="69"/>
        <v>0</v>
      </c>
      <c r="BP176" s="315">
        <f t="shared" si="69"/>
        <v>0</v>
      </c>
      <c r="BQ176" s="315">
        <f t="shared" si="69"/>
        <v>0</v>
      </c>
      <c r="BR176" s="315">
        <f t="shared" si="69"/>
        <v>0</v>
      </c>
      <c r="BS176" s="315">
        <f t="shared" si="69"/>
        <v>0</v>
      </c>
      <c r="BT176" s="315">
        <f t="shared" si="69"/>
        <v>0</v>
      </c>
      <c r="BU176" s="315">
        <f t="shared" si="69"/>
        <v>0</v>
      </c>
      <c r="BV176" s="315">
        <f t="shared" si="69"/>
        <v>0</v>
      </c>
      <c r="BW176" s="315">
        <f t="shared" si="69"/>
        <v>0</v>
      </c>
      <c r="BX176" s="315">
        <f t="shared" si="69"/>
        <v>0</v>
      </c>
    </row>
    <row r="177" spans="3:76">
      <c r="C177" s="314" t="s">
        <v>344</v>
      </c>
      <c r="D177" s="323"/>
      <c r="E177" s="315"/>
      <c r="F177" s="315"/>
      <c r="G177" s="315"/>
      <c r="H177" s="315"/>
      <c r="I177" s="315"/>
      <c r="J177" s="315"/>
      <c r="K177" s="315"/>
      <c r="L177" s="315"/>
      <c r="M177" s="315"/>
      <c r="N177" s="315"/>
      <c r="O177" s="315"/>
      <c r="P177" s="315"/>
      <c r="Q177" s="315"/>
      <c r="R177" s="315"/>
      <c r="S177" s="315"/>
      <c r="T177" s="315">
        <v>2750000</v>
      </c>
      <c r="U177" s="315"/>
      <c r="V177" s="315"/>
      <c r="W177" s="315"/>
      <c r="X177" s="315"/>
      <c r="Y177" s="315"/>
      <c r="Z177" s="315"/>
      <c r="AA177" s="315"/>
      <c r="AB177" s="315"/>
      <c r="AC177" s="315"/>
      <c r="AD177" s="315"/>
      <c r="AE177" s="315"/>
      <c r="AF177" s="315"/>
      <c r="AG177" s="315"/>
      <c r="AH177" s="315"/>
      <c r="AI177" s="315"/>
      <c r="AJ177" s="315"/>
      <c r="AK177" s="315"/>
      <c r="AL177" s="315"/>
      <c r="AM177" s="315"/>
      <c r="AN177" s="315"/>
      <c r="AO177" s="315"/>
      <c r="AP177" s="315"/>
      <c r="AQ177" s="315"/>
      <c r="AR177" s="315"/>
      <c r="AS177" s="315"/>
      <c r="AT177" s="315"/>
      <c r="AU177" s="315"/>
      <c r="AV177" s="315"/>
      <c r="AW177" s="315"/>
      <c r="AX177" s="315"/>
      <c r="AY177" s="315"/>
      <c r="AZ177" s="315"/>
      <c r="BA177" s="315"/>
      <c r="BB177" s="315"/>
      <c r="BC177" s="316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>
        <f>IF(D101&gt;0.25,(BX96-BX104)*D178,BX96*D178)</f>
        <v>0</v>
      </c>
    </row>
    <row r="178" spans="3:76">
      <c r="C178" s="317" t="s">
        <v>345</v>
      </c>
      <c r="D178" s="323">
        <v>0.2</v>
      </c>
      <c r="E178" s="315"/>
      <c r="F178" s="315"/>
      <c r="G178" s="315"/>
      <c r="H178" s="246"/>
      <c r="I178" s="246"/>
      <c r="J178" s="246"/>
      <c r="K178" s="246"/>
      <c r="L178" s="246"/>
      <c r="M178" s="246"/>
      <c r="N178" s="246"/>
      <c r="O178" s="246"/>
      <c r="P178" s="246"/>
      <c r="Q178" s="246"/>
      <c r="R178" s="246"/>
      <c r="S178" s="246"/>
      <c r="T178" s="246"/>
      <c r="U178" s="315"/>
      <c r="V178" s="315"/>
      <c r="W178" s="315"/>
      <c r="X178" s="315"/>
      <c r="Y178" s="315"/>
      <c r="Z178" s="315"/>
      <c r="AA178" s="315"/>
      <c r="AB178" s="315"/>
      <c r="AC178" s="315"/>
      <c r="AD178" s="315"/>
      <c r="AE178" s="315"/>
      <c r="AF178" s="315"/>
      <c r="AG178" s="315"/>
      <c r="AH178" s="315"/>
      <c r="AI178" s="315"/>
      <c r="AJ178" s="315"/>
      <c r="AK178" s="315"/>
      <c r="AL178" s="315"/>
      <c r="AM178" s="315"/>
      <c r="AN178" s="315"/>
      <c r="AO178" s="315"/>
      <c r="AP178" s="315"/>
      <c r="AQ178" s="315"/>
      <c r="AR178" s="315"/>
      <c r="AS178" s="315"/>
      <c r="AT178" s="315"/>
      <c r="AU178" s="315"/>
      <c r="AV178" s="315"/>
      <c r="AW178" s="315"/>
      <c r="AX178" s="315"/>
      <c r="AY178" s="315"/>
      <c r="AZ178" s="315"/>
      <c r="BA178" s="315"/>
      <c r="BB178" s="315"/>
      <c r="BC178" s="316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</row>
    <row r="179" spans="3:76">
      <c r="C179" s="314" t="s">
        <v>346</v>
      </c>
      <c r="D179" s="315"/>
      <c r="E179" s="325">
        <f t="shared" ref="E179:BX179" si="70">E174+E175+E176+E177+E178</f>
        <v>0</v>
      </c>
      <c r="F179" s="325">
        <f t="shared" si="70"/>
        <v>0</v>
      </c>
      <c r="G179" s="325">
        <f t="shared" si="70"/>
        <v>0</v>
      </c>
      <c r="H179" s="325">
        <f t="shared" si="70"/>
        <v>-5341205.5</v>
      </c>
      <c r="I179" s="325">
        <f t="shared" si="70"/>
        <v>0</v>
      </c>
      <c r="J179" s="325">
        <f t="shared" si="70"/>
        <v>0</v>
      </c>
      <c r="K179" s="325">
        <f t="shared" si="70"/>
        <v>0</v>
      </c>
      <c r="L179" s="325">
        <f t="shared" si="70"/>
        <v>0</v>
      </c>
      <c r="M179" s="325">
        <f t="shared" si="70"/>
        <v>0</v>
      </c>
      <c r="N179" s="325">
        <f t="shared" si="70"/>
        <v>0</v>
      </c>
      <c r="O179" s="325">
        <f t="shared" si="70"/>
        <v>0</v>
      </c>
      <c r="P179" s="325">
        <f t="shared" si="70"/>
        <v>0</v>
      </c>
      <c r="Q179" s="325">
        <f t="shared" si="70"/>
        <v>0</v>
      </c>
      <c r="R179" s="325">
        <f t="shared" si="70"/>
        <v>0</v>
      </c>
      <c r="S179" s="325">
        <f t="shared" si="70"/>
        <v>0</v>
      </c>
      <c r="T179" s="325">
        <f t="shared" si="70"/>
        <v>8091205.5</v>
      </c>
      <c r="U179" s="325">
        <f t="shared" si="70"/>
        <v>0</v>
      </c>
      <c r="V179" s="325">
        <f t="shared" si="70"/>
        <v>0</v>
      </c>
      <c r="W179" s="325">
        <f t="shared" si="70"/>
        <v>0</v>
      </c>
      <c r="X179" s="325">
        <f t="shared" si="70"/>
        <v>0</v>
      </c>
      <c r="Y179" s="325">
        <f t="shared" si="70"/>
        <v>0</v>
      </c>
      <c r="Z179" s="325">
        <f t="shared" si="70"/>
        <v>0</v>
      </c>
      <c r="AA179" s="325">
        <f t="shared" si="70"/>
        <v>0</v>
      </c>
      <c r="AB179" s="325">
        <f t="shared" si="70"/>
        <v>0</v>
      </c>
      <c r="AC179" s="325">
        <f t="shared" si="70"/>
        <v>0</v>
      </c>
      <c r="AD179" s="325">
        <f t="shared" si="70"/>
        <v>0</v>
      </c>
      <c r="AE179" s="325">
        <f t="shared" si="70"/>
        <v>0</v>
      </c>
      <c r="AF179" s="325">
        <f t="shared" si="70"/>
        <v>0</v>
      </c>
      <c r="AG179" s="325">
        <f t="shared" si="70"/>
        <v>0</v>
      </c>
      <c r="AH179" s="325">
        <f t="shared" si="70"/>
        <v>0</v>
      </c>
      <c r="AI179" s="325">
        <f t="shared" si="70"/>
        <v>0</v>
      </c>
      <c r="AJ179" s="325">
        <f t="shared" si="70"/>
        <v>0</v>
      </c>
      <c r="AK179" s="325">
        <f t="shared" si="70"/>
        <v>0</v>
      </c>
      <c r="AL179" s="325">
        <f t="shared" si="70"/>
        <v>0</v>
      </c>
      <c r="AM179" s="325">
        <f t="shared" si="70"/>
        <v>0</v>
      </c>
      <c r="AN179" s="325">
        <f t="shared" si="70"/>
        <v>0</v>
      </c>
      <c r="AO179" s="325">
        <f t="shared" si="70"/>
        <v>0</v>
      </c>
      <c r="AP179" s="325">
        <f t="shared" si="70"/>
        <v>0</v>
      </c>
      <c r="AQ179" s="325">
        <f t="shared" si="70"/>
        <v>0</v>
      </c>
      <c r="AR179" s="325">
        <f t="shared" si="70"/>
        <v>0</v>
      </c>
      <c r="AS179" s="325">
        <f t="shared" si="70"/>
        <v>0</v>
      </c>
      <c r="AT179" s="325">
        <f t="shared" si="70"/>
        <v>0</v>
      </c>
      <c r="AU179" s="325">
        <f t="shared" si="70"/>
        <v>0</v>
      </c>
      <c r="AV179" s="325">
        <f t="shared" si="70"/>
        <v>0</v>
      </c>
      <c r="AW179" s="325">
        <f t="shared" si="70"/>
        <v>0</v>
      </c>
      <c r="AX179" s="325">
        <f t="shared" si="70"/>
        <v>0</v>
      </c>
      <c r="AY179" s="325">
        <f t="shared" si="70"/>
        <v>0</v>
      </c>
      <c r="AZ179" s="325">
        <f t="shared" si="70"/>
        <v>0</v>
      </c>
      <c r="BA179" s="325">
        <f t="shared" si="70"/>
        <v>0</v>
      </c>
      <c r="BB179" s="325">
        <f t="shared" si="70"/>
        <v>0</v>
      </c>
      <c r="BC179" s="325">
        <f t="shared" si="70"/>
        <v>0</v>
      </c>
      <c r="BD179" s="325">
        <f t="shared" si="70"/>
        <v>0</v>
      </c>
      <c r="BE179" s="325">
        <f t="shared" si="70"/>
        <v>0</v>
      </c>
      <c r="BF179" s="325">
        <f t="shared" si="70"/>
        <v>0</v>
      </c>
      <c r="BG179" s="325">
        <f t="shared" si="70"/>
        <v>0</v>
      </c>
      <c r="BH179" s="325">
        <f t="shared" si="70"/>
        <v>0</v>
      </c>
      <c r="BI179" s="325">
        <f t="shared" si="70"/>
        <v>0</v>
      </c>
      <c r="BJ179" s="325">
        <f t="shared" si="70"/>
        <v>0</v>
      </c>
      <c r="BK179" s="325">
        <f t="shared" si="70"/>
        <v>0</v>
      </c>
      <c r="BL179" s="325">
        <f t="shared" si="70"/>
        <v>0</v>
      </c>
      <c r="BM179" s="325">
        <f t="shared" si="70"/>
        <v>0</v>
      </c>
      <c r="BN179" s="325">
        <f t="shared" si="70"/>
        <v>0</v>
      </c>
      <c r="BO179" s="325">
        <f t="shared" si="70"/>
        <v>0</v>
      </c>
      <c r="BP179" s="325">
        <f t="shared" si="70"/>
        <v>0</v>
      </c>
      <c r="BQ179" s="325">
        <f t="shared" si="70"/>
        <v>0</v>
      </c>
      <c r="BR179" s="325">
        <f t="shared" si="70"/>
        <v>0</v>
      </c>
      <c r="BS179" s="325">
        <f t="shared" si="70"/>
        <v>0</v>
      </c>
      <c r="BT179" s="325">
        <f t="shared" si="70"/>
        <v>0</v>
      </c>
      <c r="BU179" s="325">
        <f t="shared" si="70"/>
        <v>0</v>
      </c>
      <c r="BV179" s="325">
        <f t="shared" si="70"/>
        <v>0</v>
      </c>
      <c r="BW179" s="325">
        <f t="shared" si="70"/>
        <v>0</v>
      </c>
      <c r="BX179" s="325">
        <f t="shared" si="70"/>
        <v>0</v>
      </c>
    </row>
    <row r="180" spans="3:76">
      <c r="C180" s="318"/>
      <c r="D180" s="326" t="s">
        <v>354</v>
      </c>
      <c r="E180" s="330">
        <f>E179</f>
        <v>0</v>
      </c>
      <c r="F180" s="330">
        <f t="shared" ref="F180:BX180" si="71">E180+F179</f>
        <v>0</v>
      </c>
      <c r="G180" s="330">
        <f t="shared" si="71"/>
        <v>0</v>
      </c>
      <c r="H180" s="330">
        <f t="shared" si="71"/>
        <v>-5341205.5</v>
      </c>
      <c r="I180" s="330">
        <f t="shared" si="71"/>
        <v>-5341205.5</v>
      </c>
      <c r="J180" s="330">
        <f t="shared" si="71"/>
        <v>-5341205.5</v>
      </c>
      <c r="K180" s="330">
        <f t="shared" si="71"/>
        <v>-5341205.5</v>
      </c>
      <c r="L180" s="330">
        <f t="shared" si="71"/>
        <v>-5341205.5</v>
      </c>
      <c r="M180" s="330">
        <f t="shared" si="71"/>
        <v>-5341205.5</v>
      </c>
      <c r="N180" s="330">
        <f t="shared" si="71"/>
        <v>-5341205.5</v>
      </c>
      <c r="O180" s="330">
        <f t="shared" si="71"/>
        <v>-5341205.5</v>
      </c>
      <c r="P180" s="330">
        <f t="shared" si="71"/>
        <v>-5341205.5</v>
      </c>
      <c r="Q180" s="330">
        <f t="shared" si="71"/>
        <v>-5341205.5</v>
      </c>
      <c r="R180" s="330">
        <f t="shared" si="71"/>
        <v>-5341205.5</v>
      </c>
      <c r="S180" s="330">
        <f t="shared" si="71"/>
        <v>-5341205.5</v>
      </c>
      <c r="T180" s="330">
        <f t="shared" si="71"/>
        <v>2750000</v>
      </c>
      <c r="U180" s="330">
        <f t="shared" si="71"/>
        <v>2750000</v>
      </c>
      <c r="V180" s="331">
        <f t="shared" si="71"/>
        <v>2750000</v>
      </c>
      <c r="W180" s="331">
        <f t="shared" si="71"/>
        <v>2750000</v>
      </c>
      <c r="X180" s="331">
        <f t="shared" si="71"/>
        <v>2750000</v>
      </c>
      <c r="Y180" s="331">
        <f t="shared" si="71"/>
        <v>2750000</v>
      </c>
      <c r="Z180" s="331">
        <f t="shared" si="71"/>
        <v>2750000</v>
      </c>
      <c r="AA180" s="331">
        <f t="shared" si="71"/>
        <v>2750000</v>
      </c>
      <c r="AB180" s="331">
        <f t="shared" si="71"/>
        <v>2750000</v>
      </c>
      <c r="AC180" s="331">
        <f t="shared" si="71"/>
        <v>2750000</v>
      </c>
      <c r="AD180" s="331">
        <f t="shared" si="71"/>
        <v>2750000</v>
      </c>
      <c r="AE180" s="331">
        <f t="shared" si="71"/>
        <v>2750000</v>
      </c>
      <c r="AF180" s="331">
        <f t="shared" si="71"/>
        <v>2750000</v>
      </c>
      <c r="AG180" s="331">
        <f t="shared" si="71"/>
        <v>2750000</v>
      </c>
      <c r="AH180" s="331">
        <f t="shared" si="71"/>
        <v>2750000</v>
      </c>
      <c r="AI180" s="331">
        <f t="shared" si="71"/>
        <v>2750000</v>
      </c>
      <c r="AJ180" s="331">
        <f t="shared" si="71"/>
        <v>2750000</v>
      </c>
      <c r="AK180" s="331">
        <f t="shared" si="71"/>
        <v>2750000</v>
      </c>
      <c r="AL180" s="331">
        <f t="shared" si="71"/>
        <v>2750000</v>
      </c>
      <c r="AM180" s="331">
        <f t="shared" si="71"/>
        <v>2750000</v>
      </c>
      <c r="AN180" s="331">
        <f t="shared" si="71"/>
        <v>2750000</v>
      </c>
      <c r="AO180" s="331">
        <f t="shared" si="71"/>
        <v>2750000</v>
      </c>
      <c r="AP180" s="331">
        <f t="shared" si="71"/>
        <v>2750000</v>
      </c>
      <c r="AQ180" s="331">
        <f t="shared" si="71"/>
        <v>2750000</v>
      </c>
      <c r="AR180" s="331">
        <f t="shared" si="71"/>
        <v>2750000</v>
      </c>
      <c r="AS180" s="331">
        <f t="shared" si="71"/>
        <v>2750000</v>
      </c>
      <c r="AT180" s="331">
        <f t="shared" si="71"/>
        <v>2750000</v>
      </c>
      <c r="AU180" s="331">
        <f t="shared" si="71"/>
        <v>2750000</v>
      </c>
      <c r="AV180" s="331">
        <f t="shared" si="71"/>
        <v>2750000</v>
      </c>
      <c r="AW180" s="331">
        <f t="shared" si="71"/>
        <v>2750000</v>
      </c>
      <c r="AX180" s="331">
        <f t="shared" si="71"/>
        <v>2750000</v>
      </c>
      <c r="AY180" s="331">
        <f t="shared" si="71"/>
        <v>2750000</v>
      </c>
      <c r="AZ180" s="331">
        <f t="shared" si="71"/>
        <v>2750000</v>
      </c>
      <c r="BA180" s="331">
        <f t="shared" si="71"/>
        <v>2750000</v>
      </c>
      <c r="BB180" s="331">
        <f t="shared" si="71"/>
        <v>2750000</v>
      </c>
      <c r="BC180" s="330">
        <f t="shared" si="71"/>
        <v>2750000</v>
      </c>
      <c r="BD180" s="330">
        <f t="shared" si="71"/>
        <v>2750000</v>
      </c>
      <c r="BE180" s="330">
        <f t="shared" si="71"/>
        <v>2750000</v>
      </c>
      <c r="BF180" s="330">
        <f t="shared" si="71"/>
        <v>2750000</v>
      </c>
      <c r="BG180" s="330">
        <f t="shared" si="71"/>
        <v>2750000</v>
      </c>
      <c r="BH180" s="330">
        <f t="shared" si="71"/>
        <v>2750000</v>
      </c>
      <c r="BI180" s="330">
        <f t="shared" si="71"/>
        <v>2750000</v>
      </c>
      <c r="BJ180" s="330">
        <f t="shared" si="71"/>
        <v>2750000</v>
      </c>
      <c r="BK180" s="330">
        <f t="shared" si="71"/>
        <v>2750000</v>
      </c>
      <c r="BL180" s="330">
        <f t="shared" si="71"/>
        <v>2750000</v>
      </c>
      <c r="BM180" s="330">
        <f t="shared" si="71"/>
        <v>2750000</v>
      </c>
      <c r="BN180" s="330">
        <f t="shared" si="71"/>
        <v>2750000</v>
      </c>
      <c r="BO180" s="330">
        <f t="shared" si="71"/>
        <v>2750000</v>
      </c>
      <c r="BP180" s="330">
        <f t="shared" si="71"/>
        <v>2750000</v>
      </c>
      <c r="BQ180" s="330">
        <f t="shared" si="71"/>
        <v>2750000</v>
      </c>
      <c r="BR180" s="330">
        <f t="shared" si="71"/>
        <v>2750000</v>
      </c>
      <c r="BS180" s="330">
        <f t="shared" si="71"/>
        <v>2750000</v>
      </c>
      <c r="BT180" s="330">
        <f t="shared" si="71"/>
        <v>2750000</v>
      </c>
      <c r="BU180" s="330">
        <f t="shared" si="71"/>
        <v>2750000</v>
      </c>
      <c r="BV180" s="330">
        <f t="shared" si="71"/>
        <v>2750000</v>
      </c>
      <c r="BW180" s="330">
        <f t="shared" si="71"/>
        <v>2750000</v>
      </c>
      <c r="BX180" s="330">
        <f t="shared" si="71"/>
        <v>2750000</v>
      </c>
    </row>
    <row r="181" spans="3:76">
      <c r="C181" s="317" t="s">
        <v>339</v>
      </c>
      <c r="D181" s="326">
        <f>IRR(E179:BX179)*12</f>
        <v>0.42259732866030397</v>
      </c>
      <c r="E181" s="226"/>
      <c r="F181" s="226"/>
      <c r="G181" s="226"/>
      <c r="H181" s="226"/>
      <c r="I181" s="226"/>
      <c r="J181" s="226"/>
      <c r="K181" s="226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6"/>
      <c r="AA181" s="226"/>
      <c r="AB181" s="226"/>
      <c r="AC181" s="226"/>
      <c r="AD181" s="226"/>
      <c r="AE181" s="226"/>
      <c r="AF181" s="226"/>
      <c r="AG181" s="226"/>
      <c r="AH181" s="226"/>
      <c r="AI181" s="226"/>
      <c r="AJ181" s="226"/>
      <c r="AK181" s="226"/>
      <c r="AL181" s="226"/>
      <c r="AM181" s="226"/>
      <c r="AN181" s="226"/>
      <c r="AO181" s="226"/>
      <c r="AP181" s="226"/>
      <c r="AQ181" s="226"/>
      <c r="AR181" s="226"/>
      <c r="AS181" s="226"/>
      <c r="AT181" s="226"/>
      <c r="AU181" s="226"/>
      <c r="AV181" s="226"/>
      <c r="AW181" s="226"/>
      <c r="AX181" s="226"/>
      <c r="AY181" s="226"/>
      <c r="AZ181" s="226"/>
      <c r="BA181" s="226"/>
      <c r="BB181" s="226"/>
      <c r="BC181" s="226"/>
      <c r="BD181" s="226"/>
      <c r="BE181" s="226"/>
      <c r="BF181" s="226"/>
      <c r="BG181" s="226"/>
      <c r="BH181" s="226"/>
      <c r="BI181" s="226"/>
      <c r="BJ181" s="226"/>
      <c r="BK181" s="226"/>
      <c r="BL181" s="226"/>
      <c r="BM181" s="226"/>
      <c r="BN181" s="226"/>
      <c r="BO181" s="226"/>
      <c r="BP181" s="226"/>
      <c r="BQ181" s="226"/>
      <c r="BR181" s="226"/>
      <c r="BS181" s="226"/>
      <c r="BT181" s="226"/>
      <c r="BU181" s="226"/>
      <c r="BV181" s="226"/>
      <c r="BW181" s="226"/>
      <c r="BX181" s="226"/>
    </row>
    <row r="182" spans="3:76">
      <c r="C182" s="327" t="s">
        <v>347</v>
      </c>
      <c r="D182" s="328">
        <f>-MIN(M180:BL180)-D183</f>
        <v>5341205.5</v>
      </c>
      <c r="E182" s="226"/>
      <c r="F182" s="226"/>
      <c r="G182" s="226"/>
      <c r="H182" s="226"/>
      <c r="I182" s="226"/>
      <c r="J182" s="226"/>
      <c r="K182" s="226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6"/>
      <c r="AA182" s="226"/>
      <c r="AB182" s="226"/>
      <c r="AC182" s="226"/>
      <c r="AD182" s="226"/>
      <c r="AE182" s="226"/>
      <c r="AF182" s="226"/>
      <c r="AG182" s="226"/>
      <c r="AH182" s="226"/>
      <c r="AI182" s="226"/>
      <c r="AJ182" s="226"/>
      <c r="AK182" s="226"/>
      <c r="AL182" s="226"/>
      <c r="AM182" s="226"/>
      <c r="AN182" s="226"/>
      <c r="AO182" s="226"/>
      <c r="AP182" s="226"/>
      <c r="AQ182" s="226"/>
      <c r="AR182" s="226"/>
      <c r="AS182" s="226"/>
      <c r="AT182" s="226"/>
      <c r="AU182" s="226"/>
      <c r="AV182" s="226"/>
      <c r="AW182" s="226"/>
      <c r="AX182" s="226"/>
      <c r="AY182" s="226"/>
      <c r="AZ182" s="226"/>
      <c r="BA182" s="226"/>
      <c r="BB182" s="226"/>
      <c r="BC182" s="226"/>
      <c r="BD182" s="226"/>
      <c r="BE182" s="226"/>
      <c r="BF182" s="226"/>
      <c r="BG182" s="226"/>
      <c r="BH182" s="226"/>
      <c r="BI182" s="226"/>
      <c r="BJ182" s="226"/>
      <c r="BK182" s="226"/>
      <c r="BL182" s="226"/>
      <c r="BM182" s="226"/>
      <c r="BN182" s="226"/>
      <c r="BO182" s="226"/>
      <c r="BP182" s="226"/>
      <c r="BQ182" s="226"/>
      <c r="BR182" s="226"/>
      <c r="BS182" s="226"/>
      <c r="BT182" s="226"/>
      <c r="BU182" s="226"/>
      <c r="BV182" s="226"/>
      <c r="BW182" s="226"/>
      <c r="BX182" s="226"/>
    </row>
    <row r="183" spans="3:76">
      <c r="C183" s="327" t="s">
        <v>348</v>
      </c>
      <c r="D183" s="328">
        <f>-SUM(M178:BB178)</f>
        <v>0</v>
      </c>
      <c r="E183" s="226"/>
      <c r="F183" s="226"/>
      <c r="G183" s="226"/>
      <c r="H183" s="226"/>
      <c r="I183" s="226"/>
      <c r="J183" s="226"/>
      <c r="K183" s="226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6"/>
      <c r="AA183" s="226"/>
      <c r="AB183" s="226"/>
      <c r="AC183" s="226"/>
      <c r="AD183" s="226"/>
      <c r="AE183" s="226"/>
      <c r="AF183" s="226"/>
      <c r="AG183" s="226"/>
      <c r="AH183" s="226"/>
      <c r="AI183" s="226"/>
      <c r="AJ183" s="226"/>
      <c r="AK183" s="226"/>
      <c r="AL183" s="226"/>
      <c r="AM183" s="226"/>
      <c r="AN183" s="226"/>
      <c r="AO183" s="226"/>
      <c r="AP183" s="226"/>
      <c r="AQ183" s="226"/>
      <c r="AR183" s="226"/>
      <c r="AS183" s="226"/>
      <c r="AT183" s="226"/>
      <c r="AU183" s="226"/>
      <c r="AV183" s="226"/>
      <c r="AW183" s="226"/>
      <c r="AX183" s="226"/>
      <c r="AY183" s="226"/>
      <c r="AZ183" s="226"/>
      <c r="BA183" s="226"/>
      <c r="BB183" s="226"/>
      <c r="BC183" s="226"/>
      <c r="BD183" s="226"/>
      <c r="BE183" s="226"/>
      <c r="BF183" s="226"/>
      <c r="BG183" s="226"/>
      <c r="BH183" s="226"/>
      <c r="BI183" s="226"/>
      <c r="BJ183" s="226"/>
      <c r="BK183" s="226"/>
      <c r="BL183" s="226"/>
      <c r="BM183" s="226"/>
      <c r="BN183" s="226"/>
      <c r="BO183" s="226"/>
      <c r="BP183" s="226"/>
      <c r="BQ183" s="226"/>
      <c r="BR183" s="226"/>
      <c r="BS183" s="226"/>
      <c r="BT183" s="226"/>
      <c r="BU183" s="226"/>
      <c r="BV183" s="226"/>
      <c r="BW183" s="226"/>
      <c r="BX183" s="226"/>
    </row>
    <row r="184" spans="3:76">
      <c r="C184" s="317" t="s">
        <v>349</v>
      </c>
      <c r="D184" s="329">
        <f>D183+D182</f>
        <v>5341205.5</v>
      </c>
      <c r="E184" s="226"/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6"/>
      <c r="AA184" s="226"/>
      <c r="AB184" s="226"/>
      <c r="AC184" s="226"/>
      <c r="AD184" s="226"/>
      <c r="AE184" s="226"/>
      <c r="AF184" s="226"/>
      <c r="AG184" s="226"/>
      <c r="AH184" s="226"/>
      <c r="AI184" s="226"/>
      <c r="AJ184" s="226"/>
      <c r="AK184" s="226"/>
      <c r="AL184" s="226"/>
      <c r="AM184" s="226"/>
      <c r="AN184" s="226"/>
      <c r="AO184" s="226"/>
      <c r="AP184" s="226"/>
      <c r="AQ184" s="226"/>
      <c r="AR184" s="226"/>
      <c r="AS184" s="226"/>
      <c r="AT184" s="226"/>
      <c r="AU184" s="226"/>
      <c r="AV184" s="226"/>
      <c r="AW184" s="226"/>
      <c r="AX184" s="226"/>
      <c r="AY184" s="226"/>
      <c r="AZ184" s="226"/>
      <c r="BA184" s="226"/>
      <c r="BB184" s="226"/>
      <c r="BC184" s="226"/>
      <c r="BD184" s="226"/>
      <c r="BE184" s="226"/>
      <c r="BF184" s="226"/>
      <c r="BG184" s="226"/>
      <c r="BH184" s="226"/>
      <c r="BI184" s="226"/>
      <c r="BJ184" s="226"/>
      <c r="BK184" s="226"/>
      <c r="BL184" s="226"/>
      <c r="BM184" s="226"/>
      <c r="BN184" s="226"/>
      <c r="BO184" s="226"/>
      <c r="BP184" s="226"/>
      <c r="BQ184" s="226"/>
      <c r="BR184" s="226"/>
      <c r="BS184" s="226"/>
      <c r="BT184" s="226"/>
      <c r="BU184" s="226"/>
      <c r="BV184" s="226"/>
      <c r="BW184" s="226"/>
      <c r="BX184" s="226"/>
    </row>
    <row r="185" spans="3:76">
      <c r="C185" s="317" t="s">
        <v>350</v>
      </c>
      <c r="D185" s="329">
        <f>T177</f>
        <v>2750000</v>
      </c>
      <c r="E185" s="226"/>
      <c r="F185" s="226"/>
      <c r="G185" s="226"/>
      <c r="H185" s="226"/>
      <c r="I185" s="226"/>
      <c r="J185" s="226"/>
      <c r="K185" s="226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6"/>
      <c r="AA185" s="226"/>
      <c r="AB185" s="226"/>
      <c r="AC185" s="226"/>
      <c r="AD185" s="226"/>
      <c r="AE185" s="226"/>
      <c r="AF185" s="226"/>
      <c r="AG185" s="226"/>
      <c r="AH185" s="226"/>
      <c r="AI185" s="226"/>
      <c r="AJ185" s="226"/>
      <c r="AK185" s="226"/>
      <c r="AL185" s="226"/>
      <c r="AM185" s="226"/>
      <c r="AN185" s="226"/>
      <c r="AO185" s="226"/>
      <c r="AP185" s="226"/>
      <c r="AQ185" s="226"/>
      <c r="AR185" s="226"/>
      <c r="AS185" s="226"/>
      <c r="AT185" s="226"/>
      <c r="AU185" s="226"/>
      <c r="AV185" s="226"/>
      <c r="AW185" s="226"/>
      <c r="AX185" s="226"/>
      <c r="AY185" s="226"/>
      <c r="AZ185" s="226"/>
      <c r="BA185" s="226"/>
      <c r="BB185" s="226"/>
      <c r="BC185" s="226"/>
      <c r="BD185" s="226"/>
      <c r="BE185" s="226"/>
      <c r="BF185" s="226"/>
      <c r="BG185" s="226"/>
      <c r="BH185" s="226"/>
      <c r="BI185" s="226"/>
      <c r="BJ185" s="226"/>
      <c r="BK185" s="226"/>
      <c r="BL185" s="226"/>
      <c r="BM185" s="226"/>
      <c r="BN185" s="226"/>
      <c r="BO185" s="226"/>
      <c r="BP185" s="226"/>
      <c r="BQ185" s="226"/>
      <c r="BR185" s="226"/>
      <c r="BS185" s="226"/>
      <c r="BT185" s="226"/>
      <c r="BU185" s="226"/>
      <c r="BV185" s="226"/>
      <c r="BW185" s="226"/>
      <c r="BX185" s="226"/>
    </row>
    <row r="186" spans="3:76">
      <c r="C186" s="317" t="s">
        <v>351</v>
      </c>
      <c r="D186" s="326">
        <f>(D185-D183)/D184</f>
        <v>0.51486504310684167</v>
      </c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  <c r="AE186" s="226"/>
      <c r="AF186" s="226"/>
      <c r="AG186" s="226"/>
      <c r="AH186" s="226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AY186" s="226"/>
      <c r="AZ186" s="226"/>
      <c r="BA186" s="226"/>
      <c r="BB186" s="226"/>
      <c r="BC186" s="226"/>
      <c r="BD186" s="226"/>
      <c r="BE186" s="226"/>
      <c r="BF186" s="226"/>
      <c r="BG186" s="226"/>
      <c r="BH186" s="226"/>
      <c r="BI186" s="226"/>
      <c r="BJ186" s="226"/>
      <c r="BK186" s="226"/>
      <c r="BL186" s="226"/>
      <c r="BM186" s="226"/>
      <c r="BN186" s="226"/>
      <c r="BO186" s="226"/>
      <c r="BP186" s="226"/>
      <c r="BQ186" s="226"/>
      <c r="BR186" s="226"/>
      <c r="BS186" s="226"/>
      <c r="BT186" s="226"/>
      <c r="BU186" s="226"/>
      <c r="BV186" s="226"/>
      <c r="BW186" s="226"/>
      <c r="BX186" s="226"/>
    </row>
  </sheetData>
  <mergeCells count="32">
    <mergeCell ref="B97:C97"/>
    <mergeCell ref="B98:C98"/>
    <mergeCell ref="D103:E103"/>
    <mergeCell ref="D106:BW106"/>
    <mergeCell ref="B2:C4"/>
    <mergeCell ref="B5:B8"/>
    <mergeCell ref="B9:B11"/>
    <mergeCell ref="B12:B15"/>
    <mergeCell ref="B16:C16"/>
    <mergeCell ref="B17:B95"/>
    <mergeCell ref="B96:C96"/>
    <mergeCell ref="BM2:BX2"/>
    <mergeCell ref="E2:P2"/>
    <mergeCell ref="Q2:AB2"/>
    <mergeCell ref="AC2:AN2"/>
    <mergeCell ref="AO2:AZ2"/>
    <mergeCell ref="BY88:BZ88"/>
    <mergeCell ref="BZ89:BZ95"/>
    <mergeCell ref="BY96:BZ96"/>
    <mergeCell ref="BY97:BZ97"/>
    <mergeCell ref="BZ5:BZ8"/>
    <mergeCell ref="BZ9:BZ11"/>
    <mergeCell ref="BY16:BZ16"/>
    <mergeCell ref="BA2:BL2"/>
    <mergeCell ref="BY2:BZ4"/>
    <mergeCell ref="BZ12:BZ15"/>
    <mergeCell ref="BZ17:BZ87"/>
    <mergeCell ref="CC17:CC87"/>
    <mergeCell ref="CC5:CC8"/>
    <mergeCell ref="CC9:CC11"/>
    <mergeCell ref="CC12:CC15"/>
    <mergeCell ref="CB16:CC16"/>
  </mergeCells>
  <conditionalFormatting sqref="E17:BX17 E23:BX23 E26:BX26 E34:BX34 E37:BX37 E47:BX47 E53:BX53 E61:BX61 E85:BX85 E88:BX88">
    <cfRule type="cellIs" dxfId="21" priority="1" operator="equal">
      <formula>0</formula>
    </cfRule>
  </conditionalFormatting>
  <conditionalFormatting sqref="F111:BS114 E112 BT112:BX112 E114 BT114:BX114 E126 F126:BX129 E128 E142 M142:BX142 F142:L145 E144 M144:BX144 E158 M158:BX158 F158:L161 E160:E161 M160:BX161 M174:T174 H174:L177 E176:G176 M176:BX176">
    <cfRule type="cellIs" dxfId="20" priority="2" operator="equal">
      <formula>0</formula>
    </cfRule>
  </conditionalFormatting>
  <dataValidations count="1">
    <dataValidation type="list" allowBlank="1" showErrorMessage="1" sqref="CB4" xr:uid="{00000000-0002-0000-0B00-000000000000}">
      <formula1>$D$3:$BX$3</formula1>
    </dataValidation>
  </dataValidations>
  <pageMargins left="0" right="0" top="0" bottom="0" header="0" footer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B2:T79"/>
  <sheetViews>
    <sheetView workbookViewId="0"/>
  </sheetViews>
  <sheetFormatPr baseColWidth="10" defaultColWidth="12.6640625" defaultRowHeight="15" customHeight="1"/>
  <cols>
    <col min="12" max="20" width="12.6640625" hidden="1"/>
  </cols>
  <sheetData>
    <row r="2" spans="2:20" ht="14">
      <c r="B2" s="816" t="s">
        <v>359</v>
      </c>
      <c r="C2" s="772"/>
      <c r="D2" s="772"/>
      <c r="E2" s="772"/>
      <c r="G2" s="816" t="s">
        <v>360</v>
      </c>
      <c r="H2" s="772"/>
      <c r="I2" s="772"/>
      <c r="J2" s="772"/>
      <c r="L2" s="816" t="s">
        <v>361</v>
      </c>
      <c r="M2" s="772"/>
      <c r="N2" s="772"/>
      <c r="O2" s="772"/>
      <c r="Q2" s="816" t="s">
        <v>362</v>
      </c>
      <c r="R2" s="772"/>
      <c r="S2" s="772"/>
      <c r="T2" s="772"/>
    </row>
    <row r="3" spans="2:20" ht="15" customHeight="1">
      <c r="B3" s="772"/>
      <c r="C3" s="772"/>
      <c r="D3" s="772"/>
      <c r="E3" s="772"/>
      <c r="G3" s="772"/>
      <c r="H3" s="772"/>
      <c r="I3" s="772"/>
      <c r="J3" s="772"/>
      <c r="L3" s="772"/>
      <c r="M3" s="772"/>
      <c r="N3" s="772"/>
      <c r="O3" s="772"/>
      <c r="Q3" s="772"/>
      <c r="R3" s="772"/>
      <c r="S3" s="772"/>
      <c r="T3" s="772"/>
    </row>
    <row r="7" spans="2:20" ht="14">
      <c r="B7" s="340" t="s">
        <v>363</v>
      </c>
      <c r="C7" s="341" t="s">
        <v>364</v>
      </c>
      <c r="D7" s="342" t="s">
        <v>326</v>
      </c>
      <c r="E7" s="343" t="s">
        <v>365</v>
      </c>
      <c r="G7" s="340" t="s">
        <v>363</v>
      </c>
      <c r="H7" s="341" t="s">
        <v>364</v>
      </c>
      <c r="I7" s="342" t="s">
        <v>326</v>
      </c>
      <c r="J7" s="343" t="s">
        <v>365</v>
      </c>
      <c r="L7" s="340" t="s">
        <v>363</v>
      </c>
      <c r="M7" s="341" t="s">
        <v>364</v>
      </c>
      <c r="N7" s="342" t="s">
        <v>326</v>
      </c>
      <c r="O7" s="343" t="s">
        <v>365</v>
      </c>
      <c r="Q7" s="340" t="s">
        <v>363</v>
      </c>
      <c r="R7" s="341" t="s">
        <v>364</v>
      </c>
      <c r="S7" s="342" t="s">
        <v>326</v>
      </c>
      <c r="T7" s="343" t="s">
        <v>365</v>
      </c>
    </row>
    <row r="8" spans="2:20" ht="14">
      <c r="B8" s="344">
        <v>45292</v>
      </c>
      <c r="C8" s="345">
        <f t="array" ref="C8:C79">TRANSPOSE('Cash-flow PLAN'!E110:BX110)</f>
        <v>0</v>
      </c>
      <c r="D8" s="346">
        <f>0-C8</f>
        <v>0</v>
      </c>
      <c r="E8" s="347">
        <f>D8*'Cash-flow PLAN'!$D$54/12</f>
        <v>0</v>
      </c>
      <c r="G8" s="344">
        <v>45292</v>
      </c>
      <c r="H8" s="348">
        <f t="array" ref="H8:H79">TRANSPOSE('Cash-flow PLAN'!E126:BX126)</f>
        <v>0</v>
      </c>
      <c r="I8" s="346">
        <f>0-H8</f>
        <v>0</v>
      </c>
      <c r="J8" s="347">
        <f>I8*'Cash-flow PLAN'!$D$55/12</f>
        <v>0</v>
      </c>
      <c r="L8" s="344">
        <v>45292</v>
      </c>
      <c r="M8" s="348">
        <f t="array" ref="M8:M79">TRANSPOSE('Cash-flow PLAN'!E142:BX142)</f>
        <v>0</v>
      </c>
      <c r="N8" s="346">
        <f>0-M8</f>
        <v>0</v>
      </c>
      <c r="O8" s="347">
        <f>N8*'Cash-flow PLAN'!$D$56/12</f>
        <v>0</v>
      </c>
      <c r="Q8" s="344">
        <v>45292</v>
      </c>
      <c r="R8" s="345">
        <f t="array" ref="R8:R79">TRANSPOSE('Cash-flow PLAN'!E159:BX159)</f>
        <v>0</v>
      </c>
      <c r="S8" s="346">
        <f>0-R8</f>
        <v>0</v>
      </c>
      <c r="T8" s="347">
        <f>S8*'Cash-flow PLAN'!$D$57/12</f>
        <v>0</v>
      </c>
    </row>
    <row r="9" spans="2:20" ht="14">
      <c r="B9" s="349">
        <v>45323</v>
      </c>
      <c r="C9" s="345">
        <v>0</v>
      </c>
      <c r="D9" s="346">
        <f t="shared" ref="D9:D78" si="0">D8-C9</f>
        <v>0</v>
      </c>
      <c r="E9" s="347">
        <f>D9*'Cash-flow PLAN'!$D$54/12</f>
        <v>0</v>
      </c>
      <c r="G9" s="349">
        <v>45323</v>
      </c>
      <c r="H9" s="345">
        <v>0</v>
      </c>
      <c r="I9" s="346">
        <f t="shared" ref="I9:I78" si="1">I8-H9</f>
        <v>0</v>
      </c>
      <c r="J9" s="347">
        <f>I9*'Cash-flow PLAN'!$D$55/12</f>
        <v>0</v>
      </c>
      <c r="L9" s="349">
        <v>45323</v>
      </c>
      <c r="M9" s="345">
        <v>0</v>
      </c>
      <c r="N9" s="346">
        <f t="shared" ref="N9:N78" si="2">N8-M9</f>
        <v>0</v>
      </c>
      <c r="O9" s="347">
        <f>N9*'Cash-flow PLAN'!$D$56/12</f>
        <v>0</v>
      </c>
      <c r="Q9" s="349">
        <v>45323</v>
      </c>
      <c r="R9" s="345">
        <v>0</v>
      </c>
      <c r="S9" s="346">
        <f t="shared" ref="S9:S78" si="3">S8-R9</f>
        <v>0</v>
      </c>
      <c r="T9" s="347">
        <f>S9*'Cash-flow PLAN'!$D$57/12</f>
        <v>0</v>
      </c>
    </row>
    <row r="10" spans="2:20" ht="14">
      <c r="B10" s="349">
        <v>45352</v>
      </c>
      <c r="C10" s="345">
        <v>0</v>
      </c>
      <c r="D10" s="346">
        <f t="shared" si="0"/>
        <v>0</v>
      </c>
      <c r="E10" s="347">
        <f>D10*'Cash-flow PLAN'!$D$54/12</f>
        <v>0</v>
      </c>
      <c r="G10" s="349">
        <v>45352</v>
      </c>
      <c r="H10" s="345">
        <v>0</v>
      </c>
      <c r="I10" s="346">
        <f t="shared" si="1"/>
        <v>0</v>
      </c>
      <c r="J10" s="347">
        <f>I10*'Cash-flow PLAN'!$D$55/12</f>
        <v>0</v>
      </c>
      <c r="L10" s="349">
        <v>45352</v>
      </c>
      <c r="M10" s="345">
        <v>0</v>
      </c>
      <c r="N10" s="346">
        <f t="shared" si="2"/>
        <v>0</v>
      </c>
      <c r="O10" s="347">
        <f>N10*'Cash-flow PLAN'!$D$56/12</f>
        <v>0</v>
      </c>
      <c r="Q10" s="349">
        <v>45352</v>
      </c>
      <c r="R10" s="345">
        <v>0</v>
      </c>
      <c r="S10" s="346">
        <f t="shared" si="3"/>
        <v>0</v>
      </c>
      <c r="T10" s="347">
        <f>S10*'Cash-flow PLAN'!$D$57/12</f>
        <v>0</v>
      </c>
    </row>
    <row r="11" spans="2:20" ht="14">
      <c r="B11" s="349">
        <v>45383</v>
      </c>
      <c r="C11" s="345">
        <v>-16365002</v>
      </c>
      <c r="D11" s="346">
        <f t="shared" si="0"/>
        <v>16365002</v>
      </c>
      <c r="E11" s="347">
        <f>D11*'Cash-flow PLAN'!$D$54/12</f>
        <v>143193.76749999999</v>
      </c>
      <c r="G11" s="349">
        <v>45383</v>
      </c>
      <c r="H11" s="345">
        <v>0</v>
      </c>
      <c r="I11" s="346">
        <f t="shared" si="1"/>
        <v>0</v>
      </c>
      <c r="J11" s="347">
        <f>I11*'Cash-flow PLAN'!$D$55/12</f>
        <v>0</v>
      </c>
      <c r="L11" s="349">
        <v>45383</v>
      </c>
      <c r="M11" s="345">
        <v>-10682501</v>
      </c>
      <c r="N11" s="346">
        <f t="shared" si="2"/>
        <v>10682501</v>
      </c>
      <c r="O11" s="347">
        <f>N11*'Cash-flow PLAN'!$D$56/12</f>
        <v>93471.883749999994</v>
      </c>
      <c r="Q11" s="349">
        <v>45383</v>
      </c>
      <c r="R11" s="345">
        <v>0</v>
      </c>
      <c r="S11" s="346">
        <f t="shared" si="3"/>
        <v>0</v>
      </c>
      <c r="T11" s="347">
        <f>S11*'Cash-flow PLAN'!$D$57/12</f>
        <v>0</v>
      </c>
    </row>
    <row r="12" spans="2:20" ht="14">
      <c r="B12" s="349">
        <v>45413</v>
      </c>
      <c r="C12" s="345">
        <v>-1000000</v>
      </c>
      <c r="D12" s="346">
        <f t="shared" si="0"/>
        <v>17365002</v>
      </c>
      <c r="E12" s="347">
        <f>D12*'Cash-flow PLAN'!$D$54/12</f>
        <v>151943.76749999999</v>
      </c>
      <c r="G12" s="349">
        <v>45413</v>
      </c>
      <c r="H12" s="345">
        <v>-1000000</v>
      </c>
      <c r="I12" s="346">
        <f t="shared" si="1"/>
        <v>1000000</v>
      </c>
      <c r="J12" s="347">
        <f>I12*'Cash-flow PLAN'!$D$55/12</f>
        <v>8750</v>
      </c>
      <c r="L12" s="349">
        <v>45413</v>
      </c>
      <c r="M12" s="345">
        <v>0</v>
      </c>
      <c r="N12" s="346">
        <f t="shared" si="2"/>
        <v>10682501</v>
      </c>
      <c r="O12" s="347">
        <f>N12*'Cash-flow PLAN'!$D$56/12</f>
        <v>93471.883749999994</v>
      </c>
      <c r="Q12" s="349">
        <v>45413</v>
      </c>
      <c r="R12" s="345">
        <v>0</v>
      </c>
      <c r="S12" s="346">
        <f t="shared" si="3"/>
        <v>0</v>
      </c>
      <c r="T12" s="347">
        <f>S12*'Cash-flow PLAN'!$D$57/12</f>
        <v>0</v>
      </c>
    </row>
    <row r="13" spans="2:20" ht="14">
      <c r="B13" s="350">
        <v>45444</v>
      </c>
      <c r="C13" s="345">
        <v>0</v>
      </c>
      <c r="D13" s="346">
        <f t="shared" si="0"/>
        <v>17365002</v>
      </c>
      <c r="E13" s="347">
        <f>D13*'Cash-flow PLAN'!$D$54/12</f>
        <v>151943.76749999999</v>
      </c>
      <c r="G13" s="350">
        <v>45444</v>
      </c>
      <c r="H13" s="345">
        <v>0</v>
      </c>
      <c r="I13" s="346">
        <f t="shared" si="1"/>
        <v>1000000</v>
      </c>
      <c r="J13" s="347">
        <f>I13*'Cash-flow PLAN'!$D$55/12</f>
        <v>8750</v>
      </c>
      <c r="L13" s="350">
        <v>45444</v>
      </c>
      <c r="M13" s="345">
        <v>0</v>
      </c>
      <c r="N13" s="346">
        <f t="shared" si="2"/>
        <v>10682501</v>
      </c>
      <c r="O13" s="347">
        <f>N13*'Cash-flow PLAN'!$D$56/12</f>
        <v>93471.883749999994</v>
      </c>
      <c r="Q13" s="350">
        <v>45444</v>
      </c>
      <c r="R13" s="345">
        <v>0</v>
      </c>
      <c r="S13" s="346">
        <f t="shared" si="3"/>
        <v>0</v>
      </c>
      <c r="T13" s="347">
        <f>S13*'Cash-flow PLAN'!$D$57/12</f>
        <v>0</v>
      </c>
    </row>
    <row r="14" spans="2:20" ht="14">
      <c r="B14" s="349">
        <v>45474</v>
      </c>
      <c r="C14" s="345">
        <v>0</v>
      </c>
      <c r="D14" s="346">
        <f t="shared" si="0"/>
        <v>17365002</v>
      </c>
      <c r="E14" s="347">
        <f>D14*'Cash-flow PLAN'!$D$54/12</f>
        <v>151943.76749999999</v>
      </c>
      <c r="G14" s="349">
        <v>45474</v>
      </c>
      <c r="H14" s="345">
        <v>0</v>
      </c>
      <c r="I14" s="346">
        <f t="shared" si="1"/>
        <v>1000000</v>
      </c>
      <c r="J14" s="347">
        <f>I14*'Cash-flow PLAN'!$D$55/12</f>
        <v>8750</v>
      </c>
      <c r="L14" s="349">
        <v>45474</v>
      </c>
      <c r="M14" s="345">
        <v>0</v>
      </c>
      <c r="N14" s="346">
        <f t="shared" si="2"/>
        <v>10682501</v>
      </c>
      <c r="O14" s="347">
        <f>N14*'Cash-flow PLAN'!$D$56/12</f>
        <v>93471.883749999994</v>
      </c>
      <c r="Q14" s="349">
        <v>45474</v>
      </c>
      <c r="R14" s="345">
        <v>0</v>
      </c>
      <c r="S14" s="346">
        <f t="shared" si="3"/>
        <v>0</v>
      </c>
      <c r="T14" s="347">
        <f>S14*'Cash-flow PLAN'!$D$57/12</f>
        <v>0</v>
      </c>
    </row>
    <row r="15" spans="2:20" ht="14">
      <c r="B15" s="349">
        <v>45505</v>
      </c>
      <c r="C15" s="345">
        <v>0</v>
      </c>
      <c r="D15" s="346">
        <f t="shared" si="0"/>
        <v>17365002</v>
      </c>
      <c r="E15" s="347">
        <f>D15*'Cash-flow PLAN'!$D$54/12</f>
        <v>151943.76749999999</v>
      </c>
      <c r="G15" s="349">
        <v>45505</v>
      </c>
      <c r="H15" s="345">
        <v>0</v>
      </c>
      <c r="I15" s="346">
        <f t="shared" si="1"/>
        <v>1000000</v>
      </c>
      <c r="J15" s="347">
        <f>I15*'Cash-flow PLAN'!$D$55/12</f>
        <v>8750</v>
      </c>
      <c r="L15" s="349">
        <v>45505</v>
      </c>
      <c r="M15" s="345">
        <v>0</v>
      </c>
      <c r="N15" s="346">
        <f t="shared" si="2"/>
        <v>10682501</v>
      </c>
      <c r="O15" s="347">
        <f>N15*'Cash-flow PLAN'!$D$56/12</f>
        <v>93471.883749999994</v>
      </c>
      <c r="Q15" s="349">
        <v>45505</v>
      </c>
      <c r="R15" s="345">
        <v>0</v>
      </c>
      <c r="S15" s="346">
        <f t="shared" si="3"/>
        <v>0</v>
      </c>
      <c r="T15" s="347">
        <f>S15*'Cash-flow PLAN'!$D$57/12</f>
        <v>0</v>
      </c>
    </row>
    <row r="16" spans="2:20" ht="14">
      <c r="B16" s="349">
        <v>45536</v>
      </c>
      <c r="C16" s="345">
        <v>0</v>
      </c>
      <c r="D16" s="346">
        <f t="shared" si="0"/>
        <v>17365002</v>
      </c>
      <c r="E16" s="347">
        <f>D16*'Cash-flow PLAN'!$D$54/12</f>
        <v>151943.76749999999</v>
      </c>
      <c r="G16" s="349">
        <v>45536</v>
      </c>
      <c r="H16" s="345">
        <v>0</v>
      </c>
      <c r="I16" s="346">
        <f t="shared" si="1"/>
        <v>1000000</v>
      </c>
      <c r="J16" s="347">
        <f>I16*'Cash-flow PLAN'!$D$55/12</f>
        <v>8750</v>
      </c>
      <c r="L16" s="349">
        <v>45536</v>
      </c>
      <c r="M16" s="345">
        <v>0</v>
      </c>
      <c r="N16" s="346">
        <f t="shared" si="2"/>
        <v>10682501</v>
      </c>
      <c r="O16" s="347">
        <f>N16*'Cash-flow PLAN'!$D$56/12</f>
        <v>93471.883749999994</v>
      </c>
      <c r="Q16" s="349">
        <v>45536</v>
      </c>
      <c r="R16" s="345">
        <v>0</v>
      </c>
      <c r="S16" s="346">
        <f t="shared" si="3"/>
        <v>0</v>
      </c>
      <c r="T16" s="347">
        <f>S16*'Cash-flow PLAN'!$D$57/12</f>
        <v>0</v>
      </c>
    </row>
    <row r="17" spans="2:20" ht="14">
      <c r="B17" s="349">
        <v>45566</v>
      </c>
      <c r="C17" s="345">
        <v>0</v>
      </c>
      <c r="D17" s="346">
        <f t="shared" si="0"/>
        <v>17365002</v>
      </c>
      <c r="E17" s="347">
        <f>D17*'Cash-flow PLAN'!$D$54/12</f>
        <v>151943.76749999999</v>
      </c>
      <c r="G17" s="349">
        <v>45566</v>
      </c>
      <c r="H17" s="345">
        <v>0</v>
      </c>
      <c r="I17" s="346">
        <f t="shared" si="1"/>
        <v>1000000</v>
      </c>
      <c r="J17" s="347">
        <f>I17*'Cash-flow PLAN'!$D$55/12</f>
        <v>8750</v>
      </c>
      <c r="L17" s="349">
        <v>45566</v>
      </c>
      <c r="M17" s="345">
        <v>0</v>
      </c>
      <c r="N17" s="346">
        <f t="shared" si="2"/>
        <v>10682501</v>
      </c>
      <c r="O17" s="347">
        <f>N17*'Cash-flow PLAN'!$D$56/12</f>
        <v>93471.883749999994</v>
      </c>
      <c r="Q17" s="349">
        <v>45566</v>
      </c>
      <c r="R17" s="345">
        <v>0</v>
      </c>
      <c r="S17" s="346">
        <f t="shared" si="3"/>
        <v>0</v>
      </c>
      <c r="T17" s="347">
        <f>S17*'Cash-flow PLAN'!$D$57/12</f>
        <v>0</v>
      </c>
    </row>
    <row r="18" spans="2:20" ht="14">
      <c r="B18" s="349">
        <v>45597</v>
      </c>
      <c r="C18" s="345">
        <v>-3000000</v>
      </c>
      <c r="D18" s="346">
        <f t="shared" si="0"/>
        <v>20365002</v>
      </c>
      <c r="E18" s="347">
        <f>D18*'Cash-flow PLAN'!$D$54/12</f>
        <v>178193.76749999999</v>
      </c>
      <c r="G18" s="349">
        <v>45597</v>
      </c>
      <c r="H18" s="345">
        <v>0</v>
      </c>
      <c r="I18" s="346">
        <f t="shared" si="1"/>
        <v>1000000</v>
      </c>
      <c r="J18" s="347">
        <f>I18*'Cash-flow PLAN'!$D$55/12</f>
        <v>8750</v>
      </c>
      <c r="L18" s="349">
        <v>45597</v>
      </c>
      <c r="M18" s="345">
        <v>0</v>
      </c>
      <c r="N18" s="346">
        <f t="shared" si="2"/>
        <v>10682501</v>
      </c>
      <c r="O18" s="347">
        <f>N18*'Cash-flow PLAN'!$D$56/12</f>
        <v>93471.883749999994</v>
      </c>
      <c r="Q18" s="349">
        <v>45597</v>
      </c>
      <c r="R18" s="345">
        <v>0</v>
      </c>
      <c r="S18" s="346">
        <f t="shared" si="3"/>
        <v>0</v>
      </c>
      <c r="T18" s="347">
        <f>S18*'Cash-flow PLAN'!$D$57/12</f>
        <v>0</v>
      </c>
    </row>
    <row r="19" spans="2:20" ht="14">
      <c r="B19" s="349">
        <v>45627</v>
      </c>
      <c r="C19" s="345">
        <v>-2100000</v>
      </c>
      <c r="D19" s="346">
        <f t="shared" si="0"/>
        <v>22465002</v>
      </c>
      <c r="E19" s="347">
        <f>D19*'Cash-flow PLAN'!$D$54/12</f>
        <v>196568.76749999999</v>
      </c>
      <c r="G19" s="349">
        <v>45627</v>
      </c>
      <c r="H19" s="345">
        <v>-2100000</v>
      </c>
      <c r="I19" s="346">
        <f t="shared" si="1"/>
        <v>3100000</v>
      </c>
      <c r="J19" s="347">
        <f>I19*'Cash-flow PLAN'!$D$55/12</f>
        <v>27125</v>
      </c>
      <c r="L19" s="349">
        <v>45627</v>
      </c>
      <c r="M19" s="345">
        <v>0</v>
      </c>
      <c r="N19" s="346">
        <f t="shared" si="2"/>
        <v>10682501</v>
      </c>
      <c r="O19" s="347">
        <f>N19*'Cash-flow PLAN'!$D$56/12</f>
        <v>93471.883749999994</v>
      </c>
      <c r="Q19" s="349">
        <v>45627</v>
      </c>
      <c r="R19" s="345">
        <v>0</v>
      </c>
      <c r="S19" s="346">
        <f t="shared" si="3"/>
        <v>0</v>
      </c>
      <c r="T19" s="347">
        <f>S19*'Cash-flow PLAN'!$D$57/12</f>
        <v>0</v>
      </c>
    </row>
    <row r="20" spans="2:20" ht="14">
      <c r="B20" s="344">
        <v>45658</v>
      </c>
      <c r="C20" s="345">
        <v>0</v>
      </c>
      <c r="D20" s="346">
        <f t="shared" si="0"/>
        <v>22465002</v>
      </c>
      <c r="E20" s="347">
        <f>D20*'Cash-flow PLAN'!$D$54/12</f>
        <v>196568.76749999999</v>
      </c>
      <c r="G20" s="344">
        <v>45658</v>
      </c>
      <c r="H20" s="345">
        <v>0</v>
      </c>
      <c r="I20" s="346">
        <f t="shared" si="1"/>
        <v>3100000</v>
      </c>
      <c r="J20" s="347">
        <f>I20*'Cash-flow PLAN'!$D$55/12</f>
        <v>27125</v>
      </c>
      <c r="L20" s="344">
        <v>45658</v>
      </c>
      <c r="M20" s="345">
        <v>0</v>
      </c>
      <c r="N20" s="346">
        <f t="shared" si="2"/>
        <v>10682501</v>
      </c>
      <c r="O20" s="347">
        <f>N20*'Cash-flow PLAN'!$D$56/12</f>
        <v>93471.883749999994</v>
      </c>
      <c r="Q20" s="344">
        <v>45658</v>
      </c>
      <c r="R20" s="345">
        <v>0</v>
      </c>
      <c r="S20" s="346">
        <f t="shared" si="3"/>
        <v>0</v>
      </c>
      <c r="T20" s="347">
        <f>S20*'Cash-flow PLAN'!$D$57/12</f>
        <v>0</v>
      </c>
    </row>
    <row r="21" spans="2:20" ht="14">
      <c r="B21" s="349">
        <v>45689</v>
      </c>
      <c r="C21" s="345">
        <v>0</v>
      </c>
      <c r="D21" s="346">
        <f t="shared" si="0"/>
        <v>22465002</v>
      </c>
      <c r="E21" s="347">
        <f>D21*'Cash-flow PLAN'!$D$54/12</f>
        <v>196568.76749999999</v>
      </c>
      <c r="G21" s="349">
        <v>45689</v>
      </c>
      <c r="H21" s="345">
        <v>0</v>
      </c>
      <c r="I21" s="346">
        <f t="shared" si="1"/>
        <v>3100000</v>
      </c>
      <c r="J21" s="347">
        <f>I21*'Cash-flow PLAN'!$D$55/12</f>
        <v>27125</v>
      </c>
      <c r="L21" s="349">
        <v>45689</v>
      </c>
      <c r="M21" s="345">
        <v>0</v>
      </c>
      <c r="N21" s="346">
        <f t="shared" si="2"/>
        <v>10682501</v>
      </c>
      <c r="O21" s="347">
        <f>N21*'Cash-flow PLAN'!$D$56/12</f>
        <v>93471.883749999994</v>
      </c>
      <c r="Q21" s="349">
        <v>45689</v>
      </c>
      <c r="R21" s="345">
        <v>0</v>
      </c>
      <c r="S21" s="346">
        <f t="shared" si="3"/>
        <v>0</v>
      </c>
      <c r="T21" s="347">
        <f>S21*'Cash-flow PLAN'!$D$57/12</f>
        <v>0</v>
      </c>
    </row>
    <row r="22" spans="2:20" ht="14">
      <c r="B22" s="349">
        <v>45717</v>
      </c>
      <c r="C22" s="345">
        <v>0</v>
      </c>
      <c r="D22" s="346">
        <f t="shared" si="0"/>
        <v>22465002</v>
      </c>
      <c r="E22" s="347">
        <f>D22*'Cash-flow PLAN'!$D$54/12</f>
        <v>196568.76749999999</v>
      </c>
      <c r="G22" s="349">
        <v>45717</v>
      </c>
      <c r="H22" s="345">
        <v>0</v>
      </c>
      <c r="I22" s="346">
        <f t="shared" si="1"/>
        <v>3100000</v>
      </c>
      <c r="J22" s="347">
        <f>I22*'Cash-flow PLAN'!$D$55/12</f>
        <v>27125</v>
      </c>
      <c r="L22" s="349">
        <v>45717</v>
      </c>
      <c r="M22" s="345">
        <v>0</v>
      </c>
      <c r="N22" s="346">
        <f t="shared" si="2"/>
        <v>10682501</v>
      </c>
      <c r="O22" s="347">
        <f>N22*'Cash-flow PLAN'!$D$56/12</f>
        <v>93471.883749999994</v>
      </c>
      <c r="Q22" s="349">
        <v>45717</v>
      </c>
      <c r="R22" s="345">
        <v>0</v>
      </c>
      <c r="S22" s="346">
        <f t="shared" si="3"/>
        <v>0</v>
      </c>
      <c r="T22" s="347">
        <f>S22*'Cash-flow PLAN'!$D$57/12</f>
        <v>0</v>
      </c>
    </row>
    <row r="23" spans="2:20" ht="14">
      <c r="B23" s="349">
        <v>45748</v>
      </c>
      <c r="C23" s="345">
        <v>22465002</v>
      </c>
      <c r="D23" s="346">
        <f t="shared" si="0"/>
        <v>0</v>
      </c>
      <c r="E23" s="347">
        <f>D23*'Cash-flow PLAN'!$D$54/12</f>
        <v>0</v>
      </c>
      <c r="G23" s="349">
        <v>45748</v>
      </c>
      <c r="H23" s="345">
        <v>3100000</v>
      </c>
      <c r="I23" s="346">
        <f t="shared" si="1"/>
        <v>0</v>
      </c>
      <c r="J23" s="347">
        <f>I23*'Cash-flow PLAN'!$D$55/12</f>
        <v>0</v>
      </c>
      <c r="L23" s="349">
        <v>45748</v>
      </c>
      <c r="M23" s="345">
        <v>10682501</v>
      </c>
      <c r="N23" s="346">
        <f t="shared" si="2"/>
        <v>0</v>
      </c>
      <c r="O23" s="347">
        <f>N23*'Cash-flow PLAN'!$D$56/12</f>
        <v>0</v>
      </c>
      <c r="Q23" s="349">
        <v>45748</v>
      </c>
      <c r="R23" s="345">
        <v>0</v>
      </c>
      <c r="S23" s="346">
        <f t="shared" si="3"/>
        <v>0</v>
      </c>
      <c r="T23" s="347">
        <f>S23*'Cash-flow PLAN'!$D$57/12</f>
        <v>0</v>
      </c>
    </row>
    <row r="24" spans="2:20" ht="14">
      <c r="B24" s="349">
        <v>45778</v>
      </c>
      <c r="C24" s="345">
        <v>0</v>
      </c>
      <c r="D24" s="346">
        <f t="shared" si="0"/>
        <v>0</v>
      </c>
      <c r="E24" s="347">
        <f>D24*'Cash-flow PLAN'!$D$54/12</f>
        <v>0</v>
      </c>
      <c r="G24" s="349">
        <v>45778</v>
      </c>
      <c r="H24" s="345">
        <v>0</v>
      </c>
      <c r="I24" s="346">
        <f t="shared" si="1"/>
        <v>0</v>
      </c>
      <c r="J24" s="347">
        <f>I24*'Cash-flow PLAN'!$D$55/12</f>
        <v>0</v>
      </c>
      <c r="L24" s="349">
        <v>45778</v>
      </c>
      <c r="M24" s="345">
        <v>0</v>
      </c>
      <c r="N24" s="346">
        <f t="shared" si="2"/>
        <v>0</v>
      </c>
      <c r="O24" s="347">
        <f>N24*'Cash-flow PLAN'!$D$56/12</f>
        <v>0</v>
      </c>
      <c r="Q24" s="349">
        <v>45778</v>
      </c>
      <c r="R24" s="345">
        <v>0</v>
      </c>
      <c r="S24" s="346">
        <f t="shared" si="3"/>
        <v>0</v>
      </c>
      <c r="T24" s="347">
        <f>S24*'Cash-flow PLAN'!$D$57/12</f>
        <v>0</v>
      </c>
    </row>
    <row r="25" spans="2:20" ht="14">
      <c r="B25" s="350">
        <v>45809</v>
      </c>
      <c r="C25" s="345">
        <v>0</v>
      </c>
      <c r="D25" s="346">
        <f t="shared" si="0"/>
        <v>0</v>
      </c>
      <c r="E25" s="347">
        <f>D25*'Cash-flow PLAN'!$D$54/12</f>
        <v>0</v>
      </c>
      <c r="G25" s="350">
        <v>45809</v>
      </c>
      <c r="H25" s="345">
        <v>0</v>
      </c>
      <c r="I25" s="346">
        <f t="shared" si="1"/>
        <v>0</v>
      </c>
      <c r="J25" s="347">
        <f>I25*'Cash-flow PLAN'!$D$55/12</f>
        <v>0</v>
      </c>
      <c r="L25" s="350">
        <v>45809</v>
      </c>
      <c r="M25" s="345">
        <v>0</v>
      </c>
      <c r="N25" s="346">
        <f t="shared" si="2"/>
        <v>0</v>
      </c>
      <c r="O25" s="347">
        <f>N25*'Cash-flow PLAN'!$D$56/12</f>
        <v>0</v>
      </c>
      <c r="Q25" s="350">
        <v>45809</v>
      </c>
      <c r="R25" s="345">
        <v>0</v>
      </c>
      <c r="S25" s="346">
        <f t="shared" si="3"/>
        <v>0</v>
      </c>
      <c r="T25" s="347">
        <f>S25*'Cash-flow PLAN'!$D$57/12</f>
        <v>0</v>
      </c>
    </row>
    <row r="26" spans="2:20" ht="14">
      <c r="B26" s="349">
        <v>45839</v>
      </c>
      <c r="C26" s="345">
        <v>0</v>
      </c>
      <c r="D26" s="346">
        <f t="shared" si="0"/>
        <v>0</v>
      </c>
      <c r="E26" s="347">
        <f>D26*'Cash-flow PLAN'!$D$54/12</f>
        <v>0</v>
      </c>
      <c r="G26" s="349">
        <v>45839</v>
      </c>
      <c r="H26" s="345">
        <v>0</v>
      </c>
      <c r="I26" s="346">
        <f t="shared" si="1"/>
        <v>0</v>
      </c>
      <c r="J26" s="347">
        <f>I26*'Cash-flow PLAN'!$D$55/12</f>
        <v>0</v>
      </c>
      <c r="L26" s="349">
        <v>45839</v>
      </c>
      <c r="M26" s="345">
        <v>0</v>
      </c>
      <c r="N26" s="346">
        <f t="shared" si="2"/>
        <v>0</v>
      </c>
      <c r="O26" s="347">
        <f>N26*'Cash-flow PLAN'!$D$56/12</f>
        <v>0</v>
      </c>
      <c r="Q26" s="349">
        <v>45839</v>
      </c>
      <c r="R26" s="345">
        <v>0</v>
      </c>
      <c r="S26" s="346">
        <f t="shared" si="3"/>
        <v>0</v>
      </c>
      <c r="T26" s="347">
        <f>S26*'Cash-flow PLAN'!$D$57/12</f>
        <v>0</v>
      </c>
    </row>
    <row r="27" spans="2:20" ht="14">
      <c r="B27" s="349">
        <v>45870</v>
      </c>
      <c r="C27" s="345">
        <v>0</v>
      </c>
      <c r="D27" s="346">
        <f t="shared" si="0"/>
        <v>0</v>
      </c>
      <c r="E27" s="347">
        <f>D27*'Cash-flow PLAN'!$D$54/12</f>
        <v>0</v>
      </c>
      <c r="G27" s="349">
        <v>45870</v>
      </c>
      <c r="H27" s="345">
        <v>0</v>
      </c>
      <c r="I27" s="346">
        <f t="shared" si="1"/>
        <v>0</v>
      </c>
      <c r="J27" s="347">
        <f>I27*'Cash-flow PLAN'!$D$55/12</f>
        <v>0</v>
      </c>
      <c r="L27" s="349">
        <v>45870</v>
      </c>
      <c r="M27" s="345">
        <v>0</v>
      </c>
      <c r="N27" s="346">
        <f t="shared" si="2"/>
        <v>0</v>
      </c>
      <c r="O27" s="347">
        <f>N27*'Cash-flow PLAN'!$D$56/12</f>
        <v>0</v>
      </c>
      <c r="Q27" s="349">
        <v>45870</v>
      </c>
      <c r="R27" s="345">
        <v>0</v>
      </c>
      <c r="S27" s="346">
        <f t="shared" si="3"/>
        <v>0</v>
      </c>
      <c r="T27" s="347">
        <f>S27*'Cash-flow PLAN'!$D$57/12</f>
        <v>0</v>
      </c>
    </row>
    <row r="28" spans="2:20" ht="14">
      <c r="B28" s="349">
        <v>45901</v>
      </c>
      <c r="C28" s="345">
        <v>0</v>
      </c>
      <c r="D28" s="346">
        <f t="shared" si="0"/>
        <v>0</v>
      </c>
      <c r="E28" s="347">
        <f>D28*'Cash-flow PLAN'!$D$54/12</f>
        <v>0</v>
      </c>
      <c r="G28" s="349">
        <v>45901</v>
      </c>
      <c r="H28" s="345">
        <v>0</v>
      </c>
      <c r="I28" s="346">
        <f t="shared" si="1"/>
        <v>0</v>
      </c>
      <c r="J28" s="347">
        <f>I28*'Cash-flow PLAN'!$D$55/12</f>
        <v>0</v>
      </c>
      <c r="L28" s="349">
        <v>45901</v>
      </c>
      <c r="M28" s="345">
        <v>0</v>
      </c>
      <c r="N28" s="346">
        <f t="shared" si="2"/>
        <v>0</v>
      </c>
      <c r="O28" s="347">
        <f>N28*'Cash-flow PLAN'!$D$56/12</f>
        <v>0</v>
      </c>
      <c r="Q28" s="349">
        <v>45901</v>
      </c>
      <c r="R28" s="345">
        <v>0</v>
      </c>
      <c r="S28" s="346">
        <f t="shared" si="3"/>
        <v>0</v>
      </c>
      <c r="T28" s="347">
        <f>S28*'Cash-flow PLAN'!$D$57/12</f>
        <v>0</v>
      </c>
    </row>
    <row r="29" spans="2:20" ht="14">
      <c r="B29" s="349">
        <v>45931</v>
      </c>
      <c r="C29" s="345">
        <v>0</v>
      </c>
      <c r="D29" s="346">
        <f t="shared" si="0"/>
        <v>0</v>
      </c>
      <c r="E29" s="347">
        <f>D29*'Cash-flow PLAN'!$D$54/12</f>
        <v>0</v>
      </c>
      <c r="G29" s="349">
        <v>45931</v>
      </c>
      <c r="H29" s="345">
        <v>0</v>
      </c>
      <c r="I29" s="346">
        <f t="shared" si="1"/>
        <v>0</v>
      </c>
      <c r="J29" s="347">
        <f>I29*'Cash-flow PLAN'!$D$55/12</f>
        <v>0</v>
      </c>
      <c r="L29" s="349">
        <v>45931</v>
      </c>
      <c r="M29" s="345">
        <v>0</v>
      </c>
      <c r="N29" s="346">
        <f t="shared" si="2"/>
        <v>0</v>
      </c>
      <c r="O29" s="347">
        <f>N29*'Cash-flow PLAN'!$D$56/12</f>
        <v>0</v>
      </c>
      <c r="Q29" s="349">
        <v>45931</v>
      </c>
      <c r="R29" s="345">
        <v>0</v>
      </c>
      <c r="S29" s="346">
        <f t="shared" si="3"/>
        <v>0</v>
      </c>
      <c r="T29" s="347">
        <f>S29*'Cash-flow PLAN'!$D$57/12</f>
        <v>0</v>
      </c>
    </row>
    <row r="30" spans="2:20" ht="14">
      <c r="B30" s="349">
        <v>45962</v>
      </c>
      <c r="C30" s="345">
        <v>0</v>
      </c>
      <c r="D30" s="346">
        <f t="shared" si="0"/>
        <v>0</v>
      </c>
      <c r="E30" s="347">
        <f>D30*'Cash-flow PLAN'!$D$54/12</f>
        <v>0</v>
      </c>
      <c r="G30" s="349">
        <v>45962</v>
      </c>
      <c r="H30" s="345">
        <v>0</v>
      </c>
      <c r="I30" s="346">
        <f t="shared" si="1"/>
        <v>0</v>
      </c>
      <c r="J30" s="347">
        <f>I30*'Cash-flow PLAN'!$D$55/12</f>
        <v>0</v>
      </c>
      <c r="L30" s="349">
        <v>45962</v>
      </c>
      <c r="M30" s="345">
        <v>0</v>
      </c>
      <c r="N30" s="346">
        <f t="shared" si="2"/>
        <v>0</v>
      </c>
      <c r="O30" s="347">
        <f>N30*'Cash-flow PLAN'!$D$56/12</f>
        <v>0</v>
      </c>
      <c r="Q30" s="349">
        <v>45962</v>
      </c>
      <c r="R30" s="345">
        <v>0</v>
      </c>
      <c r="S30" s="346">
        <f t="shared" si="3"/>
        <v>0</v>
      </c>
      <c r="T30" s="347">
        <f>S30*'Cash-flow PLAN'!$D$57/12</f>
        <v>0</v>
      </c>
    </row>
    <row r="31" spans="2:20" ht="14">
      <c r="B31" s="349">
        <v>45992</v>
      </c>
      <c r="C31" s="345">
        <v>0</v>
      </c>
      <c r="D31" s="346">
        <f t="shared" si="0"/>
        <v>0</v>
      </c>
      <c r="E31" s="347">
        <f>D31*'Cash-flow PLAN'!$D$54/12</f>
        <v>0</v>
      </c>
      <c r="G31" s="349">
        <v>45992</v>
      </c>
      <c r="H31" s="345">
        <v>0</v>
      </c>
      <c r="I31" s="346">
        <f t="shared" si="1"/>
        <v>0</v>
      </c>
      <c r="J31" s="347">
        <f>I31*'Cash-flow PLAN'!$D$55/12</f>
        <v>0</v>
      </c>
      <c r="L31" s="349">
        <v>45992</v>
      </c>
      <c r="M31" s="345">
        <v>0</v>
      </c>
      <c r="N31" s="346">
        <f t="shared" si="2"/>
        <v>0</v>
      </c>
      <c r="O31" s="347">
        <f>N31*'Cash-flow PLAN'!$D$56/12</f>
        <v>0</v>
      </c>
      <c r="Q31" s="349">
        <v>45992</v>
      </c>
      <c r="R31" s="345">
        <v>0</v>
      </c>
      <c r="S31" s="346">
        <f t="shared" si="3"/>
        <v>0</v>
      </c>
      <c r="T31" s="347">
        <f>S31*'Cash-flow PLAN'!$D$57/12</f>
        <v>0</v>
      </c>
    </row>
    <row r="32" spans="2:20" ht="14">
      <c r="B32" s="344">
        <v>46023</v>
      </c>
      <c r="C32" s="345">
        <v>0</v>
      </c>
      <c r="D32" s="346">
        <f t="shared" si="0"/>
        <v>0</v>
      </c>
      <c r="E32" s="347">
        <f>D32*'Cash-flow PLAN'!$D$54/12</f>
        <v>0</v>
      </c>
      <c r="G32" s="344">
        <v>46023</v>
      </c>
      <c r="H32" s="345">
        <v>0</v>
      </c>
      <c r="I32" s="346">
        <f t="shared" si="1"/>
        <v>0</v>
      </c>
      <c r="J32" s="347">
        <f>I32*'Cash-flow PLAN'!$D$55/12</f>
        <v>0</v>
      </c>
      <c r="L32" s="344">
        <v>46023</v>
      </c>
      <c r="M32" s="345">
        <v>0</v>
      </c>
      <c r="N32" s="346">
        <f t="shared" si="2"/>
        <v>0</v>
      </c>
      <c r="O32" s="347">
        <f>N32*'Cash-flow PLAN'!$D$56/12</f>
        <v>0</v>
      </c>
      <c r="Q32" s="344">
        <v>46023</v>
      </c>
      <c r="R32" s="345">
        <v>0</v>
      </c>
      <c r="S32" s="346">
        <f t="shared" si="3"/>
        <v>0</v>
      </c>
      <c r="T32" s="347">
        <f>S32*'Cash-flow PLAN'!$D$57/12</f>
        <v>0</v>
      </c>
    </row>
    <row r="33" spans="2:20" ht="14">
      <c r="B33" s="349">
        <v>46054</v>
      </c>
      <c r="C33" s="345">
        <v>0</v>
      </c>
      <c r="D33" s="346">
        <f t="shared" si="0"/>
        <v>0</v>
      </c>
      <c r="E33" s="347">
        <f>D33*'Cash-flow PLAN'!$D$54/12</f>
        <v>0</v>
      </c>
      <c r="G33" s="349">
        <v>46054</v>
      </c>
      <c r="H33" s="345">
        <v>0</v>
      </c>
      <c r="I33" s="346">
        <f t="shared" si="1"/>
        <v>0</v>
      </c>
      <c r="J33" s="347">
        <f>I33*'Cash-flow PLAN'!$D$55/12</f>
        <v>0</v>
      </c>
      <c r="L33" s="349">
        <v>46054</v>
      </c>
      <c r="M33" s="345">
        <v>0</v>
      </c>
      <c r="N33" s="346">
        <f t="shared" si="2"/>
        <v>0</v>
      </c>
      <c r="O33" s="347">
        <f>N33*'Cash-flow PLAN'!$D$56/12</f>
        <v>0</v>
      </c>
      <c r="Q33" s="349">
        <v>46054</v>
      </c>
      <c r="R33" s="345">
        <v>0</v>
      </c>
      <c r="S33" s="346">
        <f t="shared" si="3"/>
        <v>0</v>
      </c>
      <c r="T33" s="347">
        <f>S33*'Cash-flow PLAN'!$D$57/12</f>
        <v>0</v>
      </c>
    </row>
    <row r="34" spans="2:20" ht="14">
      <c r="B34" s="349">
        <v>46082</v>
      </c>
      <c r="C34" s="345">
        <v>0</v>
      </c>
      <c r="D34" s="346">
        <f t="shared" si="0"/>
        <v>0</v>
      </c>
      <c r="E34" s="347">
        <f>D34*'Cash-flow PLAN'!$D$54/12</f>
        <v>0</v>
      </c>
      <c r="G34" s="349">
        <v>46082</v>
      </c>
      <c r="H34" s="345">
        <v>0</v>
      </c>
      <c r="I34" s="346">
        <f t="shared" si="1"/>
        <v>0</v>
      </c>
      <c r="J34" s="347">
        <f>I34*'Cash-flow PLAN'!$D$55/12</f>
        <v>0</v>
      </c>
      <c r="L34" s="349">
        <v>46082</v>
      </c>
      <c r="M34" s="345">
        <v>0</v>
      </c>
      <c r="N34" s="346">
        <f t="shared" si="2"/>
        <v>0</v>
      </c>
      <c r="O34" s="347">
        <f>N34*'Cash-flow PLAN'!$D$56/12</f>
        <v>0</v>
      </c>
      <c r="Q34" s="349">
        <v>46082</v>
      </c>
      <c r="R34" s="345">
        <v>0</v>
      </c>
      <c r="S34" s="346">
        <f t="shared" si="3"/>
        <v>0</v>
      </c>
      <c r="T34" s="347">
        <f>S34*'Cash-flow PLAN'!$D$57/12</f>
        <v>0</v>
      </c>
    </row>
    <row r="35" spans="2:20" ht="14">
      <c r="B35" s="349">
        <v>46113</v>
      </c>
      <c r="C35" s="345">
        <v>0</v>
      </c>
      <c r="D35" s="346">
        <f t="shared" si="0"/>
        <v>0</v>
      </c>
      <c r="E35" s="347">
        <f>D35*'Cash-flow PLAN'!$D$54/12</f>
        <v>0</v>
      </c>
      <c r="G35" s="349">
        <v>46113</v>
      </c>
      <c r="H35" s="345">
        <v>0</v>
      </c>
      <c r="I35" s="346">
        <f t="shared" si="1"/>
        <v>0</v>
      </c>
      <c r="J35" s="347">
        <f>I35*'Cash-flow PLAN'!$D$55/12</f>
        <v>0</v>
      </c>
      <c r="L35" s="349">
        <v>46113</v>
      </c>
      <c r="M35" s="345">
        <v>0</v>
      </c>
      <c r="N35" s="346">
        <f t="shared" si="2"/>
        <v>0</v>
      </c>
      <c r="O35" s="347">
        <f>N35*'Cash-flow PLAN'!$D$56/12</f>
        <v>0</v>
      </c>
      <c r="Q35" s="349">
        <v>46113</v>
      </c>
      <c r="R35" s="345">
        <v>0</v>
      </c>
      <c r="S35" s="346">
        <f t="shared" si="3"/>
        <v>0</v>
      </c>
      <c r="T35" s="347">
        <f>S35*'Cash-flow PLAN'!$D$57/12</f>
        <v>0</v>
      </c>
    </row>
    <row r="36" spans="2:20" ht="14">
      <c r="B36" s="349">
        <v>46143</v>
      </c>
      <c r="C36" s="345">
        <v>0</v>
      </c>
      <c r="D36" s="346">
        <f t="shared" si="0"/>
        <v>0</v>
      </c>
      <c r="E36" s="347">
        <f>D36*'Cash-flow PLAN'!$D$54/12</f>
        <v>0</v>
      </c>
      <c r="G36" s="349">
        <v>46143</v>
      </c>
      <c r="H36" s="345">
        <v>0</v>
      </c>
      <c r="I36" s="346">
        <f t="shared" si="1"/>
        <v>0</v>
      </c>
      <c r="J36" s="347">
        <f>I36*'Cash-flow PLAN'!$D$55/12</f>
        <v>0</v>
      </c>
      <c r="L36" s="349">
        <v>46143</v>
      </c>
      <c r="M36" s="345">
        <v>0</v>
      </c>
      <c r="N36" s="346">
        <f t="shared" si="2"/>
        <v>0</v>
      </c>
      <c r="O36" s="347">
        <f>N36*'Cash-flow PLAN'!$D$56/12</f>
        <v>0</v>
      </c>
      <c r="Q36" s="349">
        <v>46143</v>
      </c>
      <c r="R36" s="345">
        <v>0</v>
      </c>
      <c r="S36" s="346">
        <f t="shared" si="3"/>
        <v>0</v>
      </c>
      <c r="T36" s="347">
        <f>S36*'Cash-flow PLAN'!$D$57/12</f>
        <v>0</v>
      </c>
    </row>
    <row r="37" spans="2:20" ht="14">
      <c r="B37" s="350">
        <v>46174</v>
      </c>
      <c r="C37" s="345">
        <v>0</v>
      </c>
      <c r="D37" s="346">
        <f t="shared" si="0"/>
        <v>0</v>
      </c>
      <c r="E37" s="347">
        <f>D37*'Cash-flow PLAN'!$D$54/12</f>
        <v>0</v>
      </c>
      <c r="G37" s="350">
        <v>46174</v>
      </c>
      <c r="H37" s="345">
        <v>0</v>
      </c>
      <c r="I37" s="346">
        <f t="shared" si="1"/>
        <v>0</v>
      </c>
      <c r="J37" s="347">
        <f>I37*'Cash-flow PLAN'!$D$55/12</f>
        <v>0</v>
      </c>
      <c r="L37" s="350">
        <v>46174</v>
      </c>
      <c r="M37" s="345">
        <v>0</v>
      </c>
      <c r="N37" s="346">
        <f t="shared" si="2"/>
        <v>0</v>
      </c>
      <c r="O37" s="347">
        <f>N37*'Cash-flow PLAN'!$D$56/12</f>
        <v>0</v>
      </c>
      <c r="Q37" s="350">
        <v>46174</v>
      </c>
      <c r="R37" s="345">
        <v>0</v>
      </c>
      <c r="S37" s="346">
        <f t="shared" si="3"/>
        <v>0</v>
      </c>
      <c r="T37" s="347">
        <f>S37*'Cash-flow PLAN'!$D$57/12</f>
        <v>0</v>
      </c>
    </row>
    <row r="38" spans="2:20" ht="14">
      <c r="B38" s="349">
        <v>46204</v>
      </c>
      <c r="C38" s="345">
        <v>0</v>
      </c>
      <c r="D38" s="346">
        <f t="shared" si="0"/>
        <v>0</v>
      </c>
      <c r="E38" s="347">
        <f>D38*'Cash-flow PLAN'!$D$54/12</f>
        <v>0</v>
      </c>
      <c r="G38" s="349">
        <v>46204</v>
      </c>
      <c r="H38" s="345">
        <v>0</v>
      </c>
      <c r="I38" s="346">
        <f t="shared" si="1"/>
        <v>0</v>
      </c>
      <c r="J38" s="347">
        <f>I38*'Cash-flow PLAN'!$D$55/12</f>
        <v>0</v>
      </c>
      <c r="L38" s="349">
        <v>46204</v>
      </c>
      <c r="M38" s="345">
        <v>0</v>
      </c>
      <c r="N38" s="346">
        <f t="shared" si="2"/>
        <v>0</v>
      </c>
      <c r="O38" s="347">
        <f>N38*'Cash-flow PLAN'!$D$56/12</f>
        <v>0</v>
      </c>
      <c r="Q38" s="349">
        <v>46204</v>
      </c>
      <c r="R38" s="345">
        <v>0</v>
      </c>
      <c r="S38" s="346">
        <f t="shared" si="3"/>
        <v>0</v>
      </c>
      <c r="T38" s="347">
        <f>S38*'Cash-flow PLAN'!$D$57/12</f>
        <v>0</v>
      </c>
    </row>
    <row r="39" spans="2:20" ht="14">
      <c r="B39" s="349">
        <v>46235</v>
      </c>
      <c r="C39" s="345">
        <v>0</v>
      </c>
      <c r="D39" s="346">
        <f t="shared" si="0"/>
        <v>0</v>
      </c>
      <c r="E39" s="347">
        <f>D39*'Cash-flow PLAN'!$D$54/12</f>
        <v>0</v>
      </c>
      <c r="G39" s="349">
        <v>46235</v>
      </c>
      <c r="H39" s="345">
        <v>0</v>
      </c>
      <c r="I39" s="346">
        <f t="shared" si="1"/>
        <v>0</v>
      </c>
      <c r="J39" s="347">
        <f>I39*'Cash-flow PLAN'!$D$55/12</f>
        <v>0</v>
      </c>
      <c r="L39" s="349">
        <v>46235</v>
      </c>
      <c r="M39" s="345">
        <v>0</v>
      </c>
      <c r="N39" s="346">
        <f t="shared" si="2"/>
        <v>0</v>
      </c>
      <c r="O39" s="347">
        <f>N39*'Cash-flow PLAN'!$D$56/12</f>
        <v>0</v>
      </c>
      <c r="Q39" s="349">
        <v>46235</v>
      </c>
      <c r="R39" s="345">
        <v>0</v>
      </c>
      <c r="S39" s="346">
        <f t="shared" si="3"/>
        <v>0</v>
      </c>
      <c r="T39" s="347">
        <f>S39*'Cash-flow PLAN'!$D$57/12</f>
        <v>0</v>
      </c>
    </row>
    <row r="40" spans="2:20" ht="14">
      <c r="B40" s="349">
        <v>46266</v>
      </c>
      <c r="C40" s="345">
        <v>0</v>
      </c>
      <c r="D40" s="346">
        <f t="shared" si="0"/>
        <v>0</v>
      </c>
      <c r="E40" s="347">
        <f>D40*'Cash-flow PLAN'!$D$54/12</f>
        <v>0</v>
      </c>
      <c r="G40" s="349">
        <v>46266</v>
      </c>
      <c r="H40" s="345">
        <v>0</v>
      </c>
      <c r="I40" s="346">
        <f t="shared" si="1"/>
        <v>0</v>
      </c>
      <c r="J40" s="347">
        <f>I40*'Cash-flow PLAN'!$D$55/12</f>
        <v>0</v>
      </c>
      <c r="L40" s="349">
        <v>46266</v>
      </c>
      <c r="M40" s="345">
        <v>0</v>
      </c>
      <c r="N40" s="346">
        <f t="shared" si="2"/>
        <v>0</v>
      </c>
      <c r="O40" s="347">
        <f>N40*'Cash-flow PLAN'!$D$56/12</f>
        <v>0</v>
      </c>
      <c r="Q40" s="349">
        <v>46266</v>
      </c>
      <c r="R40" s="345">
        <v>0</v>
      </c>
      <c r="S40" s="346">
        <f t="shared" si="3"/>
        <v>0</v>
      </c>
      <c r="T40" s="347">
        <f>S40*'Cash-flow PLAN'!$D$57/12</f>
        <v>0</v>
      </c>
    </row>
    <row r="41" spans="2:20" ht="14">
      <c r="B41" s="349">
        <v>46296</v>
      </c>
      <c r="C41" s="345">
        <v>0</v>
      </c>
      <c r="D41" s="346">
        <f t="shared" si="0"/>
        <v>0</v>
      </c>
      <c r="E41" s="347">
        <f>D41*'Cash-flow PLAN'!$D$54/12</f>
        <v>0</v>
      </c>
      <c r="G41" s="349">
        <v>46296</v>
      </c>
      <c r="H41" s="345">
        <v>0</v>
      </c>
      <c r="I41" s="346">
        <f t="shared" si="1"/>
        <v>0</v>
      </c>
      <c r="J41" s="347">
        <f>I41*'Cash-flow PLAN'!$D$55/12</f>
        <v>0</v>
      </c>
      <c r="L41" s="349">
        <v>46296</v>
      </c>
      <c r="M41" s="345">
        <v>0</v>
      </c>
      <c r="N41" s="346">
        <f t="shared" si="2"/>
        <v>0</v>
      </c>
      <c r="O41" s="347">
        <f>N41*'Cash-flow PLAN'!$D$56/12</f>
        <v>0</v>
      </c>
      <c r="Q41" s="349">
        <v>46296</v>
      </c>
      <c r="R41" s="345">
        <v>0</v>
      </c>
      <c r="S41" s="346">
        <f t="shared" si="3"/>
        <v>0</v>
      </c>
      <c r="T41" s="347">
        <f>S41*'Cash-flow PLAN'!$D$57/12</f>
        <v>0</v>
      </c>
    </row>
    <row r="42" spans="2:20" ht="14">
      <c r="B42" s="349">
        <v>46327</v>
      </c>
      <c r="C42" s="345">
        <v>0</v>
      </c>
      <c r="D42" s="346">
        <f t="shared" si="0"/>
        <v>0</v>
      </c>
      <c r="E42" s="347">
        <f>D42*'Cash-flow PLAN'!$D$54/12</f>
        <v>0</v>
      </c>
      <c r="G42" s="349">
        <v>46327</v>
      </c>
      <c r="H42" s="345">
        <v>0</v>
      </c>
      <c r="I42" s="346">
        <f t="shared" si="1"/>
        <v>0</v>
      </c>
      <c r="J42" s="347">
        <f>I42*'Cash-flow PLAN'!$D$55/12</f>
        <v>0</v>
      </c>
      <c r="L42" s="349">
        <v>46327</v>
      </c>
      <c r="M42" s="345">
        <v>0</v>
      </c>
      <c r="N42" s="346">
        <f t="shared" si="2"/>
        <v>0</v>
      </c>
      <c r="O42" s="347">
        <f>N42*'Cash-flow PLAN'!$D$56/12</f>
        <v>0</v>
      </c>
      <c r="Q42" s="349">
        <v>46327</v>
      </c>
      <c r="R42" s="345">
        <v>0</v>
      </c>
      <c r="S42" s="346">
        <f t="shared" si="3"/>
        <v>0</v>
      </c>
      <c r="T42" s="347">
        <f>S42*'Cash-flow PLAN'!$D$57/12</f>
        <v>0</v>
      </c>
    </row>
    <row r="43" spans="2:20" ht="14">
      <c r="B43" s="349">
        <v>46357</v>
      </c>
      <c r="C43" s="345">
        <v>0</v>
      </c>
      <c r="D43" s="346">
        <f t="shared" si="0"/>
        <v>0</v>
      </c>
      <c r="E43" s="347">
        <f>D43*'Cash-flow PLAN'!$D$54/12</f>
        <v>0</v>
      </c>
      <c r="G43" s="349">
        <v>46357</v>
      </c>
      <c r="H43" s="345">
        <v>0</v>
      </c>
      <c r="I43" s="346">
        <f t="shared" si="1"/>
        <v>0</v>
      </c>
      <c r="J43" s="347">
        <f>I43*'Cash-flow PLAN'!$D$55/12</f>
        <v>0</v>
      </c>
      <c r="L43" s="349">
        <v>46357</v>
      </c>
      <c r="M43" s="345">
        <v>0</v>
      </c>
      <c r="N43" s="346">
        <f t="shared" si="2"/>
        <v>0</v>
      </c>
      <c r="O43" s="347">
        <f>N43*'Cash-flow PLAN'!$D$56/12</f>
        <v>0</v>
      </c>
      <c r="Q43" s="349">
        <v>46357</v>
      </c>
      <c r="R43" s="345">
        <v>0</v>
      </c>
      <c r="S43" s="346">
        <f t="shared" si="3"/>
        <v>0</v>
      </c>
      <c r="T43" s="347">
        <f>S43*'Cash-flow PLAN'!$D$57/12</f>
        <v>0</v>
      </c>
    </row>
    <row r="44" spans="2:20" ht="14">
      <c r="B44" s="344">
        <v>46388</v>
      </c>
      <c r="C44" s="345">
        <v>0</v>
      </c>
      <c r="D44" s="346">
        <f t="shared" si="0"/>
        <v>0</v>
      </c>
      <c r="E44" s="347">
        <f>D44*'Cash-flow PLAN'!$D$54/12</f>
        <v>0</v>
      </c>
      <c r="G44" s="344">
        <v>46388</v>
      </c>
      <c r="H44" s="345">
        <v>0</v>
      </c>
      <c r="I44" s="346">
        <f t="shared" si="1"/>
        <v>0</v>
      </c>
      <c r="J44" s="347">
        <f>I44*'Cash-flow PLAN'!$D$55/12</f>
        <v>0</v>
      </c>
      <c r="L44" s="344">
        <v>46388</v>
      </c>
      <c r="M44" s="345">
        <v>0</v>
      </c>
      <c r="N44" s="346">
        <f t="shared" si="2"/>
        <v>0</v>
      </c>
      <c r="O44" s="347">
        <f>N44*'Cash-flow PLAN'!$D$56/12</f>
        <v>0</v>
      </c>
      <c r="Q44" s="344">
        <v>46388</v>
      </c>
      <c r="R44" s="345">
        <v>0</v>
      </c>
      <c r="S44" s="346">
        <f t="shared" si="3"/>
        <v>0</v>
      </c>
      <c r="T44" s="347">
        <f>S44*'Cash-flow PLAN'!$D$57/12</f>
        <v>0</v>
      </c>
    </row>
    <row r="45" spans="2:20" ht="14">
      <c r="B45" s="349">
        <v>46419</v>
      </c>
      <c r="C45" s="345">
        <v>0</v>
      </c>
      <c r="D45" s="346">
        <f t="shared" si="0"/>
        <v>0</v>
      </c>
      <c r="E45" s="347">
        <f>D45*'Cash-flow PLAN'!$D$54/12</f>
        <v>0</v>
      </c>
      <c r="G45" s="349">
        <v>46419</v>
      </c>
      <c r="H45" s="345">
        <v>0</v>
      </c>
      <c r="I45" s="346">
        <f t="shared" si="1"/>
        <v>0</v>
      </c>
      <c r="J45" s="347">
        <f>I45*'Cash-flow PLAN'!$D$55/12</f>
        <v>0</v>
      </c>
      <c r="L45" s="349">
        <v>46419</v>
      </c>
      <c r="M45" s="345">
        <v>0</v>
      </c>
      <c r="N45" s="346">
        <f t="shared" si="2"/>
        <v>0</v>
      </c>
      <c r="O45" s="347">
        <f>N45*'Cash-flow PLAN'!$D$56/12</f>
        <v>0</v>
      </c>
      <c r="Q45" s="349">
        <v>46419</v>
      </c>
      <c r="R45" s="345">
        <v>0</v>
      </c>
      <c r="S45" s="346">
        <f t="shared" si="3"/>
        <v>0</v>
      </c>
      <c r="T45" s="347">
        <f>S45*'Cash-flow PLAN'!$D$57/12</f>
        <v>0</v>
      </c>
    </row>
    <row r="46" spans="2:20" ht="14">
      <c r="B46" s="349">
        <v>46447</v>
      </c>
      <c r="C46" s="345">
        <v>0</v>
      </c>
      <c r="D46" s="346">
        <f t="shared" si="0"/>
        <v>0</v>
      </c>
      <c r="E46" s="347">
        <f>D46*'Cash-flow PLAN'!$D$54/12</f>
        <v>0</v>
      </c>
      <c r="G46" s="349">
        <v>46447</v>
      </c>
      <c r="H46" s="345">
        <v>0</v>
      </c>
      <c r="I46" s="346">
        <f t="shared" si="1"/>
        <v>0</v>
      </c>
      <c r="J46" s="347">
        <f>I46*'Cash-flow PLAN'!$D$55/12</f>
        <v>0</v>
      </c>
      <c r="L46" s="349">
        <v>46447</v>
      </c>
      <c r="M46" s="345">
        <v>0</v>
      </c>
      <c r="N46" s="346">
        <f t="shared" si="2"/>
        <v>0</v>
      </c>
      <c r="O46" s="347">
        <f>N46*'Cash-flow PLAN'!$D$56/12</f>
        <v>0</v>
      </c>
      <c r="Q46" s="349">
        <v>46447</v>
      </c>
      <c r="R46" s="345">
        <v>0</v>
      </c>
      <c r="S46" s="346">
        <f t="shared" si="3"/>
        <v>0</v>
      </c>
      <c r="T46" s="347">
        <f>S46*'Cash-flow PLAN'!$D$57/12</f>
        <v>0</v>
      </c>
    </row>
    <row r="47" spans="2:20" ht="14">
      <c r="B47" s="349">
        <v>46478</v>
      </c>
      <c r="C47" s="345">
        <v>0</v>
      </c>
      <c r="D47" s="346">
        <f t="shared" si="0"/>
        <v>0</v>
      </c>
      <c r="E47" s="347">
        <f>D47*'Cash-flow PLAN'!$D$54/12</f>
        <v>0</v>
      </c>
      <c r="G47" s="349">
        <v>46478</v>
      </c>
      <c r="H47" s="345">
        <v>0</v>
      </c>
      <c r="I47" s="346">
        <f t="shared" si="1"/>
        <v>0</v>
      </c>
      <c r="J47" s="347">
        <f>I47*'Cash-flow PLAN'!$D$55/12</f>
        <v>0</v>
      </c>
      <c r="L47" s="349">
        <v>46478</v>
      </c>
      <c r="M47" s="345">
        <v>0</v>
      </c>
      <c r="N47" s="346">
        <f t="shared" si="2"/>
        <v>0</v>
      </c>
      <c r="O47" s="347">
        <f>N47*'Cash-flow PLAN'!$D$56/12</f>
        <v>0</v>
      </c>
      <c r="Q47" s="349">
        <v>46478</v>
      </c>
      <c r="R47" s="345">
        <v>0</v>
      </c>
      <c r="S47" s="346">
        <f t="shared" si="3"/>
        <v>0</v>
      </c>
      <c r="T47" s="347">
        <f>S47*'Cash-flow PLAN'!$D$57/12</f>
        <v>0</v>
      </c>
    </row>
    <row r="48" spans="2:20" ht="14">
      <c r="B48" s="349">
        <v>46508</v>
      </c>
      <c r="C48" s="345">
        <v>0</v>
      </c>
      <c r="D48" s="346">
        <f t="shared" si="0"/>
        <v>0</v>
      </c>
      <c r="E48" s="347">
        <f>D48*'Cash-flow PLAN'!$D$54/12</f>
        <v>0</v>
      </c>
      <c r="G48" s="349">
        <v>46508</v>
      </c>
      <c r="H48" s="345">
        <v>0</v>
      </c>
      <c r="I48" s="346">
        <f t="shared" si="1"/>
        <v>0</v>
      </c>
      <c r="J48" s="347">
        <f>I48*'Cash-flow PLAN'!$D$55/12</f>
        <v>0</v>
      </c>
      <c r="L48" s="349">
        <v>46508</v>
      </c>
      <c r="M48" s="345">
        <v>0</v>
      </c>
      <c r="N48" s="346">
        <f t="shared" si="2"/>
        <v>0</v>
      </c>
      <c r="O48" s="347">
        <f>N48*'Cash-flow PLAN'!$D$56/12</f>
        <v>0</v>
      </c>
      <c r="Q48" s="349">
        <v>46508</v>
      </c>
      <c r="R48" s="345">
        <v>0</v>
      </c>
      <c r="S48" s="346">
        <f t="shared" si="3"/>
        <v>0</v>
      </c>
      <c r="T48" s="347">
        <f>S48*'Cash-flow PLAN'!$D$57/12</f>
        <v>0</v>
      </c>
    </row>
    <row r="49" spans="2:20" ht="14">
      <c r="B49" s="350">
        <v>46539</v>
      </c>
      <c r="C49" s="345">
        <v>0</v>
      </c>
      <c r="D49" s="346">
        <f t="shared" si="0"/>
        <v>0</v>
      </c>
      <c r="E49" s="347">
        <f>D49*'Cash-flow PLAN'!$D$54/12</f>
        <v>0</v>
      </c>
      <c r="G49" s="350">
        <v>46539</v>
      </c>
      <c r="H49" s="345">
        <v>0</v>
      </c>
      <c r="I49" s="346">
        <f t="shared" si="1"/>
        <v>0</v>
      </c>
      <c r="J49" s="347">
        <f>I49*'Cash-flow PLAN'!$D$55/12</f>
        <v>0</v>
      </c>
      <c r="L49" s="350">
        <v>46539</v>
      </c>
      <c r="M49" s="345">
        <v>0</v>
      </c>
      <c r="N49" s="346">
        <f t="shared" si="2"/>
        <v>0</v>
      </c>
      <c r="O49" s="347">
        <f>N49*'Cash-flow PLAN'!$D$56/12</f>
        <v>0</v>
      </c>
      <c r="Q49" s="350">
        <v>46539</v>
      </c>
      <c r="R49" s="345">
        <v>0</v>
      </c>
      <c r="S49" s="346">
        <f t="shared" si="3"/>
        <v>0</v>
      </c>
      <c r="T49" s="347">
        <f>S49*'Cash-flow PLAN'!$D$57/12</f>
        <v>0</v>
      </c>
    </row>
    <row r="50" spans="2:20" ht="14">
      <c r="B50" s="349">
        <v>46569</v>
      </c>
      <c r="C50" s="345">
        <v>0</v>
      </c>
      <c r="D50" s="346">
        <f t="shared" si="0"/>
        <v>0</v>
      </c>
      <c r="E50" s="347">
        <f>D50*'Cash-flow PLAN'!$D$54/12</f>
        <v>0</v>
      </c>
      <c r="G50" s="349">
        <v>46569</v>
      </c>
      <c r="H50" s="345">
        <v>0</v>
      </c>
      <c r="I50" s="346">
        <f t="shared" si="1"/>
        <v>0</v>
      </c>
      <c r="J50" s="347">
        <f>I50*'Cash-flow PLAN'!$D$55/12</f>
        <v>0</v>
      </c>
      <c r="L50" s="349">
        <v>46569</v>
      </c>
      <c r="M50" s="345">
        <v>0</v>
      </c>
      <c r="N50" s="346">
        <f t="shared" si="2"/>
        <v>0</v>
      </c>
      <c r="O50" s="347">
        <f>N50*'Cash-flow PLAN'!$D$56/12</f>
        <v>0</v>
      </c>
      <c r="Q50" s="349">
        <v>46569</v>
      </c>
      <c r="R50" s="345">
        <v>0</v>
      </c>
      <c r="S50" s="346">
        <f t="shared" si="3"/>
        <v>0</v>
      </c>
      <c r="T50" s="347">
        <f>S50*'Cash-flow PLAN'!$D$57/12</f>
        <v>0</v>
      </c>
    </row>
    <row r="51" spans="2:20" ht="14">
      <c r="B51" s="349">
        <v>46600</v>
      </c>
      <c r="C51" s="345">
        <v>0</v>
      </c>
      <c r="D51" s="346">
        <f t="shared" si="0"/>
        <v>0</v>
      </c>
      <c r="E51" s="347">
        <f>D51*'Cash-flow PLAN'!$D$54/12</f>
        <v>0</v>
      </c>
      <c r="G51" s="349">
        <v>46600</v>
      </c>
      <c r="H51" s="345">
        <v>0</v>
      </c>
      <c r="I51" s="346">
        <f t="shared" si="1"/>
        <v>0</v>
      </c>
      <c r="J51" s="347">
        <f>I51*'Cash-flow PLAN'!$D$55/12</f>
        <v>0</v>
      </c>
      <c r="L51" s="349">
        <v>46600</v>
      </c>
      <c r="M51" s="345">
        <v>0</v>
      </c>
      <c r="N51" s="346">
        <f t="shared" si="2"/>
        <v>0</v>
      </c>
      <c r="O51" s="347">
        <f>N51*'Cash-flow PLAN'!$D$56/12</f>
        <v>0</v>
      </c>
      <c r="Q51" s="349">
        <v>46600</v>
      </c>
      <c r="R51" s="345">
        <v>0</v>
      </c>
      <c r="S51" s="346">
        <f t="shared" si="3"/>
        <v>0</v>
      </c>
      <c r="T51" s="347">
        <f>S51*'Cash-flow PLAN'!$D$57/12</f>
        <v>0</v>
      </c>
    </row>
    <row r="52" spans="2:20" ht="14">
      <c r="B52" s="349">
        <v>46631</v>
      </c>
      <c r="C52" s="345">
        <v>0</v>
      </c>
      <c r="D52" s="346">
        <f t="shared" si="0"/>
        <v>0</v>
      </c>
      <c r="E52" s="347">
        <f>D52*'Cash-flow PLAN'!$D$54/12</f>
        <v>0</v>
      </c>
      <c r="G52" s="349">
        <v>46631</v>
      </c>
      <c r="H52" s="345">
        <v>0</v>
      </c>
      <c r="I52" s="346">
        <f t="shared" si="1"/>
        <v>0</v>
      </c>
      <c r="J52" s="347">
        <f>I52*'Cash-flow PLAN'!$D$55/12</f>
        <v>0</v>
      </c>
      <c r="L52" s="349">
        <v>46631</v>
      </c>
      <c r="M52" s="345">
        <v>0</v>
      </c>
      <c r="N52" s="346">
        <f t="shared" si="2"/>
        <v>0</v>
      </c>
      <c r="O52" s="347">
        <f>N52*'Cash-flow PLAN'!$D$56/12</f>
        <v>0</v>
      </c>
      <c r="Q52" s="349">
        <v>46631</v>
      </c>
      <c r="R52" s="345">
        <v>0</v>
      </c>
      <c r="S52" s="346">
        <f t="shared" si="3"/>
        <v>0</v>
      </c>
      <c r="T52" s="347">
        <f>S52*'Cash-flow PLAN'!$D$57/12</f>
        <v>0</v>
      </c>
    </row>
    <row r="53" spans="2:20" ht="14">
      <c r="B53" s="349">
        <v>46661</v>
      </c>
      <c r="C53" s="345">
        <v>0</v>
      </c>
      <c r="D53" s="346">
        <f t="shared" si="0"/>
        <v>0</v>
      </c>
      <c r="E53" s="347">
        <f>D53*'Cash-flow PLAN'!$D$54/12</f>
        <v>0</v>
      </c>
      <c r="G53" s="349">
        <v>46661</v>
      </c>
      <c r="H53" s="345">
        <v>0</v>
      </c>
      <c r="I53" s="346">
        <f t="shared" si="1"/>
        <v>0</v>
      </c>
      <c r="J53" s="347">
        <f>I53*'Cash-flow PLAN'!$D$55/12</f>
        <v>0</v>
      </c>
      <c r="L53" s="349">
        <v>46661</v>
      </c>
      <c r="M53" s="345">
        <v>0</v>
      </c>
      <c r="N53" s="346">
        <f t="shared" si="2"/>
        <v>0</v>
      </c>
      <c r="O53" s="347">
        <f>N53*'Cash-flow PLAN'!$D$56/12</f>
        <v>0</v>
      </c>
      <c r="Q53" s="349">
        <v>46661</v>
      </c>
      <c r="R53" s="345">
        <v>0</v>
      </c>
      <c r="S53" s="346">
        <f t="shared" si="3"/>
        <v>0</v>
      </c>
      <c r="T53" s="347">
        <f>S53*'Cash-flow PLAN'!$D$57/12</f>
        <v>0</v>
      </c>
    </row>
    <row r="54" spans="2:20" ht="14">
      <c r="B54" s="349">
        <v>46692</v>
      </c>
      <c r="C54" s="345">
        <v>0</v>
      </c>
      <c r="D54" s="346">
        <f t="shared" si="0"/>
        <v>0</v>
      </c>
      <c r="E54" s="347">
        <f>D54*'Cash-flow PLAN'!$D$54/12</f>
        <v>0</v>
      </c>
      <c r="G54" s="349">
        <v>46692</v>
      </c>
      <c r="H54" s="345">
        <v>0</v>
      </c>
      <c r="I54" s="346">
        <f t="shared" si="1"/>
        <v>0</v>
      </c>
      <c r="J54" s="347">
        <f>I54*'Cash-flow PLAN'!$D$55/12</f>
        <v>0</v>
      </c>
      <c r="L54" s="349">
        <v>46692</v>
      </c>
      <c r="M54" s="345">
        <v>0</v>
      </c>
      <c r="N54" s="346">
        <f t="shared" si="2"/>
        <v>0</v>
      </c>
      <c r="O54" s="347">
        <f>N54*'Cash-flow PLAN'!$D$56/12</f>
        <v>0</v>
      </c>
      <c r="Q54" s="349">
        <v>46692</v>
      </c>
      <c r="R54" s="345">
        <v>0</v>
      </c>
      <c r="S54" s="346">
        <f t="shared" si="3"/>
        <v>0</v>
      </c>
      <c r="T54" s="347">
        <f>S54*'Cash-flow PLAN'!$D$57/12</f>
        <v>0</v>
      </c>
    </row>
    <row r="55" spans="2:20" ht="14">
      <c r="B55" s="349">
        <v>46722</v>
      </c>
      <c r="C55" s="345">
        <v>0</v>
      </c>
      <c r="D55" s="346">
        <f t="shared" si="0"/>
        <v>0</v>
      </c>
      <c r="E55" s="347">
        <f>D55*'Cash-flow PLAN'!$D$54/12</f>
        <v>0</v>
      </c>
      <c r="G55" s="349">
        <v>46722</v>
      </c>
      <c r="H55" s="345">
        <v>0</v>
      </c>
      <c r="I55" s="346">
        <f t="shared" si="1"/>
        <v>0</v>
      </c>
      <c r="J55" s="347">
        <f>I55*'Cash-flow PLAN'!$D$55/12</f>
        <v>0</v>
      </c>
      <c r="L55" s="349">
        <v>46722</v>
      </c>
      <c r="M55" s="345">
        <v>0</v>
      </c>
      <c r="N55" s="346">
        <f t="shared" si="2"/>
        <v>0</v>
      </c>
      <c r="O55" s="347">
        <f>N55*'Cash-flow PLAN'!$D$56/12</f>
        <v>0</v>
      </c>
      <c r="Q55" s="349">
        <v>46722</v>
      </c>
      <c r="R55" s="345">
        <v>0</v>
      </c>
      <c r="S55" s="346">
        <f t="shared" si="3"/>
        <v>0</v>
      </c>
      <c r="T55" s="347">
        <f>S55*'Cash-flow PLAN'!$D$57/12</f>
        <v>0</v>
      </c>
    </row>
    <row r="56" spans="2:20" ht="14">
      <c r="B56" s="344">
        <v>46753</v>
      </c>
      <c r="C56" s="345">
        <v>0</v>
      </c>
      <c r="D56" s="346">
        <f t="shared" si="0"/>
        <v>0</v>
      </c>
      <c r="E56" s="347">
        <f>D56*'Cash-flow PLAN'!$D$54/12</f>
        <v>0</v>
      </c>
      <c r="G56" s="344">
        <v>46753</v>
      </c>
      <c r="H56" s="345">
        <v>0</v>
      </c>
      <c r="I56" s="346">
        <f t="shared" si="1"/>
        <v>0</v>
      </c>
      <c r="J56" s="347">
        <f>I56*'Cash-flow PLAN'!$D$55/12</f>
        <v>0</v>
      </c>
      <c r="L56" s="344">
        <v>46753</v>
      </c>
      <c r="M56" s="345">
        <v>0</v>
      </c>
      <c r="N56" s="346">
        <f t="shared" si="2"/>
        <v>0</v>
      </c>
      <c r="O56" s="347">
        <f>N56*'Cash-flow PLAN'!$D$56/12</f>
        <v>0</v>
      </c>
      <c r="Q56" s="344">
        <v>46753</v>
      </c>
      <c r="R56" s="345">
        <v>0</v>
      </c>
      <c r="S56" s="346">
        <f t="shared" si="3"/>
        <v>0</v>
      </c>
      <c r="T56" s="347">
        <f>S56*'Cash-flow PLAN'!$D$57/12</f>
        <v>0</v>
      </c>
    </row>
    <row r="57" spans="2:20" ht="14">
      <c r="B57" s="349">
        <v>46784</v>
      </c>
      <c r="C57" s="345">
        <v>0</v>
      </c>
      <c r="D57" s="346">
        <f t="shared" si="0"/>
        <v>0</v>
      </c>
      <c r="E57" s="347">
        <f>D57*'Cash-flow PLAN'!$D$54/12</f>
        <v>0</v>
      </c>
      <c r="G57" s="349">
        <v>46784</v>
      </c>
      <c r="H57" s="345">
        <v>0</v>
      </c>
      <c r="I57" s="346">
        <f t="shared" si="1"/>
        <v>0</v>
      </c>
      <c r="J57" s="347">
        <f>I57*'Cash-flow PLAN'!$D$55/12</f>
        <v>0</v>
      </c>
      <c r="L57" s="349">
        <v>46784</v>
      </c>
      <c r="M57" s="345">
        <v>0</v>
      </c>
      <c r="N57" s="346">
        <f t="shared" si="2"/>
        <v>0</v>
      </c>
      <c r="O57" s="347">
        <f>N57*'Cash-flow PLAN'!$D$56/12</f>
        <v>0</v>
      </c>
      <c r="Q57" s="349">
        <v>46784</v>
      </c>
      <c r="R57" s="345">
        <v>0</v>
      </c>
      <c r="S57" s="346">
        <f t="shared" si="3"/>
        <v>0</v>
      </c>
      <c r="T57" s="347">
        <f>S57*'Cash-flow PLAN'!$D$57/12</f>
        <v>0</v>
      </c>
    </row>
    <row r="58" spans="2:20" ht="14">
      <c r="B58" s="349">
        <v>46813</v>
      </c>
      <c r="C58" s="345">
        <v>0</v>
      </c>
      <c r="D58" s="346">
        <f t="shared" si="0"/>
        <v>0</v>
      </c>
      <c r="E58" s="347">
        <f>D58*'Cash-flow PLAN'!$D$54/12</f>
        <v>0</v>
      </c>
      <c r="G58" s="349">
        <v>46813</v>
      </c>
      <c r="H58" s="345">
        <v>0</v>
      </c>
      <c r="I58" s="346">
        <f t="shared" si="1"/>
        <v>0</v>
      </c>
      <c r="J58" s="347">
        <f>I58*'Cash-flow PLAN'!$D$55/12</f>
        <v>0</v>
      </c>
      <c r="L58" s="349">
        <v>46813</v>
      </c>
      <c r="M58" s="345">
        <v>0</v>
      </c>
      <c r="N58" s="346">
        <f t="shared" si="2"/>
        <v>0</v>
      </c>
      <c r="O58" s="347">
        <f>N58*'Cash-flow PLAN'!$D$56/12</f>
        <v>0</v>
      </c>
      <c r="Q58" s="349">
        <v>46813</v>
      </c>
      <c r="R58" s="345">
        <v>0</v>
      </c>
      <c r="S58" s="346">
        <f t="shared" si="3"/>
        <v>0</v>
      </c>
      <c r="T58" s="347">
        <f>S58*'Cash-flow PLAN'!$D$57/12</f>
        <v>0</v>
      </c>
    </row>
    <row r="59" spans="2:20" ht="14">
      <c r="B59" s="349">
        <v>46844</v>
      </c>
      <c r="C59" s="345">
        <v>0</v>
      </c>
      <c r="D59" s="346">
        <f t="shared" si="0"/>
        <v>0</v>
      </c>
      <c r="E59" s="347">
        <f>D59*'Cash-flow PLAN'!$D$54/12</f>
        <v>0</v>
      </c>
      <c r="G59" s="349">
        <v>46844</v>
      </c>
      <c r="H59" s="345">
        <v>0</v>
      </c>
      <c r="I59" s="346">
        <f t="shared" si="1"/>
        <v>0</v>
      </c>
      <c r="J59" s="347">
        <f>I59*'Cash-flow PLAN'!$D$55/12</f>
        <v>0</v>
      </c>
      <c r="L59" s="349">
        <v>46844</v>
      </c>
      <c r="M59" s="345">
        <v>0</v>
      </c>
      <c r="N59" s="346">
        <f t="shared" si="2"/>
        <v>0</v>
      </c>
      <c r="O59" s="347">
        <f>N59*'Cash-flow PLAN'!$D$56/12</f>
        <v>0</v>
      </c>
      <c r="Q59" s="349">
        <v>46844</v>
      </c>
      <c r="R59" s="345">
        <v>0</v>
      </c>
      <c r="S59" s="346">
        <f t="shared" si="3"/>
        <v>0</v>
      </c>
      <c r="T59" s="347">
        <f>S59*'Cash-flow PLAN'!$D$57/12</f>
        <v>0</v>
      </c>
    </row>
    <row r="60" spans="2:20" ht="14">
      <c r="B60" s="349">
        <v>46874</v>
      </c>
      <c r="C60" s="345">
        <v>0</v>
      </c>
      <c r="D60" s="346">
        <f t="shared" si="0"/>
        <v>0</v>
      </c>
      <c r="E60" s="347">
        <f>D60*'Cash-flow PLAN'!$D$54/12</f>
        <v>0</v>
      </c>
      <c r="G60" s="349">
        <v>46874</v>
      </c>
      <c r="H60" s="345">
        <v>0</v>
      </c>
      <c r="I60" s="346">
        <f t="shared" si="1"/>
        <v>0</v>
      </c>
      <c r="J60" s="347">
        <f>I60*'Cash-flow PLAN'!$D$55/12</f>
        <v>0</v>
      </c>
      <c r="L60" s="349">
        <v>46874</v>
      </c>
      <c r="M60" s="345">
        <v>0</v>
      </c>
      <c r="N60" s="346">
        <f t="shared" si="2"/>
        <v>0</v>
      </c>
      <c r="O60" s="347">
        <f>N60*'Cash-flow PLAN'!$D$56/12</f>
        <v>0</v>
      </c>
      <c r="Q60" s="349">
        <v>46874</v>
      </c>
      <c r="R60" s="345">
        <v>0</v>
      </c>
      <c r="S60" s="346">
        <f t="shared" si="3"/>
        <v>0</v>
      </c>
      <c r="T60" s="347">
        <f>S60*'Cash-flow PLAN'!$D$57/12</f>
        <v>0</v>
      </c>
    </row>
    <row r="61" spans="2:20" ht="14">
      <c r="B61" s="350">
        <v>46905</v>
      </c>
      <c r="C61" s="345">
        <v>0</v>
      </c>
      <c r="D61" s="346">
        <f t="shared" si="0"/>
        <v>0</v>
      </c>
      <c r="E61" s="347">
        <f>D61*'Cash-flow PLAN'!$D$54/12</f>
        <v>0</v>
      </c>
      <c r="G61" s="350">
        <v>46905</v>
      </c>
      <c r="H61" s="345">
        <v>0</v>
      </c>
      <c r="I61" s="346">
        <f t="shared" si="1"/>
        <v>0</v>
      </c>
      <c r="J61" s="347">
        <f>I61*'Cash-flow PLAN'!$D$55/12</f>
        <v>0</v>
      </c>
      <c r="L61" s="350">
        <v>46905</v>
      </c>
      <c r="M61" s="345">
        <v>0</v>
      </c>
      <c r="N61" s="346">
        <f t="shared" si="2"/>
        <v>0</v>
      </c>
      <c r="O61" s="347">
        <f>N61*'Cash-flow PLAN'!$D$56/12</f>
        <v>0</v>
      </c>
      <c r="Q61" s="350">
        <v>46905</v>
      </c>
      <c r="R61" s="345">
        <v>0</v>
      </c>
      <c r="S61" s="346">
        <f t="shared" si="3"/>
        <v>0</v>
      </c>
      <c r="T61" s="347">
        <f>S61*'Cash-flow PLAN'!$D$57/12</f>
        <v>0</v>
      </c>
    </row>
    <row r="62" spans="2:20" ht="14">
      <c r="B62" s="349">
        <v>46935</v>
      </c>
      <c r="C62" s="345">
        <v>0</v>
      </c>
      <c r="D62" s="346">
        <f t="shared" si="0"/>
        <v>0</v>
      </c>
      <c r="E62" s="347">
        <f>D62*'Cash-flow PLAN'!$D$54/12</f>
        <v>0</v>
      </c>
      <c r="G62" s="349">
        <v>46935</v>
      </c>
      <c r="H62" s="345">
        <v>0</v>
      </c>
      <c r="I62" s="346">
        <f t="shared" si="1"/>
        <v>0</v>
      </c>
      <c r="J62" s="347">
        <f>I62*'Cash-flow PLAN'!$D$55/12</f>
        <v>0</v>
      </c>
      <c r="L62" s="349">
        <v>46935</v>
      </c>
      <c r="M62" s="345">
        <v>0</v>
      </c>
      <c r="N62" s="346">
        <f t="shared" si="2"/>
        <v>0</v>
      </c>
      <c r="O62" s="347">
        <f>N62*'Cash-flow PLAN'!$D$56/12</f>
        <v>0</v>
      </c>
      <c r="Q62" s="349">
        <v>46935</v>
      </c>
      <c r="R62" s="345">
        <v>0</v>
      </c>
      <c r="S62" s="346">
        <f t="shared" si="3"/>
        <v>0</v>
      </c>
      <c r="T62" s="347">
        <f>S62*'Cash-flow PLAN'!$D$57/12</f>
        <v>0</v>
      </c>
    </row>
    <row r="63" spans="2:20" ht="14">
      <c r="B63" s="349">
        <v>46966</v>
      </c>
      <c r="C63" s="345">
        <v>0</v>
      </c>
      <c r="D63" s="346">
        <f t="shared" si="0"/>
        <v>0</v>
      </c>
      <c r="E63" s="347">
        <f>D63*'Cash-flow PLAN'!$D$54/12</f>
        <v>0</v>
      </c>
      <c r="G63" s="349">
        <v>46966</v>
      </c>
      <c r="H63" s="345">
        <v>0</v>
      </c>
      <c r="I63" s="346">
        <f t="shared" si="1"/>
        <v>0</v>
      </c>
      <c r="J63" s="347">
        <f>I63*'Cash-flow PLAN'!$D$55/12</f>
        <v>0</v>
      </c>
      <c r="L63" s="349">
        <v>46966</v>
      </c>
      <c r="M63" s="345">
        <v>0</v>
      </c>
      <c r="N63" s="346">
        <f t="shared" si="2"/>
        <v>0</v>
      </c>
      <c r="O63" s="347">
        <f>N63*'Cash-flow PLAN'!$D$56/12</f>
        <v>0</v>
      </c>
      <c r="Q63" s="349">
        <v>46966</v>
      </c>
      <c r="R63" s="345">
        <v>0</v>
      </c>
      <c r="S63" s="346">
        <f t="shared" si="3"/>
        <v>0</v>
      </c>
      <c r="T63" s="347">
        <f>S63*'Cash-flow PLAN'!$D$57/12</f>
        <v>0</v>
      </c>
    </row>
    <row r="64" spans="2:20" ht="14">
      <c r="B64" s="349">
        <v>46997</v>
      </c>
      <c r="C64" s="345">
        <v>0</v>
      </c>
      <c r="D64" s="346">
        <f t="shared" si="0"/>
        <v>0</v>
      </c>
      <c r="E64" s="347">
        <f>D64*'Cash-flow PLAN'!$D$54/12</f>
        <v>0</v>
      </c>
      <c r="G64" s="349">
        <v>46997</v>
      </c>
      <c r="H64" s="345">
        <v>0</v>
      </c>
      <c r="I64" s="346">
        <f t="shared" si="1"/>
        <v>0</v>
      </c>
      <c r="J64" s="347">
        <f>I64*'Cash-flow PLAN'!$D$55/12</f>
        <v>0</v>
      </c>
      <c r="L64" s="349">
        <v>46997</v>
      </c>
      <c r="M64" s="345">
        <v>0</v>
      </c>
      <c r="N64" s="346">
        <f t="shared" si="2"/>
        <v>0</v>
      </c>
      <c r="O64" s="347">
        <f>N64*'Cash-flow PLAN'!$D$56/12</f>
        <v>0</v>
      </c>
      <c r="Q64" s="349">
        <v>46997</v>
      </c>
      <c r="R64" s="345">
        <v>0</v>
      </c>
      <c r="S64" s="346">
        <f t="shared" si="3"/>
        <v>0</v>
      </c>
      <c r="T64" s="347">
        <f>S64*'Cash-flow PLAN'!$D$57/12</f>
        <v>0</v>
      </c>
    </row>
    <row r="65" spans="2:20" ht="14">
      <c r="B65" s="349">
        <v>47027</v>
      </c>
      <c r="C65" s="345">
        <v>0</v>
      </c>
      <c r="D65" s="346">
        <f t="shared" si="0"/>
        <v>0</v>
      </c>
      <c r="E65" s="347">
        <f>D65*'Cash-flow PLAN'!$D$54/12</f>
        <v>0</v>
      </c>
      <c r="G65" s="349">
        <v>47027</v>
      </c>
      <c r="H65" s="345">
        <v>0</v>
      </c>
      <c r="I65" s="346">
        <f t="shared" si="1"/>
        <v>0</v>
      </c>
      <c r="J65" s="347">
        <f>I65*'Cash-flow PLAN'!$D$55/12</f>
        <v>0</v>
      </c>
      <c r="L65" s="349">
        <v>47027</v>
      </c>
      <c r="M65" s="345">
        <v>0</v>
      </c>
      <c r="N65" s="346">
        <f t="shared" si="2"/>
        <v>0</v>
      </c>
      <c r="O65" s="347">
        <f>N65*'Cash-flow PLAN'!$D$56/12</f>
        <v>0</v>
      </c>
      <c r="Q65" s="349">
        <v>47027</v>
      </c>
      <c r="R65" s="345">
        <v>0</v>
      </c>
      <c r="S65" s="346">
        <f t="shared" si="3"/>
        <v>0</v>
      </c>
      <c r="T65" s="347">
        <f>S65*'Cash-flow PLAN'!$D$57/12</f>
        <v>0</v>
      </c>
    </row>
    <row r="66" spans="2:20" ht="14">
      <c r="B66" s="349">
        <v>47058</v>
      </c>
      <c r="C66" s="345">
        <v>0</v>
      </c>
      <c r="D66" s="346">
        <f t="shared" si="0"/>
        <v>0</v>
      </c>
      <c r="E66" s="347">
        <f>D66*'Cash-flow PLAN'!$D$54/12</f>
        <v>0</v>
      </c>
      <c r="G66" s="349">
        <v>47058</v>
      </c>
      <c r="H66" s="345">
        <v>0</v>
      </c>
      <c r="I66" s="346">
        <f t="shared" si="1"/>
        <v>0</v>
      </c>
      <c r="J66" s="347">
        <f>I66*'Cash-flow PLAN'!$D$55/12</f>
        <v>0</v>
      </c>
      <c r="L66" s="349">
        <v>47058</v>
      </c>
      <c r="M66" s="345">
        <v>0</v>
      </c>
      <c r="N66" s="346">
        <f t="shared" si="2"/>
        <v>0</v>
      </c>
      <c r="O66" s="347">
        <f>N66*'Cash-flow PLAN'!$D$56/12</f>
        <v>0</v>
      </c>
      <c r="Q66" s="349">
        <v>47058</v>
      </c>
      <c r="R66" s="345">
        <v>0</v>
      </c>
      <c r="S66" s="346">
        <f t="shared" si="3"/>
        <v>0</v>
      </c>
      <c r="T66" s="347">
        <f>S66*'Cash-flow PLAN'!$D$57/12</f>
        <v>0</v>
      </c>
    </row>
    <row r="67" spans="2:20" ht="14">
      <c r="B67" s="349">
        <v>47088</v>
      </c>
      <c r="C67" s="345">
        <v>0</v>
      </c>
      <c r="D67" s="346">
        <f t="shared" si="0"/>
        <v>0</v>
      </c>
      <c r="E67" s="347">
        <f>D67*'Cash-flow PLAN'!$D$54/12</f>
        <v>0</v>
      </c>
      <c r="G67" s="349">
        <v>47088</v>
      </c>
      <c r="H67" s="345">
        <v>0</v>
      </c>
      <c r="I67" s="346">
        <f t="shared" si="1"/>
        <v>0</v>
      </c>
      <c r="J67" s="347">
        <f>I67*'Cash-flow PLAN'!$D$55/12</f>
        <v>0</v>
      </c>
      <c r="L67" s="349">
        <v>47088</v>
      </c>
      <c r="M67" s="345">
        <v>0</v>
      </c>
      <c r="N67" s="346">
        <f t="shared" si="2"/>
        <v>0</v>
      </c>
      <c r="O67" s="347">
        <f>N67*'Cash-flow PLAN'!$D$56/12</f>
        <v>0</v>
      </c>
      <c r="Q67" s="349">
        <v>47088</v>
      </c>
      <c r="R67" s="345">
        <v>0</v>
      </c>
      <c r="S67" s="346">
        <f t="shared" si="3"/>
        <v>0</v>
      </c>
      <c r="T67" s="347">
        <f>S67*'Cash-flow PLAN'!$D$57/12</f>
        <v>0</v>
      </c>
    </row>
    <row r="68" spans="2:20" ht="14">
      <c r="B68" s="344">
        <v>47119</v>
      </c>
      <c r="C68" s="345">
        <v>0</v>
      </c>
      <c r="D68" s="346">
        <f t="shared" si="0"/>
        <v>0</v>
      </c>
      <c r="E68" s="347">
        <f>D68*'Cash-flow PLAN'!$D$54/12</f>
        <v>0</v>
      </c>
      <c r="G68" s="344">
        <v>47119</v>
      </c>
      <c r="H68" s="345">
        <v>0</v>
      </c>
      <c r="I68" s="346">
        <f t="shared" si="1"/>
        <v>0</v>
      </c>
      <c r="J68" s="347">
        <f>I68*'Cash-flow PLAN'!$D$55/12</f>
        <v>0</v>
      </c>
      <c r="L68" s="344">
        <v>47119</v>
      </c>
      <c r="M68" s="345">
        <v>0</v>
      </c>
      <c r="N68" s="346">
        <f t="shared" si="2"/>
        <v>0</v>
      </c>
      <c r="O68" s="347">
        <f>N68*'Cash-flow PLAN'!$D$56/12</f>
        <v>0</v>
      </c>
      <c r="Q68" s="344">
        <v>47119</v>
      </c>
      <c r="R68" s="345">
        <v>0</v>
      </c>
      <c r="S68" s="346">
        <f t="shared" si="3"/>
        <v>0</v>
      </c>
      <c r="T68" s="347">
        <f>S68*'Cash-flow PLAN'!$D$57/12</f>
        <v>0</v>
      </c>
    </row>
    <row r="69" spans="2:20" ht="14">
      <c r="B69" s="349">
        <v>47150</v>
      </c>
      <c r="C69" s="345">
        <v>0</v>
      </c>
      <c r="D69" s="346">
        <f t="shared" si="0"/>
        <v>0</v>
      </c>
      <c r="E69" s="347">
        <f>D69*'Cash-flow PLAN'!$D$54/12</f>
        <v>0</v>
      </c>
      <c r="G69" s="349">
        <v>47150</v>
      </c>
      <c r="H69" s="345">
        <v>0</v>
      </c>
      <c r="I69" s="346">
        <f t="shared" si="1"/>
        <v>0</v>
      </c>
      <c r="J69" s="347">
        <f>I69*'Cash-flow PLAN'!$D$55/12</f>
        <v>0</v>
      </c>
      <c r="L69" s="349">
        <v>47150</v>
      </c>
      <c r="M69" s="345">
        <v>0</v>
      </c>
      <c r="N69" s="346">
        <f t="shared" si="2"/>
        <v>0</v>
      </c>
      <c r="O69" s="347">
        <f>N69*'Cash-flow PLAN'!$D$56/12</f>
        <v>0</v>
      </c>
      <c r="Q69" s="349">
        <v>47150</v>
      </c>
      <c r="R69" s="345">
        <v>0</v>
      </c>
      <c r="S69" s="346">
        <f t="shared" si="3"/>
        <v>0</v>
      </c>
      <c r="T69" s="347">
        <f>S69*'Cash-flow PLAN'!$D$57/12</f>
        <v>0</v>
      </c>
    </row>
    <row r="70" spans="2:20" ht="14">
      <c r="B70" s="349">
        <v>47178</v>
      </c>
      <c r="C70" s="345">
        <v>0</v>
      </c>
      <c r="D70" s="346">
        <f t="shared" si="0"/>
        <v>0</v>
      </c>
      <c r="E70" s="347">
        <f>D70*'Cash-flow PLAN'!$D$54/12</f>
        <v>0</v>
      </c>
      <c r="G70" s="349">
        <v>47178</v>
      </c>
      <c r="H70" s="345">
        <v>0</v>
      </c>
      <c r="I70" s="346">
        <f t="shared" si="1"/>
        <v>0</v>
      </c>
      <c r="J70" s="347">
        <f>I70*'Cash-flow PLAN'!$D$55/12</f>
        <v>0</v>
      </c>
      <c r="L70" s="349">
        <v>47178</v>
      </c>
      <c r="M70" s="345">
        <v>0</v>
      </c>
      <c r="N70" s="346">
        <f t="shared" si="2"/>
        <v>0</v>
      </c>
      <c r="O70" s="347">
        <f>N70*'Cash-flow PLAN'!$D$56/12</f>
        <v>0</v>
      </c>
      <c r="Q70" s="349">
        <v>47178</v>
      </c>
      <c r="R70" s="345">
        <v>0</v>
      </c>
      <c r="S70" s="346">
        <f t="shared" si="3"/>
        <v>0</v>
      </c>
      <c r="T70" s="347">
        <f>S70*'Cash-flow PLAN'!$D$57/12</f>
        <v>0</v>
      </c>
    </row>
    <row r="71" spans="2:20" ht="14">
      <c r="B71" s="349">
        <v>47209</v>
      </c>
      <c r="C71" s="345">
        <v>0</v>
      </c>
      <c r="D71" s="346">
        <f t="shared" si="0"/>
        <v>0</v>
      </c>
      <c r="E71" s="347">
        <f>D71*'Cash-flow PLAN'!$D$54/12</f>
        <v>0</v>
      </c>
      <c r="G71" s="349">
        <v>47209</v>
      </c>
      <c r="H71" s="345">
        <v>0</v>
      </c>
      <c r="I71" s="346">
        <f t="shared" si="1"/>
        <v>0</v>
      </c>
      <c r="J71" s="347">
        <f>I71*'Cash-flow PLAN'!$D$55/12</f>
        <v>0</v>
      </c>
      <c r="L71" s="349">
        <v>47209</v>
      </c>
      <c r="M71" s="345">
        <v>0</v>
      </c>
      <c r="N71" s="346">
        <f t="shared" si="2"/>
        <v>0</v>
      </c>
      <c r="O71" s="347">
        <f>N71*'Cash-flow PLAN'!$D$56/12</f>
        <v>0</v>
      </c>
      <c r="Q71" s="349">
        <v>47209</v>
      </c>
      <c r="R71" s="345">
        <v>0</v>
      </c>
      <c r="S71" s="346">
        <f t="shared" si="3"/>
        <v>0</v>
      </c>
      <c r="T71" s="347">
        <f>S71*'Cash-flow PLAN'!$D$57/12</f>
        <v>0</v>
      </c>
    </row>
    <row r="72" spans="2:20" ht="14">
      <c r="B72" s="349">
        <v>47239</v>
      </c>
      <c r="C72" s="345">
        <v>0</v>
      </c>
      <c r="D72" s="346">
        <f t="shared" si="0"/>
        <v>0</v>
      </c>
      <c r="E72" s="347">
        <f>D72*'Cash-flow PLAN'!$D$54/12</f>
        <v>0</v>
      </c>
      <c r="G72" s="349">
        <v>47239</v>
      </c>
      <c r="H72" s="345">
        <v>0</v>
      </c>
      <c r="I72" s="346">
        <f t="shared" si="1"/>
        <v>0</v>
      </c>
      <c r="J72" s="347">
        <f>I72*'Cash-flow PLAN'!$D$55/12</f>
        <v>0</v>
      </c>
      <c r="L72" s="349">
        <v>47239</v>
      </c>
      <c r="M72" s="345">
        <v>0</v>
      </c>
      <c r="N72" s="346">
        <f t="shared" si="2"/>
        <v>0</v>
      </c>
      <c r="O72" s="347">
        <f>N72*'Cash-flow PLAN'!$D$56/12</f>
        <v>0</v>
      </c>
      <c r="Q72" s="349">
        <v>47239</v>
      </c>
      <c r="R72" s="345">
        <v>0</v>
      </c>
      <c r="S72" s="346">
        <f t="shared" si="3"/>
        <v>0</v>
      </c>
      <c r="T72" s="347">
        <f>S72*'Cash-flow PLAN'!$D$57/12</f>
        <v>0</v>
      </c>
    </row>
    <row r="73" spans="2:20" ht="14">
      <c r="B73" s="350">
        <v>47270</v>
      </c>
      <c r="C73" s="345">
        <v>0</v>
      </c>
      <c r="D73" s="346">
        <f t="shared" si="0"/>
        <v>0</v>
      </c>
      <c r="E73" s="347">
        <f>D73*'Cash-flow PLAN'!$D$54/12</f>
        <v>0</v>
      </c>
      <c r="G73" s="350">
        <v>47270</v>
      </c>
      <c r="H73" s="345">
        <v>0</v>
      </c>
      <c r="I73" s="346">
        <f t="shared" si="1"/>
        <v>0</v>
      </c>
      <c r="J73" s="347">
        <f>I73*'Cash-flow PLAN'!$D$55/12</f>
        <v>0</v>
      </c>
      <c r="L73" s="350">
        <v>47270</v>
      </c>
      <c r="M73" s="345">
        <v>0</v>
      </c>
      <c r="N73" s="346">
        <f t="shared" si="2"/>
        <v>0</v>
      </c>
      <c r="O73" s="347">
        <f>N73*'Cash-flow PLAN'!$D$56/12</f>
        <v>0</v>
      </c>
      <c r="Q73" s="350">
        <v>47270</v>
      </c>
      <c r="R73" s="345">
        <v>0</v>
      </c>
      <c r="S73" s="346">
        <f t="shared" si="3"/>
        <v>0</v>
      </c>
      <c r="T73" s="347">
        <f>S73*'Cash-flow PLAN'!$D$57/12</f>
        <v>0</v>
      </c>
    </row>
    <row r="74" spans="2:20" ht="14">
      <c r="B74" s="349">
        <v>47300</v>
      </c>
      <c r="C74" s="345">
        <v>0</v>
      </c>
      <c r="D74" s="346">
        <f t="shared" si="0"/>
        <v>0</v>
      </c>
      <c r="E74" s="347">
        <f>D74*'Cash-flow PLAN'!$D$54/12</f>
        <v>0</v>
      </c>
      <c r="G74" s="349">
        <v>47300</v>
      </c>
      <c r="H74" s="345">
        <v>0</v>
      </c>
      <c r="I74" s="346">
        <f t="shared" si="1"/>
        <v>0</v>
      </c>
      <c r="J74" s="347">
        <f>I74*'Cash-flow PLAN'!$D$55/12</f>
        <v>0</v>
      </c>
      <c r="L74" s="349">
        <v>47300</v>
      </c>
      <c r="M74" s="345">
        <v>0</v>
      </c>
      <c r="N74" s="346">
        <f t="shared" si="2"/>
        <v>0</v>
      </c>
      <c r="O74" s="347">
        <f>N74*'Cash-flow PLAN'!$D$56/12</f>
        <v>0</v>
      </c>
      <c r="Q74" s="349">
        <v>47300</v>
      </c>
      <c r="R74" s="345">
        <v>0</v>
      </c>
      <c r="S74" s="346">
        <f t="shared" si="3"/>
        <v>0</v>
      </c>
      <c r="T74" s="347">
        <f>S74*'Cash-flow PLAN'!$D$57/12</f>
        <v>0</v>
      </c>
    </row>
    <row r="75" spans="2:20" ht="14">
      <c r="B75" s="349">
        <v>47331</v>
      </c>
      <c r="C75" s="345">
        <v>0</v>
      </c>
      <c r="D75" s="346">
        <f t="shared" si="0"/>
        <v>0</v>
      </c>
      <c r="E75" s="347">
        <f>D75*'Cash-flow PLAN'!$D$54/12</f>
        <v>0</v>
      </c>
      <c r="G75" s="349">
        <v>47331</v>
      </c>
      <c r="H75" s="345">
        <v>0</v>
      </c>
      <c r="I75" s="346">
        <f t="shared" si="1"/>
        <v>0</v>
      </c>
      <c r="J75" s="347">
        <f>I75*'Cash-flow PLAN'!$D$55/12</f>
        <v>0</v>
      </c>
      <c r="L75" s="349">
        <v>47331</v>
      </c>
      <c r="M75" s="345">
        <v>0</v>
      </c>
      <c r="N75" s="346">
        <f t="shared" si="2"/>
        <v>0</v>
      </c>
      <c r="O75" s="347">
        <f>N75*'Cash-flow PLAN'!$D$56/12</f>
        <v>0</v>
      </c>
      <c r="Q75" s="349">
        <v>47331</v>
      </c>
      <c r="R75" s="345">
        <v>0</v>
      </c>
      <c r="S75" s="346">
        <f t="shared" si="3"/>
        <v>0</v>
      </c>
      <c r="T75" s="347">
        <f>S75*'Cash-flow PLAN'!$D$57/12</f>
        <v>0</v>
      </c>
    </row>
    <row r="76" spans="2:20" ht="14">
      <c r="B76" s="349">
        <v>47362</v>
      </c>
      <c r="C76" s="345">
        <v>0</v>
      </c>
      <c r="D76" s="346">
        <f t="shared" si="0"/>
        <v>0</v>
      </c>
      <c r="E76" s="347">
        <f>D76*'Cash-flow PLAN'!$D$54/12</f>
        <v>0</v>
      </c>
      <c r="G76" s="349">
        <v>47362</v>
      </c>
      <c r="H76" s="345">
        <v>0</v>
      </c>
      <c r="I76" s="346">
        <f t="shared" si="1"/>
        <v>0</v>
      </c>
      <c r="J76" s="347">
        <f>I76*'Cash-flow PLAN'!$D$55/12</f>
        <v>0</v>
      </c>
      <c r="L76" s="349">
        <v>47362</v>
      </c>
      <c r="M76" s="345">
        <v>0</v>
      </c>
      <c r="N76" s="346">
        <f t="shared" si="2"/>
        <v>0</v>
      </c>
      <c r="O76" s="347">
        <f>N76*'Cash-flow PLAN'!$D$56/12</f>
        <v>0</v>
      </c>
      <c r="Q76" s="349">
        <v>47362</v>
      </c>
      <c r="R76" s="345">
        <v>0</v>
      </c>
      <c r="S76" s="346">
        <f t="shared" si="3"/>
        <v>0</v>
      </c>
      <c r="T76" s="347">
        <f>S76*'Cash-flow PLAN'!$D$57/12</f>
        <v>0</v>
      </c>
    </row>
    <row r="77" spans="2:20" ht="14">
      <c r="B77" s="349">
        <v>47392</v>
      </c>
      <c r="C77" s="345">
        <v>0</v>
      </c>
      <c r="D77" s="346">
        <f t="shared" si="0"/>
        <v>0</v>
      </c>
      <c r="E77" s="347">
        <f>D77*'Cash-flow PLAN'!$D$54/12</f>
        <v>0</v>
      </c>
      <c r="G77" s="349">
        <v>47392</v>
      </c>
      <c r="H77" s="345">
        <v>0</v>
      </c>
      <c r="I77" s="346">
        <f t="shared" si="1"/>
        <v>0</v>
      </c>
      <c r="J77" s="347">
        <f>I77*'Cash-flow PLAN'!$D$55/12</f>
        <v>0</v>
      </c>
      <c r="L77" s="349">
        <v>47392</v>
      </c>
      <c r="M77" s="345">
        <v>0</v>
      </c>
      <c r="N77" s="346">
        <f t="shared" si="2"/>
        <v>0</v>
      </c>
      <c r="O77" s="347">
        <f>N77*'Cash-flow PLAN'!$D$56/12</f>
        <v>0</v>
      </c>
      <c r="Q77" s="349">
        <v>47392</v>
      </c>
      <c r="R77" s="345">
        <v>0</v>
      </c>
      <c r="S77" s="346">
        <f t="shared" si="3"/>
        <v>0</v>
      </c>
      <c r="T77" s="347">
        <f>S77*'Cash-flow PLAN'!$D$57/12</f>
        <v>0</v>
      </c>
    </row>
    <row r="78" spans="2:20" ht="14">
      <c r="B78" s="349">
        <v>47423</v>
      </c>
      <c r="C78" s="345">
        <v>0</v>
      </c>
      <c r="D78" s="346">
        <f t="shared" si="0"/>
        <v>0</v>
      </c>
      <c r="E78" s="347">
        <f>D78*'Cash-flow PLAN'!$D$54/12</f>
        <v>0</v>
      </c>
      <c r="G78" s="349">
        <v>47423</v>
      </c>
      <c r="H78" s="345">
        <v>0</v>
      </c>
      <c r="I78" s="346">
        <f t="shared" si="1"/>
        <v>0</v>
      </c>
      <c r="J78" s="347">
        <f>I78*'Cash-flow PLAN'!$D$55/12</f>
        <v>0</v>
      </c>
      <c r="L78" s="349">
        <v>47423</v>
      </c>
      <c r="M78" s="345">
        <v>0</v>
      </c>
      <c r="N78" s="346">
        <f t="shared" si="2"/>
        <v>0</v>
      </c>
      <c r="O78" s="347">
        <f>N78*'Cash-flow PLAN'!$D$56/12</f>
        <v>0</v>
      </c>
      <c r="Q78" s="349">
        <v>47423</v>
      </c>
      <c r="R78" s="345">
        <v>0</v>
      </c>
      <c r="S78" s="346">
        <f t="shared" si="3"/>
        <v>0</v>
      </c>
      <c r="T78" s="347">
        <f>S78*'Cash-flow PLAN'!$D$57/12</f>
        <v>0</v>
      </c>
    </row>
    <row r="79" spans="2:20" ht="14">
      <c r="B79" s="349">
        <v>47453</v>
      </c>
      <c r="C79" s="345">
        <v>0</v>
      </c>
      <c r="D79" s="346">
        <f>D78</f>
        <v>0</v>
      </c>
      <c r="E79" s="347">
        <f>D79*'Cash-flow PLAN'!$D$54/12</f>
        <v>0</v>
      </c>
      <c r="G79" s="349">
        <v>47453</v>
      </c>
      <c r="H79" s="345">
        <v>0</v>
      </c>
      <c r="I79" s="346">
        <f>I78</f>
        <v>0</v>
      </c>
      <c r="J79" s="347">
        <f>I79*'Cash-flow PLAN'!$D$55/12</f>
        <v>0</v>
      </c>
      <c r="L79" s="349">
        <v>47453</v>
      </c>
      <c r="M79" s="345">
        <v>-12071651.818826601</v>
      </c>
      <c r="N79" s="346">
        <f>N78</f>
        <v>0</v>
      </c>
      <c r="O79" s="347">
        <f>N79*'Cash-flow PLAN'!$D$56/12</f>
        <v>0</v>
      </c>
      <c r="Q79" s="349">
        <v>47453</v>
      </c>
      <c r="R79" s="345">
        <v>0</v>
      </c>
      <c r="S79" s="346">
        <f>S78</f>
        <v>0</v>
      </c>
      <c r="T79" s="347">
        <f>S79*'Cash-flow PLAN'!$D$57/12</f>
        <v>0</v>
      </c>
    </row>
  </sheetData>
  <mergeCells count="4">
    <mergeCell ref="B2:E3"/>
    <mergeCell ref="G2:J3"/>
    <mergeCell ref="L2:O3"/>
    <mergeCell ref="Q2:T3"/>
  </mergeCells>
  <pageMargins left="0" right="0" top="0" bottom="0" header="0" footer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CI188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ColWidth="12.6640625" defaultRowHeight="15" customHeight="1" outlineLevelRow="1" outlineLevelCol="2"/>
  <cols>
    <col min="1" max="1" width="2.33203125" customWidth="1"/>
    <col min="3" max="3" width="40.1640625" customWidth="1"/>
    <col min="4" max="4" width="12.6640625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1" width="6.5" customWidth="1" outlineLevel="2"/>
    <col min="22" max="22" width="11.6640625" customWidth="1" outlineLevel="2"/>
    <col min="23" max="28" width="6.5" customWidth="1" outlineLevel="2"/>
    <col min="29" max="29" width="6.5" customWidth="1" outlineLevel="1" collapsed="1"/>
    <col min="30" max="40" width="6.5" hidden="1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1:84">
      <c r="A1" s="226"/>
      <c r="B1" s="455" t="s">
        <v>246</v>
      </c>
      <c r="C1" s="456">
        <v>45443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6"/>
      <c r="CB1" s="226"/>
      <c r="CC1" s="226"/>
      <c r="CD1" s="226"/>
      <c r="CE1" s="226"/>
      <c r="CF1" s="226"/>
    </row>
    <row r="2" spans="1:84">
      <c r="A2" s="603"/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  <c r="CA2" s="226"/>
      <c r="CB2" s="226"/>
      <c r="CC2" s="226"/>
      <c r="CD2" s="226"/>
      <c r="CE2" s="226"/>
      <c r="CF2" s="226"/>
    </row>
    <row r="3" spans="1:84">
      <c r="A3" s="603"/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  <c r="CA3" s="226"/>
      <c r="CB3" s="226" t="s">
        <v>249</v>
      </c>
      <c r="CC3" s="226" t="s">
        <v>250</v>
      </c>
      <c r="CD3" s="226"/>
      <c r="CE3" s="226"/>
      <c r="CF3" s="226"/>
    </row>
    <row r="4" spans="1:84">
      <c r="A4" s="603"/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457">
        <v>45597</v>
      </c>
      <c r="P4" s="231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  <c r="CA4" s="226"/>
      <c r="CB4" s="226" t="s">
        <v>116</v>
      </c>
      <c r="CC4" s="226"/>
      <c r="CD4" s="226"/>
      <c r="CE4" s="226"/>
      <c r="CF4" s="226"/>
    </row>
    <row r="5" spans="1:84">
      <c r="A5" s="603"/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5" si="0">SUM(E5:BX5)</f>
        <v>16365002</v>
      </c>
      <c r="BZ5" s="775">
        <f>SUM(BY5:BY8)</f>
        <v>24235669</v>
      </c>
      <c r="CA5" s="226"/>
      <c r="CB5" s="237">
        <f t="shared" ref="CB5:CB15" si="1">SUM(H5:CA5)</f>
        <v>56965673</v>
      </c>
      <c r="CC5" s="775">
        <f>SUM(CB5:CB8)</f>
        <v>134027674</v>
      </c>
      <c r="CD5" s="226"/>
      <c r="CE5" s="226"/>
      <c r="CF5" s="226"/>
    </row>
    <row r="6" spans="1:84">
      <c r="A6" s="603"/>
      <c r="B6" s="787"/>
      <c r="C6" s="232" t="s">
        <v>254</v>
      </c>
      <c r="D6" s="233" t="s">
        <v>253</v>
      </c>
      <c r="E6" s="235"/>
      <c r="F6" s="235"/>
      <c r="G6" s="235"/>
      <c r="H6" s="235"/>
      <c r="I6" s="235"/>
      <c r="J6" s="235">
        <v>7870667</v>
      </c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7870667</v>
      </c>
      <c r="BZ6" s="771"/>
      <c r="CA6" s="226">
        <f>9870667</f>
        <v>9870667</v>
      </c>
      <c r="CB6" s="237">
        <f t="shared" si="1"/>
        <v>25612001</v>
      </c>
      <c r="CC6" s="771"/>
      <c r="CD6" s="226"/>
      <c r="CE6" s="226"/>
      <c r="CF6" s="226"/>
    </row>
    <row r="7" spans="1:84">
      <c r="A7" s="603"/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0</v>
      </c>
      <c r="BZ7" s="771"/>
      <c r="CA7" s="226">
        <f>2100000*24.5</f>
        <v>51450000</v>
      </c>
      <c r="CB7" s="237">
        <f t="shared" si="1"/>
        <v>51450000</v>
      </c>
      <c r="CC7" s="771"/>
      <c r="CD7" s="226"/>
      <c r="CE7" s="226"/>
      <c r="CF7" s="226"/>
    </row>
    <row r="8" spans="1:84">
      <c r="A8" s="603"/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  <c r="CA8" s="226"/>
      <c r="CB8" s="241">
        <f t="shared" si="1"/>
        <v>0</v>
      </c>
      <c r="CC8" s="774"/>
      <c r="CD8" s="226"/>
      <c r="CE8" s="226"/>
      <c r="CF8" s="226"/>
    </row>
    <row r="9" spans="1:84">
      <c r="A9" s="603"/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0</v>
      </c>
      <c r="BZ9" s="775">
        <f>SUM(BY9:BY11)</f>
        <v>48932749</v>
      </c>
      <c r="CA9" s="226"/>
      <c r="CB9" s="237">
        <f t="shared" si="1"/>
        <v>48932749</v>
      </c>
      <c r="CC9" s="775">
        <f>SUM(CB9:CB11)</f>
        <v>146798247</v>
      </c>
      <c r="CD9" s="226"/>
      <c r="CE9" s="226"/>
      <c r="CF9" s="226"/>
    </row>
    <row r="10" spans="1:84">
      <c r="A10" s="603"/>
      <c r="B10" s="787"/>
      <c r="C10" s="236" t="s">
        <v>620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0</v>
      </c>
      <c r="BZ10" s="771"/>
      <c r="CA10" s="226"/>
      <c r="CB10" s="237">
        <f t="shared" si="1"/>
        <v>0</v>
      </c>
      <c r="CC10" s="771"/>
      <c r="CD10" s="226"/>
      <c r="CE10" s="226">
        <f>BY5+BY11</f>
        <v>65297751</v>
      </c>
      <c r="CF10" s="226"/>
    </row>
    <row r="11" spans="1:84">
      <c r="A11" s="603"/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/>
      <c r="L11" s="240">
        <v>6300000</v>
      </c>
      <c r="M11" s="240">
        <f>22000000+165083</f>
        <v>22165083</v>
      </c>
      <c r="N11" s="240">
        <f>8700000+215833</f>
        <v>8915833</v>
      </c>
      <c r="O11" s="240">
        <f>9600000+271833</f>
        <v>9871833</v>
      </c>
      <c r="P11" s="240">
        <f>1400000+280000</f>
        <v>1680000</v>
      </c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48932749</v>
      </c>
      <c r="BZ11" s="776"/>
      <c r="CA11" s="245"/>
      <c r="CB11" s="241">
        <f t="shared" si="1"/>
        <v>97865498</v>
      </c>
      <c r="CC11" s="776"/>
      <c r="CD11" s="245"/>
      <c r="CE11" s="245">
        <f>BY11/CE10</f>
        <v>0.74937878028907923</v>
      </c>
      <c r="CF11" s="245">
        <f>BY11/2100000</f>
        <v>23.301309047619046</v>
      </c>
    </row>
    <row r="12" spans="1:84">
      <c r="A12" s="603"/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>
        <f>SUM(Rentroll!$P$2:$P$4)</f>
        <v>613346.05139999976</v>
      </c>
      <c r="R12" s="234">
        <f>SUM(Rentroll!$P$2:$P$4)</f>
        <v>613346.05139999976</v>
      </c>
      <c r="S12" s="234">
        <f>SUM(Rentroll!$P$2:$P$4)</f>
        <v>613346.05139999976</v>
      </c>
      <c r="T12" s="234">
        <f>SUM(Rentroll!$P$2:$P$4)</f>
        <v>613346.05139999976</v>
      </c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2453384.2055999991</v>
      </c>
      <c r="BZ12" s="775">
        <f>SUM(BY12:BY15)</f>
        <v>144357651.71964315</v>
      </c>
      <c r="CA12" s="226"/>
      <c r="CB12" s="237">
        <f t="shared" si="1"/>
        <v>149264420.13084313</v>
      </c>
      <c r="CC12" s="775">
        <f>SUM(CB12:CB15)</f>
        <v>433072955.15892941</v>
      </c>
      <c r="CD12" s="226"/>
      <c r="CE12" s="242">
        <f>BY5/CE10</f>
        <v>0.25062121971092083</v>
      </c>
      <c r="CF12" s="226"/>
    </row>
    <row r="13" spans="1:84">
      <c r="A13" s="603"/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>
        <f>Businessplan_prodej!J25</f>
        <v>134227900.78571424</v>
      </c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  <c r="CA13" s="226"/>
      <c r="CB13" s="237">
        <f t="shared" si="1"/>
        <v>268455801.57142848</v>
      </c>
      <c r="CC13" s="771"/>
      <c r="CD13" s="226"/>
      <c r="CE13" s="226"/>
      <c r="CF13" s="226"/>
    </row>
    <row r="14" spans="1:84">
      <c r="A14" s="603"/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>
        <v>6227</v>
      </c>
      <c r="J14" s="235">
        <f t="shared" ref="J14:O14" si="2">-(SUM(H23,H37)-SUM(H23,H37)/1.21)</f>
        <v>19650.654545454541</v>
      </c>
      <c r="K14" s="235">
        <f t="shared" si="2"/>
        <v>135544.58677685948</v>
      </c>
      <c r="L14" s="235">
        <f t="shared" si="2"/>
        <v>330622.49592561973</v>
      </c>
      <c r="M14" s="235">
        <f t="shared" si="2"/>
        <v>118916.06421487604</v>
      </c>
      <c r="N14" s="235">
        <f t="shared" si="2"/>
        <v>62708.816198347078</v>
      </c>
      <c r="O14" s="235">
        <f t="shared" si="2"/>
        <v>62708.816198347078</v>
      </c>
      <c r="P14" s="235">
        <f>-O15+7000000-(SUM(N23,N37)-SUM(N23,N37)/1.21)</f>
        <v>-1407291.1838016529</v>
      </c>
      <c r="Q14" s="235">
        <f>-(SUM(O23,O37)-SUM(O23,O37)/1.21)</f>
        <v>113753.28519834706</v>
      </c>
      <c r="R14" s="235">
        <f>-(SUM(Rentroll!$K$2:$K$4)+Rentroll!$N$2)-(SUM(P23,P37)-SUM(P23,P37)/1.21)</f>
        <v>-39144.396523966934</v>
      </c>
      <c r="S14" s="235">
        <f>-(SUM(Rentroll!$K$2:$K$4)+Rentroll!$N$2)-(SUM(Q23,Q37)-SUM(Q23,Q37)/1.21)</f>
        <v>-98664.705201652876</v>
      </c>
      <c r="T14" s="235">
        <f>-(SUM(Rentroll!$K$2:$K$4)+Rentroll!$N$2)-(SUM(R23,R37)-SUM(R23,R37)/1.21)</f>
        <v>-98664.705201652876</v>
      </c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-793633.27167107433</v>
      </c>
      <c r="BZ14" s="771"/>
      <c r="CA14" s="226"/>
      <c r="CB14" s="237">
        <f t="shared" si="1"/>
        <v>-1587266.5433421487</v>
      </c>
      <c r="CC14" s="771"/>
      <c r="CD14" s="226"/>
      <c r="CE14" s="226">
        <f>51450000</f>
        <v>51450000</v>
      </c>
      <c r="CF14" s="226"/>
    </row>
    <row r="15" spans="1:84">
      <c r="A15" s="603"/>
      <c r="B15" s="768"/>
      <c r="C15" s="238" t="s">
        <v>265</v>
      </c>
      <c r="D15" s="239" t="s">
        <v>264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>
        <f>7000000*1.21</f>
        <v>8470000</v>
      </c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38"/>
      <c r="BY15" s="241">
        <f t="shared" si="0"/>
        <v>8470000</v>
      </c>
      <c r="BZ15" s="776"/>
      <c r="CA15" s="226"/>
      <c r="CB15" s="241">
        <f t="shared" si="1"/>
        <v>16940000</v>
      </c>
      <c r="CC15" s="776"/>
      <c r="CD15" s="226"/>
      <c r="CE15" s="226">
        <f>CE14/24.5</f>
        <v>2100000</v>
      </c>
      <c r="CF15" s="226"/>
    </row>
    <row r="16" spans="1:84" ht="16">
      <c r="A16" s="603"/>
      <c r="B16" s="788" t="s">
        <v>266</v>
      </c>
      <c r="C16" s="774"/>
      <c r="D16" s="246"/>
      <c r="E16" s="247">
        <f t="shared" ref="E16:BX16" si="3">SUM(E5:E15)</f>
        <v>0</v>
      </c>
      <c r="F16" s="247">
        <f t="shared" si="3"/>
        <v>0</v>
      </c>
      <c r="G16" s="247">
        <f t="shared" si="3"/>
        <v>0</v>
      </c>
      <c r="H16" s="247">
        <f t="shared" si="3"/>
        <v>16365002</v>
      </c>
      <c r="I16" s="247">
        <f t="shared" si="3"/>
        <v>6227</v>
      </c>
      <c r="J16" s="247">
        <f t="shared" si="3"/>
        <v>7890317.6545454543</v>
      </c>
      <c r="K16" s="247">
        <f t="shared" si="3"/>
        <v>135544.58677685948</v>
      </c>
      <c r="L16" s="247">
        <f t="shared" si="3"/>
        <v>6630622.4959256202</v>
      </c>
      <c r="M16" s="247">
        <f t="shared" si="3"/>
        <v>22283999.064214878</v>
      </c>
      <c r="N16" s="247">
        <f t="shared" si="3"/>
        <v>8978541.8161983471</v>
      </c>
      <c r="O16" s="247">
        <f t="shared" si="3"/>
        <v>18404541.816198349</v>
      </c>
      <c r="P16" s="247">
        <f t="shared" si="3"/>
        <v>272708.81619834714</v>
      </c>
      <c r="Q16" s="247">
        <f t="shared" si="3"/>
        <v>727099.33659834682</v>
      </c>
      <c r="R16" s="247">
        <f t="shared" si="3"/>
        <v>574201.65487603284</v>
      </c>
      <c r="S16" s="247">
        <f t="shared" si="3"/>
        <v>514681.34619834687</v>
      </c>
      <c r="T16" s="247">
        <f t="shared" si="3"/>
        <v>134742582.13191259</v>
      </c>
      <c r="U16" s="247">
        <f t="shared" si="3"/>
        <v>0</v>
      </c>
      <c r="V16" s="247">
        <f t="shared" si="3"/>
        <v>0</v>
      </c>
      <c r="W16" s="247">
        <f t="shared" si="3"/>
        <v>0</v>
      </c>
      <c r="X16" s="247">
        <f t="shared" si="3"/>
        <v>0</v>
      </c>
      <c r="Y16" s="247">
        <f t="shared" si="3"/>
        <v>0</v>
      </c>
      <c r="Z16" s="247">
        <f t="shared" si="3"/>
        <v>0</v>
      </c>
      <c r="AA16" s="247">
        <f t="shared" si="3"/>
        <v>0</v>
      </c>
      <c r="AB16" s="247">
        <f t="shared" si="3"/>
        <v>0</v>
      </c>
      <c r="AC16" s="247">
        <f t="shared" si="3"/>
        <v>0</v>
      </c>
      <c r="AD16" s="247">
        <f t="shared" si="3"/>
        <v>0</v>
      </c>
      <c r="AE16" s="247">
        <f t="shared" si="3"/>
        <v>0</v>
      </c>
      <c r="AF16" s="247">
        <f t="shared" si="3"/>
        <v>0</v>
      </c>
      <c r="AG16" s="247">
        <f t="shared" si="3"/>
        <v>0</v>
      </c>
      <c r="AH16" s="247">
        <f t="shared" si="3"/>
        <v>0</v>
      </c>
      <c r="AI16" s="247">
        <f t="shared" si="3"/>
        <v>0</v>
      </c>
      <c r="AJ16" s="247">
        <f t="shared" si="3"/>
        <v>0</v>
      </c>
      <c r="AK16" s="247">
        <f t="shared" si="3"/>
        <v>0</v>
      </c>
      <c r="AL16" s="247">
        <f t="shared" si="3"/>
        <v>0</v>
      </c>
      <c r="AM16" s="247">
        <f t="shared" si="3"/>
        <v>0</v>
      </c>
      <c r="AN16" s="247">
        <f t="shared" si="3"/>
        <v>0</v>
      </c>
      <c r="AO16" s="247">
        <f t="shared" si="3"/>
        <v>0</v>
      </c>
      <c r="AP16" s="247">
        <f t="shared" si="3"/>
        <v>0</v>
      </c>
      <c r="AQ16" s="247">
        <f t="shared" si="3"/>
        <v>0</v>
      </c>
      <c r="AR16" s="247">
        <f t="shared" si="3"/>
        <v>0</v>
      </c>
      <c r="AS16" s="247">
        <f t="shared" si="3"/>
        <v>0</v>
      </c>
      <c r="AT16" s="247">
        <f t="shared" si="3"/>
        <v>0</v>
      </c>
      <c r="AU16" s="247">
        <f t="shared" si="3"/>
        <v>0</v>
      </c>
      <c r="AV16" s="247">
        <f t="shared" si="3"/>
        <v>0</v>
      </c>
      <c r="AW16" s="247">
        <f t="shared" si="3"/>
        <v>0</v>
      </c>
      <c r="AX16" s="247">
        <f t="shared" si="3"/>
        <v>0</v>
      </c>
      <c r="AY16" s="247">
        <f t="shared" si="3"/>
        <v>0</v>
      </c>
      <c r="AZ16" s="247">
        <f t="shared" si="3"/>
        <v>0</v>
      </c>
      <c r="BA16" s="247">
        <f t="shared" si="3"/>
        <v>0</v>
      </c>
      <c r="BB16" s="247">
        <f t="shared" si="3"/>
        <v>0</v>
      </c>
      <c r="BC16" s="247">
        <f t="shared" si="3"/>
        <v>0</v>
      </c>
      <c r="BD16" s="247">
        <f t="shared" si="3"/>
        <v>0</v>
      </c>
      <c r="BE16" s="247">
        <f t="shared" si="3"/>
        <v>0</v>
      </c>
      <c r="BF16" s="247">
        <f t="shared" si="3"/>
        <v>0</v>
      </c>
      <c r="BG16" s="247">
        <f t="shared" si="3"/>
        <v>0</v>
      </c>
      <c r="BH16" s="247">
        <f t="shared" si="3"/>
        <v>0</v>
      </c>
      <c r="BI16" s="247">
        <f t="shared" si="3"/>
        <v>0</v>
      </c>
      <c r="BJ16" s="247">
        <f t="shared" si="3"/>
        <v>0</v>
      </c>
      <c r="BK16" s="247">
        <f t="shared" si="3"/>
        <v>0</v>
      </c>
      <c r="BL16" s="247">
        <f t="shared" si="3"/>
        <v>0</v>
      </c>
      <c r="BM16" s="247">
        <f t="shared" si="3"/>
        <v>0</v>
      </c>
      <c r="BN16" s="247">
        <f t="shared" si="3"/>
        <v>0</v>
      </c>
      <c r="BO16" s="247">
        <f t="shared" si="3"/>
        <v>0</v>
      </c>
      <c r="BP16" s="247">
        <f t="shared" si="3"/>
        <v>0</v>
      </c>
      <c r="BQ16" s="247">
        <f t="shared" si="3"/>
        <v>0</v>
      </c>
      <c r="BR16" s="247">
        <f t="shared" si="3"/>
        <v>0</v>
      </c>
      <c r="BS16" s="247">
        <f t="shared" si="3"/>
        <v>0</v>
      </c>
      <c r="BT16" s="247">
        <f t="shared" si="3"/>
        <v>0</v>
      </c>
      <c r="BU16" s="247">
        <f t="shared" si="3"/>
        <v>0</v>
      </c>
      <c r="BV16" s="247">
        <f t="shared" si="3"/>
        <v>0</v>
      </c>
      <c r="BW16" s="247">
        <f t="shared" si="3"/>
        <v>0</v>
      </c>
      <c r="BX16" s="247">
        <f t="shared" si="3"/>
        <v>0</v>
      </c>
      <c r="BY16" s="778">
        <f>BZ5+BZ9+BZ12</f>
        <v>217526069.71964315</v>
      </c>
      <c r="BZ16" s="774"/>
      <c r="CA16" s="226"/>
      <c r="CB16" s="778">
        <f>CC5+CC9+CC12</f>
        <v>713898876.15892935</v>
      </c>
      <c r="CC16" s="774"/>
      <c r="CD16" s="226"/>
      <c r="CE16" s="226"/>
      <c r="CF16" s="226"/>
    </row>
    <row r="17" spans="1:83" ht="16">
      <c r="A17" s="603"/>
      <c r="B17" s="789" t="s">
        <v>267</v>
      </c>
      <c r="C17" s="248" t="s">
        <v>268</v>
      </c>
      <c r="D17" s="249"/>
      <c r="E17" s="250">
        <f t="shared" ref="E17:BY17" si="4">SUM(E18:E22)</f>
        <v>0</v>
      </c>
      <c r="F17" s="250">
        <f t="shared" si="4"/>
        <v>0</v>
      </c>
      <c r="G17" s="250">
        <f t="shared" si="4"/>
        <v>0</v>
      </c>
      <c r="H17" s="250">
        <f t="shared" si="4"/>
        <v>-10620712</v>
      </c>
      <c r="I17" s="250">
        <f t="shared" si="4"/>
        <v>0</v>
      </c>
      <c r="J17" s="250">
        <f t="shared" si="4"/>
        <v>-808330</v>
      </c>
      <c r="K17" s="250">
        <f t="shared" si="4"/>
        <v>0</v>
      </c>
      <c r="L17" s="250">
        <f t="shared" si="4"/>
        <v>0</v>
      </c>
      <c r="M17" s="250">
        <f t="shared" si="4"/>
        <v>0</v>
      </c>
      <c r="N17" s="250">
        <f t="shared" si="4"/>
        <v>0</v>
      </c>
      <c r="O17" s="250">
        <f t="shared" si="4"/>
        <v>0</v>
      </c>
      <c r="P17" s="250">
        <f t="shared" si="4"/>
        <v>0</v>
      </c>
      <c r="Q17" s="250">
        <f t="shared" si="4"/>
        <v>0</v>
      </c>
      <c r="R17" s="250">
        <f t="shared" si="4"/>
        <v>0</v>
      </c>
      <c r="S17" s="250">
        <f t="shared" si="4"/>
        <v>0</v>
      </c>
      <c r="T17" s="250">
        <f t="shared" si="4"/>
        <v>0</v>
      </c>
      <c r="U17" s="250">
        <f t="shared" si="4"/>
        <v>0</v>
      </c>
      <c r="V17" s="250">
        <f t="shared" si="4"/>
        <v>0</v>
      </c>
      <c r="W17" s="250">
        <f t="shared" si="4"/>
        <v>0</v>
      </c>
      <c r="X17" s="250">
        <f t="shared" si="4"/>
        <v>0</v>
      </c>
      <c r="Y17" s="250">
        <f t="shared" si="4"/>
        <v>0</v>
      </c>
      <c r="Z17" s="250">
        <f t="shared" si="4"/>
        <v>0</v>
      </c>
      <c r="AA17" s="250">
        <f t="shared" si="4"/>
        <v>0</v>
      </c>
      <c r="AB17" s="250">
        <f t="shared" si="4"/>
        <v>0</v>
      </c>
      <c r="AC17" s="250">
        <f t="shared" si="4"/>
        <v>0</v>
      </c>
      <c r="AD17" s="250">
        <f t="shared" si="4"/>
        <v>0</v>
      </c>
      <c r="AE17" s="250">
        <f t="shared" si="4"/>
        <v>0</v>
      </c>
      <c r="AF17" s="250">
        <f t="shared" si="4"/>
        <v>0</v>
      </c>
      <c r="AG17" s="250">
        <f t="shared" si="4"/>
        <v>0</v>
      </c>
      <c r="AH17" s="250">
        <f t="shared" si="4"/>
        <v>0</v>
      </c>
      <c r="AI17" s="250">
        <f t="shared" si="4"/>
        <v>0</v>
      </c>
      <c r="AJ17" s="250">
        <f t="shared" si="4"/>
        <v>0</v>
      </c>
      <c r="AK17" s="250">
        <f t="shared" si="4"/>
        <v>0</v>
      </c>
      <c r="AL17" s="250">
        <f t="shared" si="4"/>
        <v>0</v>
      </c>
      <c r="AM17" s="250">
        <f t="shared" si="4"/>
        <v>0</v>
      </c>
      <c r="AN17" s="250">
        <f t="shared" si="4"/>
        <v>0</v>
      </c>
      <c r="AO17" s="250">
        <f t="shared" si="4"/>
        <v>0</v>
      </c>
      <c r="AP17" s="250">
        <f t="shared" si="4"/>
        <v>0</v>
      </c>
      <c r="AQ17" s="250">
        <f t="shared" si="4"/>
        <v>0</v>
      </c>
      <c r="AR17" s="250">
        <f t="shared" si="4"/>
        <v>0</v>
      </c>
      <c r="AS17" s="250">
        <f t="shared" si="4"/>
        <v>0</v>
      </c>
      <c r="AT17" s="250">
        <f t="shared" si="4"/>
        <v>0</v>
      </c>
      <c r="AU17" s="250">
        <f t="shared" si="4"/>
        <v>0</v>
      </c>
      <c r="AV17" s="250">
        <f t="shared" si="4"/>
        <v>0</v>
      </c>
      <c r="AW17" s="250">
        <f t="shared" si="4"/>
        <v>0</v>
      </c>
      <c r="AX17" s="250">
        <f t="shared" si="4"/>
        <v>0</v>
      </c>
      <c r="AY17" s="250">
        <f t="shared" si="4"/>
        <v>0</v>
      </c>
      <c r="AZ17" s="250">
        <f t="shared" si="4"/>
        <v>0</v>
      </c>
      <c r="BA17" s="250">
        <f t="shared" si="4"/>
        <v>0</v>
      </c>
      <c r="BB17" s="250">
        <f t="shared" si="4"/>
        <v>0</v>
      </c>
      <c r="BC17" s="250">
        <f t="shared" si="4"/>
        <v>0</v>
      </c>
      <c r="BD17" s="250">
        <f t="shared" si="4"/>
        <v>0</v>
      </c>
      <c r="BE17" s="250">
        <f t="shared" si="4"/>
        <v>0</v>
      </c>
      <c r="BF17" s="250">
        <f t="shared" si="4"/>
        <v>0</v>
      </c>
      <c r="BG17" s="250">
        <f t="shared" si="4"/>
        <v>0</v>
      </c>
      <c r="BH17" s="250">
        <f t="shared" si="4"/>
        <v>0</v>
      </c>
      <c r="BI17" s="250">
        <f t="shared" si="4"/>
        <v>0</v>
      </c>
      <c r="BJ17" s="250">
        <f t="shared" si="4"/>
        <v>0</v>
      </c>
      <c r="BK17" s="250">
        <f t="shared" si="4"/>
        <v>0</v>
      </c>
      <c r="BL17" s="250">
        <f t="shared" si="4"/>
        <v>0</v>
      </c>
      <c r="BM17" s="250">
        <f t="shared" si="4"/>
        <v>0</v>
      </c>
      <c r="BN17" s="250">
        <f t="shared" si="4"/>
        <v>0</v>
      </c>
      <c r="BO17" s="250">
        <f t="shared" si="4"/>
        <v>0</v>
      </c>
      <c r="BP17" s="250">
        <f t="shared" si="4"/>
        <v>0</v>
      </c>
      <c r="BQ17" s="250">
        <f t="shared" si="4"/>
        <v>0</v>
      </c>
      <c r="BR17" s="250">
        <f t="shared" si="4"/>
        <v>0</v>
      </c>
      <c r="BS17" s="250">
        <f t="shared" si="4"/>
        <v>0</v>
      </c>
      <c r="BT17" s="250">
        <f t="shared" si="4"/>
        <v>0</v>
      </c>
      <c r="BU17" s="250">
        <f t="shared" si="4"/>
        <v>0</v>
      </c>
      <c r="BV17" s="250">
        <f t="shared" si="4"/>
        <v>0</v>
      </c>
      <c r="BW17" s="250">
        <f t="shared" si="4"/>
        <v>0</v>
      </c>
      <c r="BX17" s="250">
        <f t="shared" si="4"/>
        <v>0</v>
      </c>
      <c r="BY17" s="251">
        <f t="shared" si="4"/>
        <v>-11429042</v>
      </c>
      <c r="BZ17" s="777" t="e">
        <f>BY17+BY23+BY26+BY34+BY37+BY47+BY53+BY61+BY85</f>
        <v>#REF!</v>
      </c>
      <c r="CA17" s="226"/>
      <c r="CB17" s="252"/>
      <c r="CC17" s="777"/>
      <c r="CD17" s="226"/>
      <c r="CE17" s="226"/>
    </row>
    <row r="18" spans="1:83" ht="16" outlineLevel="1">
      <c r="A18" s="603"/>
      <c r="B18" s="787"/>
      <c r="C18" s="253" t="s">
        <v>621</v>
      </c>
      <c r="D18" s="254" t="s">
        <v>270</v>
      </c>
      <c r="E18" s="255"/>
      <c r="F18" s="255"/>
      <c r="G18" s="255"/>
      <c r="H18" s="255">
        <f>-8458812-2161900</f>
        <v>-10620712</v>
      </c>
      <c r="I18" s="255"/>
      <c r="J18" s="255">
        <f>-657293-151037</f>
        <v>-808330</v>
      </c>
      <c r="K18" s="255"/>
      <c r="L18" s="255"/>
      <c r="M18" s="255"/>
      <c r="N18" s="255"/>
      <c r="O18" s="255"/>
      <c r="P18" s="255"/>
      <c r="Q18" s="255"/>
      <c r="R18" s="255"/>
      <c r="S18" s="255"/>
      <c r="T18" s="255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7">
        <f t="shared" ref="BY18:BY22" si="5">SUM(E18:BX18)</f>
        <v>-11429042</v>
      </c>
      <c r="BZ18" s="771"/>
      <c r="CA18" s="226"/>
      <c r="CB18" s="252"/>
      <c r="CC18" s="771"/>
      <c r="CD18" s="226"/>
      <c r="CE18" s="226"/>
    </row>
    <row r="19" spans="1:83" ht="16" outlineLevel="1">
      <c r="A19" s="603"/>
      <c r="B19" s="787"/>
      <c r="C19" s="253" t="s">
        <v>271</v>
      </c>
      <c r="D19" s="254" t="s">
        <v>270</v>
      </c>
      <c r="E19" s="255"/>
      <c r="F19" s="255"/>
      <c r="G19" s="255"/>
      <c r="H19" s="255"/>
      <c r="I19" s="255"/>
      <c r="J19" s="255"/>
      <c r="K19" s="255"/>
      <c r="L19" s="255"/>
      <c r="M19" s="255"/>
      <c r="N19" s="255"/>
      <c r="O19" s="255"/>
      <c r="P19" s="255"/>
      <c r="Q19" s="255"/>
      <c r="R19" s="255"/>
      <c r="S19" s="255"/>
      <c r="T19" s="255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si="5"/>
        <v>0</v>
      </c>
      <c r="BZ19" s="771"/>
      <c r="CA19" s="226"/>
      <c r="CB19" s="252"/>
      <c r="CC19" s="771"/>
      <c r="CD19" s="226"/>
      <c r="CE19" s="226"/>
    </row>
    <row r="20" spans="1:83" ht="16" outlineLevel="1">
      <c r="A20" s="603"/>
      <c r="B20" s="787"/>
      <c r="C20" s="253" t="s">
        <v>272</v>
      </c>
      <c r="D20" s="254" t="s">
        <v>270</v>
      </c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5"/>
        <v>0</v>
      </c>
      <c r="BZ20" s="771"/>
      <c r="CA20" s="226"/>
      <c r="CB20" s="252"/>
      <c r="CC20" s="771"/>
      <c r="CD20" s="226"/>
      <c r="CE20" s="226"/>
    </row>
    <row r="21" spans="1:83" ht="16" outlineLevel="1">
      <c r="A21" s="603"/>
      <c r="B21" s="787"/>
      <c r="C21" s="253" t="s">
        <v>273</v>
      </c>
      <c r="D21" s="254" t="s">
        <v>270</v>
      </c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5"/>
        <v>0</v>
      </c>
      <c r="BZ21" s="771"/>
      <c r="CA21" s="226"/>
      <c r="CB21" s="252"/>
      <c r="CC21" s="771"/>
      <c r="CD21" s="226"/>
      <c r="CE21" s="226"/>
    </row>
    <row r="22" spans="1:83" ht="16" outlineLevel="1">
      <c r="A22" s="603"/>
      <c r="B22" s="787"/>
      <c r="C22" s="253" t="s">
        <v>274</v>
      </c>
      <c r="D22" s="258" t="s">
        <v>270</v>
      </c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5"/>
        <v>0</v>
      </c>
      <c r="BZ22" s="771"/>
      <c r="CA22" s="226"/>
      <c r="CB22" s="252"/>
      <c r="CC22" s="771"/>
      <c r="CD22" s="226"/>
      <c r="CE22" s="226"/>
    </row>
    <row r="23" spans="1:83" ht="16">
      <c r="A23" s="603"/>
      <c r="B23" s="787"/>
      <c r="C23" s="248" t="s">
        <v>275</v>
      </c>
      <c r="D23" s="249"/>
      <c r="E23" s="250">
        <f t="shared" ref="E23:BY23" si="6">SUM(E24:E25)</f>
        <v>0</v>
      </c>
      <c r="F23" s="250">
        <f t="shared" si="6"/>
        <v>0</v>
      </c>
      <c r="G23" s="250">
        <f t="shared" si="6"/>
        <v>0</v>
      </c>
      <c r="H23" s="250">
        <f t="shared" si="6"/>
        <v>0</v>
      </c>
      <c r="I23" s="250">
        <f t="shared" si="6"/>
        <v>-366025</v>
      </c>
      <c r="J23" s="250">
        <f t="shared" si="6"/>
        <v>0</v>
      </c>
      <c r="K23" s="250">
        <f t="shared" si="6"/>
        <v>-288524.5</v>
      </c>
      <c r="L23" s="250">
        <f t="shared" si="6"/>
        <v>0</v>
      </c>
      <c r="M23" s="250">
        <f t="shared" si="6"/>
        <v>0</v>
      </c>
      <c r="N23" s="250">
        <f t="shared" si="6"/>
        <v>0</v>
      </c>
      <c r="O23" s="250">
        <f t="shared" si="6"/>
        <v>0</v>
      </c>
      <c r="P23" s="250">
        <f t="shared" si="6"/>
        <v>0</v>
      </c>
      <c r="Q23" s="250">
        <f t="shared" si="6"/>
        <v>0</v>
      </c>
      <c r="R23" s="250">
        <f t="shared" si="6"/>
        <v>0</v>
      </c>
      <c r="S23" s="250">
        <f t="shared" si="6"/>
        <v>0</v>
      </c>
      <c r="T23" s="250">
        <f t="shared" si="6"/>
        <v>0</v>
      </c>
      <c r="U23" s="250">
        <f t="shared" si="6"/>
        <v>0</v>
      </c>
      <c r="V23" s="250">
        <f t="shared" si="6"/>
        <v>0</v>
      </c>
      <c r="W23" s="250">
        <f t="shared" si="6"/>
        <v>0</v>
      </c>
      <c r="X23" s="250">
        <f t="shared" si="6"/>
        <v>0</v>
      </c>
      <c r="Y23" s="250">
        <f t="shared" si="6"/>
        <v>0</v>
      </c>
      <c r="Z23" s="250">
        <f t="shared" si="6"/>
        <v>0</v>
      </c>
      <c r="AA23" s="250">
        <f t="shared" si="6"/>
        <v>0</v>
      </c>
      <c r="AB23" s="250">
        <f t="shared" si="6"/>
        <v>0</v>
      </c>
      <c r="AC23" s="250">
        <f t="shared" si="6"/>
        <v>0</v>
      </c>
      <c r="AD23" s="250">
        <f t="shared" si="6"/>
        <v>0</v>
      </c>
      <c r="AE23" s="250">
        <f t="shared" si="6"/>
        <v>0</v>
      </c>
      <c r="AF23" s="250">
        <f t="shared" si="6"/>
        <v>0</v>
      </c>
      <c r="AG23" s="250">
        <f t="shared" si="6"/>
        <v>0</v>
      </c>
      <c r="AH23" s="250">
        <f t="shared" si="6"/>
        <v>0</v>
      </c>
      <c r="AI23" s="250">
        <f t="shared" si="6"/>
        <v>0</v>
      </c>
      <c r="AJ23" s="250">
        <f t="shared" si="6"/>
        <v>0</v>
      </c>
      <c r="AK23" s="250">
        <f t="shared" si="6"/>
        <v>0</v>
      </c>
      <c r="AL23" s="250">
        <f t="shared" si="6"/>
        <v>0</v>
      </c>
      <c r="AM23" s="250">
        <f t="shared" si="6"/>
        <v>0</v>
      </c>
      <c r="AN23" s="250">
        <f t="shared" si="6"/>
        <v>0</v>
      </c>
      <c r="AO23" s="250">
        <f t="shared" si="6"/>
        <v>0</v>
      </c>
      <c r="AP23" s="250">
        <f t="shared" si="6"/>
        <v>0</v>
      </c>
      <c r="AQ23" s="250">
        <f t="shared" si="6"/>
        <v>0</v>
      </c>
      <c r="AR23" s="250">
        <f t="shared" si="6"/>
        <v>0</v>
      </c>
      <c r="AS23" s="250">
        <f t="shared" si="6"/>
        <v>0</v>
      </c>
      <c r="AT23" s="250">
        <f t="shared" si="6"/>
        <v>0</v>
      </c>
      <c r="AU23" s="250">
        <f t="shared" si="6"/>
        <v>0</v>
      </c>
      <c r="AV23" s="250">
        <f t="shared" si="6"/>
        <v>0</v>
      </c>
      <c r="AW23" s="250">
        <f t="shared" si="6"/>
        <v>0</v>
      </c>
      <c r="AX23" s="250">
        <f t="shared" si="6"/>
        <v>0</v>
      </c>
      <c r="AY23" s="250">
        <f t="shared" si="6"/>
        <v>0</v>
      </c>
      <c r="AZ23" s="250">
        <f t="shared" si="6"/>
        <v>0</v>
      </c>
      <c r="BA23" s="250">
        <f t="shared" si="6"/>
        <v>0</v>
      </c>
      <c r="BB23" s="250">
        <f t="shared" si="6"/>
        <v>0</v>
      </c>
      <c r="BC23" s="250">
        <f t="shared" si="6"/>
        <v>0</v>
      </c>
      <c r="BD23" s="250">
        <f t="shared" si="6"/>
        <v>0</v>
      </c>
      <c r="BE23" s="250">
        <f t="shared" si="6"/>
        <v>0</v>
      </c>
      <c r="BF23" s="250">
        <f t="shared" si="6"/>
        <v>0</v>
      </c>
      <c r="BG23" s="250">
        <f t="shared" si="6"/>
        <v>0</v>
      </c>
      <c r="BH23" s="250">
        <f t="shared" si="6"/>
        <v>0</v>
      </c>
      <c r="BI23" s="250">
        <f t="shared" si="6"/>
        <v>0</v>
      </c>
      <c r="BJ23" s="250">
        <f t="shared" si="6"/>
        <v>0</v>
      </c>
      <c r="BK23" s="250">
        <f t="shared" si="6"/>
        <v>0</v>
      </c>
      <c r="BL23" s="250">
        <f t="shared" si="6"/>
        <v>0</v>
      </c>
      <c r="BM23" s="250">
        <f t="shared" si="6"/>
        <v>0</v>
      </c>
      <c r="BN23" s="250">
        <f t="shared" si="6"/>
        <v>0</v>
      </c>
      <c r="BO23" s="250">
        <f t="shared" si="6"/>
        <v>0</v>
      </c>
      <c r="BP23" s="250">
        <f t="shared" si="6"/>
        <v>0</v>
      </c>
      <c r="BQ23" s="250">
        <f t="shared" si="6"/>
        <v>0</v>
      </c>
      <c r="BR23" s="250">
        <f t="shared" si="6"/>
        <v>0</v>
      </c>
      <c r="BS23" s="250">
        <f t="shared" si="6"/>
        <v>0</v>
      </c>
      <c r="BT23" s="250">
        <f t="shared" si="6"/>
        <v>0</v>
      </c>
      <c r="BU23" s="250">
        <f t="shared" si="6"/>
        <v>0</v>
      </c>
      <c r="BV23" s="250">
        <f t="shared" si="6"/>
        <v>0</v>
      </c>
      <c r="BW23" s="250">
        <f t="shared" si="6"/>
        <v>0</v>
      </c>
      <c r="BX23" s="250">
        <f t="shared" si="6"/>
        <v>0</v>
      </c>
      <c r="BY23" s="251">
        <f t="shared" si="6"/>
        <v>-654549.5</v>
      </c>
      <c r="BZ23" s="771"/>
      <c r="CA23" s="226"/>
      <c r="CB23" s="252"/>
      <c r="CC23" s="771"/>
      <c r="CD23" s="226"/>
      <c r="CE23" s="226">
        <f>7000000*1.21</f>
        <v>8470000</v>
      </c>
    </row>
    <row r="24" spans="1:83" ht="16" outlineLevel="1">
      <c r="A24" s="603"/>
      <c r="B24" s="787"/>
      <c r="C24" s="253" t="s">
        <v>276</v>
      </c>
      <c r="D24" s="258" t="s">
        <v>270</v>
      </c>
      <c r="E24" s="259"/>
      <c r="F24" s="259"/>
      <c r="G24" s="259"/>
      <c r="H24" s="259"/>
      <c r="I24" s="259">
        <f>-302500*1.21</f>
        <v>-366025</v>
      </c>
      <c r="J24" s="259"/>
      <c r="K24" s="259">
        <f>-152500*1.21</f>
        <v>-184525</v>
      </c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61">
        <f t="shared" ref="BY24:BY25" si="7">SUM(E24:BX24)</f>
        <v>-550550</v>
      </c>
      <c r="BZ24" s="771"/>
      <c r="CA24" s="226"/>
      <c r="CB24" s="252"/>
      <c r="CC24" s="771"/>
      <c r="CD24" s="226"/>
      <c r="CE24" s="226"/>
    </row>
    <row r="25" spans="1:83" ht="16" outlineLevel="1">
      <c r="A25" s="603"/>
      <c r="B25" s="787"/>
      <c r="C25" s="253" t="s">
        <v>277</v>
      </c>
      <c r="D25" s="258" t="s">
        <v>270</v>
      </c>
      <c r="E25" s="259"/>
      <c r="F25" s="259"/>
      <c r="G25" s="259"/>
      <c r="H25" s="259"/>
      <c r="I25" s="259"/>
      <c r="J25" s="259"/>
      <c r="K25" s="259">
        <f>-Businessplan_prodej!$F$22*1.21</f>
        <v>-103999.5</v>
      </c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1">
        <f t="shared" si="7"/>
        <v>-103999.5</v>
      </c>
      <c r="BZ25" s="771"/>
      <c r="CA25" s="226"/>
      <c r="CB25" s="252"/>
      <c r="CC25" s="771"/>
      <c r="CD25" s="226"/>
      <c r="CE25" s="226"/>
    </row>
    <row r="26" spans="1:83" ht="16">
      <c r="A26" s="603"/>
      <c r="B26" s="787"/>
      <c r="C26" s="248" t="s">
        <v>278</v>
      </c>
      <c r="D26" s="249"/>
      <c r="E26" s="250">
        <f t="shared" ref="E26:BX26" si="8">SUM(E27:E33)</f>
        <v>0</v>
      </c>
      <c r="F26" s="250">
        <f t="shared" si="8"/>
        <v>0</v>
      </c>
      <c r="G26" s="250">
        <f t="shared" si="8"/>
        <v>0</v>
      </c>
      <c r="H26" s="250">
        <f t="shared" si="8"/>
        <v>-2420</v>
      </c>
      <c r="I26" s="250">
        <f t="shared" si="8"/>
        <v>-1081909</v>
      </c>
      <c r="J26" s="250">
        <f t="shared" si="8"/>
        <v>0</v>
      </c>
      <c r="K26" s="250">
        <f t="shared" si="8"/>
        <v>-7031181</v>
      </c>
      <c r="L26" s="250">
        <f t="shared" si="8"/>
        <v>-7899681</v>
      </c>
      <c r="M26" s="250">
        <f t="shared" si="8"/>
        <v>-21093542</v>
      </c>
      <c r="N26" s="250">
        <f t="shared" si="8"/>
        <v>-8788976</v>
      </c>
      <c r="O26" s="250">
        <f t="shared" si="8"/>
        <v>-8788977</v>
      </c>
      <c r="P26" s="250">
        <f t="shared" si="8"/>
        <v>-5859318</v>
      </c>
      <c r="Q26" s="250">
        <f t="shared" si="8"/>
        <v>0</v>
      </c>
      <c r="R26" s="250">
        <f t="shared" si="8"/>
        <v>0</v>
      </c>
      <c r="S26" s="250">
        <f t="shared" si="8"/>
        <v>0</v>
      </c>
      <c r="T26" s="250">
        <f t="shared" si="8"/>
        <v>0</v>
      </c>
      <c r="U26" s="250">
        <f t="shared" si="8"/>
        <v>0</v>
      </c>
      <c r="V26" s="250">
        <f t="shared" si="8"/>
        <v>0</v>
      </c>
      <c r="W26" s="250">
        <f t="shared" si="8"/>
        <v>0</v>
      </c>
      <c r="X26" s="250">
        <f t="shared" si="8"/>
        <v>0</v>
      </c>
      <c r="Y26" s="250">
        <f t="shared" si="8"/>
        <v>0</v>
      </c>
      <c r="Z26" s="250">
        <f t="shared" si="8"/>
        <v>0</v>
      </c>
      <c r="AA26" s="250">
        <f t="shared" si="8"/>
        <v>0</v>
      </c>
      <c r="AB26" s="250">
        <f t="shared" si="8"/>
        <v>0</v>
      </c>
      <c r="AC26" s="250">
        <f t="shared" si="8"/>
        <v>0</v>
      </c>
      <c r="AD26" s="250">
        <f t="shared" si="8"/>
        <v>0</v>
      </c>
      <c r="AE26" s="250">
        <f t="shared" si="8"/>
        <v>0</v>
      </c>
      <c r="AF26" s="250">
        <f t="shared" si="8"/>
        <v>0</v>
      </c>
      <c r="AG26" s="250">
        <f t="shared" si="8"/>
        <v>0</v>
      </c>
      <c r="AH26" s="250">
        <f t="shared" si="8"/>
        <v>0</v>
      </c>
      <c r="AI26" s="250">
        <f t="shared" si="8"/>
        <v>0</v>
      </c>
      <c r="AJ26" s="250">
        <f t="shared" si="8"/>
        <v>0</v>
      </c>
      <c r="AK26" s="250">
        <f t="shared" si="8"/>
        <v>0</v>
      </c>
      <c r="AL26" s="250">
        <f t="shared" si="8"/>
        <v>0</v>
      </c>
      <c r="AM26" s="250">
        <f t="shared" si="8"/>
        <v>0</v>
      </c>
      <c r="AN26" s="250">
        <f t="shared" si="8"/>
        <v>0</v>
      </c>
      <c r="AO26" s="250">
        <f t="shared" si="8"/>
        <v>0</v>
      </c>
      <c r="AP26" s="250">
        <f t="shared" si="8"/>
        <v>0</v>
      </c>
      <c r="AQ26" s="250">
        <f t="shared" si="8"/>
        <v>0</v>
      </c>
      <c r="AR26" s="250">
        <f t="shared" si="8"/>
        <v>0</v>
      </c>
      <c r="AS26" s="250">
        <f t="shared" si="8"/>
        <v>0</v>
      </c>
      <c r="AT26" s="250">
        <f t="shared" si="8"/>
        <v>0</v>
      </c>
      <c r="AU26" s="250">
        <f t="shared" si="8"/>
        <v>0</v>
      </c>
      <c r="AV26" s="250">
        <f t="shared" si="8"/>
        <v>0</v>
      </c>
      <c r="AW26" s="250">
        <f t="shared" si="8"/>
        <v>0</v>
      </c>
      <c r="AX26" s="250">
        <f t="shared" si="8"/>
        <v>0</v>
      </c>
      <c r="AY26" s="250">
        <f t="shared" si="8"/>
        <v>0</v>
      </c>
      <c r="AZ26" s="250">
        <f t="shared" si="8"/>
        <v>0</v>
      </c>
      <c r="BA26" s="250">
        <f t="shared" si="8"/>
        <v>0</v>
      </c>
      <c r="BB26" s="250">
        <f t="shared" si="8"/>
        <v>0</v>
      </c>
      <c r="BC26" s="250">
        <f t="shared" si="8"/>
        <v>0</v>
      </c>
      <c r="BD26" s="250">
        <f t="shared" si="8"/>
        <v>0</v>
      </c>
      <c r="BE26" s="250">
        <f t="shared" si="8"/>
        <v>0</v>
      </c>
      <c r="BF26" s="250">
        <f t="shared" si="8"/>
        <v>0</v>
      </c>
      <c r="BG26" s="250">
        <f t="shared" si="8"/>
        <v>0</v>
      </c>
      <c r="BH26" s="250">
        <f t="shared" si="8"/>
        <v>0</v>
      </c>
      <c r="BI26" s="250">
        <f t="shared" si="8"/>
        <v>0</v>
      </c>
      <c r="BJ26" s="250">
        <f t="shared" si="8"/>
        <v>0</v>
      </c>
      <c r="BK26" s="250">
        <f t="shared" si="8"/>
        <v>0</v>
      </c>
      <c r="BL26" s="250">
        <f t="shared" si="8"/>
        <v>0</v>
      </c>
      <c r="BM26" s="250">
        <f t="shared" si="8"/>
        <v>0</v>
      </c>
      <c r="BN26" s="250">
        <f t="shared" si="8"/>
        <v>0</v>
      </c>
      <c r="BO26" s="250">
        <f t="shared" si="8"/>
        <v>0</v>
      </c>
      <c r="BP26" s="250">
        <f t="shared" si="8"/>
        <v>0</v>
      </c>
      <c r="BQ26" s="250">
        <f t="shared" si="8"/>
        <v>0</v>
      </c>
      <c r="BR26" s="250">
        <f t="shared" si="8"/>
        <v>0</v>
      </c>
      <c r="BS26" s="250">
        <f t="shared" si="8"/>
        <v>0</v>
      </c>
      <c r="BT26" s="250">
        <f t="shared" si="8"/>
        <v>0</v>
      </c>
      <c r="BU26" s="250">
        <f t="shared" si="8"/>
        <v>0</v>
      </c>
      <c r="BV26" s="250">
        <f t="shared" si="8"/>
        <v>0</v>
      </c>
      <c r="BW26" s="250">
        <f t="shared" si="8"/>
        <v>0</v>
      </c>
      <c r="BX26" s="250">
        <f t="shared" si="8"/>
        <v>0</v>
      </c>
      <c r="BY26" s="252">
        <f>SUM(BY27:BY33)</f>
        <v>-60546004</v>
      </c>
      <c r="BZ26" s="771"/>
      <c r="CA26" s="226"/>
      <c r="CB26" s="252"/>
      <c r="CC26" s="771"/>
      <c r="CD26" s="226"/>
      <c r="CE26" s="226"/>
    </row>
    <row r="27" spans="1:83" ht="16" outlineLevel="1">
      <c r="A27" s="603"/>
      <c r="B27" s="787"/>
      <c r="C27" s="253" t="s">
        <v>279</v>
      </c>
      <c r="D27" s="254" t="s">
        <v>270</v>
      </c>
      <c r="E27" s="255"/>
      <c r="F27" s="255"/>
      <c r="G27" s="255"/>
      <c r="H27" s="255"/>
      <c r="I27" s="255"/>
      <c r="J27" s="255"/>
      <c r="K27" s="255">
        <f t="shared" ref="K27:L27" si="9">-7031181</f>
        <v>-7031181</v>
      </c>
      <c r="L27" s="255">
        <f t="shared" si="9"/>
        <v>-7031181</v>
      </c>
      <c r="M27" s="255">
        <f>-6445249-5859317-5859317-2929659</f>
        <v>-21093542</v>
      </c>
      <c r="N27" s="255">
        <f>-2929659-5859317</f>
        <v>-8788976</v>
      </c>
      <c r="O27" s="255">
        <f>-2929659-2929659-2929659</f>
        <v>-8788977</v>
      </c>
      <c r="P27" s="255">
        <f>-2929659-2929659</f>
        <v>-5859318</v>
      </c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64"/>
      <c r="BY27" s="265">
        <f t="shared" ref="BY27:BY33" si="10">SUM(E27:BX27)</f>
        <v>-58593175</v>
      </c>
      <c r="BZ27" s="771"/>
      <c r="CA27" s="226"/>
      <c r="CB27" s="252"/>
      <c r="CC27" s="771"/>
      <c r="CD27" s="226"/>
      <c r="CE27" s="226"/>
    </row>
    <row r="28" spans="1:83" ht="16" outlineLevel="1">
      <c r="A28" s="603"/>
      <c r="B28" s="787"/>
      <c r="C28" s="253" t="s">
        <v>280</v>
      </c>
      <c r="D28" s="254" t="s">
        <v>270</v>
      </c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66">
        <f t="shared" si="10"/>
        <v>0</v>
      </c>
      <c r="BZ28" s="771"/>
      <c r="CA28" s="226"/>
      <c r="CB28" s="252"/>
      <c r="CC28" s="771"/>
      <c r="CD28" s="226"/>
      <c r="CE28" s="226"/>
    </row>
    <row r="29" spans="1:83" ht="16" outlineLevel="1">
      <c r="A29" s="603"/>
      <c r="B29" s="787"/>
      <c r="C29" s="253" t="s">
        <v>281</v>
      </c>
      <c r="D29" s="254" t="s">
        <v>270</v>
      </c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66">
        <f t="shared" si="10"/>
        <v>0</v>
      </c>
      <c r="BZ29" s="771"/>
      <c r="CA29" s="226"/>
      <c r="CB29" s="252"/>
      <c r="CC29" s="771"/>
      <c r="CD29" s="226"/>
      <c r="CE29" s="226"/>
    </row>
    <row r="30" spans="1:83" ht="16" outlineLevel="1">
      <c r="A30" s="603"/>
      <c r="B30" s="787"/>
      <c r="C30" s="253" t="s">
        <v>282</v>
      </c>
      <c r="D30" s="254" t="s">
        <v>270</v>
      </c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5"/>
      <c r="T30" s="255"/>
      <c r="U30" s="255"/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66">
        <f t="shared" si="10"/>
        <v>0</v>
      </c>
      <c r="BZ30" s="771"/>
      <c r="CA30" s="226"/>
      <c r="CB30" s="252"/>
      <c r="CC30" s="771"/>
      <c r="CD30" s="226"/>
      <c r="CE30" s="226"/>
    </row>
    <row r="31" spans="1:83" ht="16" outlineLevel="1">
      <c r="A31" s="603"/>
      <c r="B31" s="787"/>
      <c r="C31" s="253" t="s">
        <v>283</v>
      </c>
      <c r="D31" s="254" t="s">
        <v>270</v>
      </c>
      <c r="E31" s="255"/>
      <c r="F31" s="255"/>
      <c r="G31" s="255"/>
      <c r="H31" s="255">
        <f>-2420</f>
        <v>-2420</v>
      </c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  <c r="V31" s="255"/>
      <c r="W31" s="255"/>
      <c r="X31" s="255"/>
      <c r="Y31" s="255"/>
      <c r="Z31" s="255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66">
        <f t="shared" si="10"/>
        <v>-2420</v>
      </c>
      <c r="BZ31" s="771"/>
      <c r="CA31" s="226"/>
      <c r="CB31" s="252"/>
      <c r="CC31" s="771"/>
      <c r="CD31" s="226"/>
      <c r="CE31" s="226"/>
    </row>
    <row r="32" spans="1:83" ht="16" outlineLevel="1">
      <c r="A32" s="603"/>
      <c r="B32" s="787"/>
      <c r="C32" s="267" t="s">
        <v>284</v>
      </c>
      <c r="D32" s="254" t="s">
        <v>270</v>
      </c>
      <c r="E32" s="255"/>
      <c r="F32" s="255"/>
      <c r="G32" s="255"/>
      <c r="H32" s="255"/>
      <c r="I32" s="255">
        <f>-1081909</f>
        <v>-1081909</v>
      </c>
      <c r="J32" s="255"/>
      <c r="K32" s="255"/>
      <c r="L32" s="255">
        <f>-868500</f>
        <v>-868500</v>
      </c>
      <c r="M32" s="255"/>
      <c r="N32" s="255"/>
      <c r="O32" s="255"/>
      <c r="P32" s="255"/>
      <c r="Q32" s="255"/>
      <c r="R32" s="255"/>
      <c r="S32" s="255"/>
      <c r="T32" s="255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66">
        <f t="shared" si="10"/>
        <v>-1950409</v>
      </c>
      <c r="BZ32" s="771"/>
      <c r="CA32" s="226"/>
      <c r="CB32" s="252"/>
      <c r="CC32" s="771"/>
      <c r="CD32" s="226"/>
      <c r="CE32" s="226"/>
    </row>
    <row r="33" spans="1:81" ht="16" outlineLevel="1">
      <c r="A33" s="603"/>
      <c r="B33" s="787"/>
      <c r="C33" s="253" t="s">
        <v>285</v>
      </c>
      <c r="D33" s="258" t="s">
        <v>270</v>
      </c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68">
        <f t="shared" si="10"/>
        <v>0</v>
      </c>
      <c r="BZ33" s="771"/>
      <c r="CA33" s="226"/>
      <c r="CB33" s="252"/>
      <c r="CC33" s="771"/>
    </row>
    <row r="34" spans="1:81" ht="16" collapsed="1">
      <c r="A34" s="603"/>
      <c r="B34" s="787"/>
      <c r="C34" s="248" t="s">
        <v>286</v>
      </c>
      <c r="D34" s="249"/>
      <c r="E34" s="250">
        <f t="shared" ref="E34:BX34" si="11">SUM(E35:E36)</f>
        <v>0</v>
      </c>
      <c r="F34" s="250">
        <f t="shared" si="11"/>
        <v>0</v>
      </c>
      <c r="G34" s="250">
        <f t="shared" si="11"/>
        <v>0</v>
      </c>
      <c r="H34" s="250">
        <f t="shared" si="11"/>
        <v>0</v>
      </c>
      <c r="I34" s="250">
        <f t="shared" si="11"/>
        <v>0</v>
      </c>
      <c r="J34" s="250">
        <f t="shared" si="11"/>
        <v>0</v>
      </c>
      <c r="K34" s="250">
        <f t="shared" si="11"/>
        <v>0</v>
      </c>
      <c r="L34" s="250">
        <f t="shared" si="11"/>
        <v>0</v>
      </c>
      <c r="M34" s="250">
        <f t="shared" si="11"/>
        <v>0</v>
      </c>
      <c r="N34" s="250">
        <f t="shared" si="11"/>
        <v>0</v>
      </c>
      <c r="O34" s="250">
        <f t="shared" si="11"/>
        <v>0</v>
      </c>
      <c r="P34" s="250">
        <f t="shared" si="11"/>
        <v>0</v>
      </c>
      <c r="Q34" s="250">
        <f t="shared" si="11"/>
        <v>0</v>
      </c>
      <c r="R34" s="250">
        <f t="shared" si="11"/>
        <v>0</v>
      </c>
      <c r="S34" s="250">
        <f t="shared" si="11"/>
        <v>0</v>
      </c>
      <c r="T34" s="250">
        <f t="shared" si="11"/>
        <v>0</v>
      </c>
      <c r="U34" s="250">
        <f t="shared" si="11"/>
        <v>0</v>
      </c>
      <c r="V34" s="250">
        <f t="shared" si="11"/>
        <v>0</v>
      </c>
      <c r="W34" s="250">
        <f t="shared" si="11"/>
        <v>0</v>
      </c>
      <c r="X34" s="250">
        <f t="shared" si="11"/>
        <v>0</v>
      </c>
      <c r="Y34" s="250">
        <f t="shared" si="11"/>
        <v>0</v>
      </c>
      <c r="Z34" s="250">
        <f t="shared" si="11"/>
        <v>0</v>
      </c>
      <c r="AA34" s="250">
        <f t="shared" si="11"/>
        <v>0</v>
      </c>
      <c r="AB34" s="250">
        <f t="shared" si="11"/>
        <v>0</v>
      </c>
      <c r="AC34" s="250">
        <f t="shared" si="11"/>
        <v>0</v>
      </c>
      <c r="AD34" s="250">
        <f t="shared" si="11"/>
        <v>0</v>
      </c>
      <c r="AE34" s="250">
        <f t="shared" si="11"/>
        <v>0</v>
      </c>
      <c r="AF34" s="250">
        <f t="shared" si="11"/>
        <v>0</v>
      </c>
      <c r="AG34" s="250">
        <f t="shared" si="11"/>
        <v>0</v>
      </c>
      <c r="AH34" s="250">
        <f t="shared" si="11"/>
        <v>0</v>
      </c>
      <c r="AI34" s="250">
        <f t="shared" si="11"/>
        <v>0</v>
      </c>
      <c r="AJ34" s="250">
        <f t="shared" si="11"/>
        <v>0</v>
      </c>
      <c r="AK34" s="250">
        <f t="shared" si="11"/>
        <v>0</v>
      </c>
      <c r="AL34" s="250">
        <f t="shared" si="11"/>
        <v>0</v>
      </c>
      <c r="AM34" s="250">
        <f t="shared" si="11"/>
        <v>0</v>
      </c>
      <c r="AN34" s="250">
        <f t="shared" si="11"/>
        <v>0</v>
      </c>
      <c r="AO34" s="250">
        <f t="shared" si="11"/>
        <v>0</v>
      </c>
      <c r="AP34" s="250">
        <f t="shared" si="11"/>
        <v>0</v>
      </c>
      <c r="AQ34" s="250">
        <f t="shared" si="11"/>
        <v>0</v>
      </c>
      <c r="AR34" s="250">
        <f t="shared" si="11"/>
        <v>0</v>
      </c>
      <c r="AS34" s="250">
        <f t="shared" si="11"/>
        <v>0</v>
      </c>
      <c r="AT34" s="250">
        <f t="shared" si="11"/>
        <v>0</v>
      </c>
      <c r="AU34" s="250">
        <f t="shared" si="11"/>
        <v>0</v>
      </c>
      <c r="AV34" s="250">
        <f t="shared" si="11"/>
        <v>0</v>
      </c>
      <c r="AW34" s="250">
        <f t="shared" si="11"/>
        <v>0</v>
      </c>
      <c r="AX34" s="250">
        <f t="shared" si="11"/>
        <v>0</v>
      </c>
      <c r="AY34" s="250">
        <f t="shared" si="11"/>
        <v>0</v>
      </c>
      <c r="AZ34" s="250">
        <f t="shared" si="11"/>
        <v>0</v>
      </c>
      <c r="BA34" s="250">
        <f t="shared" si="11"/>
        <v>0</v>
      </c>
      <c r="BB34" s="250">
        <f t="shared" si="11"/>
        <v>0</v>
      </c>
      <c r="BC34" s="250">
        <f t="shared" si="11"/>
        <v>0</v>
      </c>
      <c r="BD34" s="250">
        <f t="shared" si="11"/>
        <v>0</v>
      </c>
      <c r="BE34" s="250">
        <f t="shared" si="11"/>
        <v>0</v>
      </c>
      <c r="BF34" s="250">
        <f t="shared" si="11"/>
        <v>0</v>
      </c>
      <c r="BG34" s="250">
        <f t="shared" si="11"/>
        <v>0</v>
      </c>
      <c r="BH34" s="250">
        <f t="shared" si="11"/>
        <v>0</v>
      </c>
      <c r="BI34" s="250">
        <f t="shared" si="11"/>
        <v>0</v>
      </c>
      <c r="BJ34" s="250">
        <f t="shared" si="11"/>
        <v>0</v>
      </c>
      <c r="BK34" s="250">
        <f t="shared" si="11"/>
        <v>0</v>
      </c>
      <c r="BL34" s="250">
        <f t="shared" si="11"/>
        <v>0</v>
      </c>
      <c r="BM34" s="250">
        <f t="shared" si="11"/>
        <v>0</v>
      </c>
      <c r="BN34" s="250">
        <f t="shared" si="11"/>
        <v>0</v>
      </c>
      <c r="BO34" s="250">
        <f t="shared" si="11"/>
        <v>0</v>
      </c>
      <c r="BP34" s="250">
        <f t="shared" si="11"/>
        <v>0</v>
      </c>
      <c r="BQ34" s="250">
        <f t="shared" si="11"/>
        <v>0</v>
      </c>
      <c r="BR34" s="250">
        <f t="shared" si="11"/>
        <v>0</v>
      </c>
      <c r="BS34" s="250">
        <f t="shared" si="11"/>
        <v>0</v>
      </c>
      <c r="BT34" s="250">
        <f t="shared" si="11"/>
        <v>0</v>
      </c>
      <c r="BU34" s="250">
        <f t="shared" si="11"/>
        <v>0</v>
      </c>
      <c r="BV34" s="250">
        <f t="shared" si="11"/>
        <v>0</v>
      </c>
      <c r="BW34" s="250">
        <f t="shared" si="11"/>
        <v>0</v>
      </c>
      <c r="BX34" s="250">
        <f t="shared" si="11"/>
        <v>0</v>
      </c>
      <c r="BY34" s="252">
        <f>SUM(BY35:BY36)</f>
        <v>0</v>
      </c>
      <c r="BZ34" s="771"/>
      <c r="CA34" s="226"/>
      <c r="CB34" s="252"/>
      <c r="CC34" s="771"/>
    </row>
    <row r="35" spans="1:81" ht="16" hidden="1" outlineLevel="1">
      <c r="A35" s="603"/>
      <c r="B35" s="787"/>
      <c r="C35" s="253" t="s">
        <v>287</v>
      </c>
      <c r="D35" s="254" t="s">
        <v>270</v>
      </c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70"/>
      <c r="T35" s="255"/>
      <c r="U35" s="255"/>
      <c r="V35" s="255"/>
      <c r="W35" s="255"/>
      <c r="X35" s="255"/>
      <c r="Y35" s="255"/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64"/>
      <c r="BY35" s="265">
        <f t="shared" ref="BY35:BY36" si="12">SUM(E35:BX35)</f>
        <v>0</v>
      </c>
      <c r="BZ35" s="771"/>
      <c r="CA35" s="226"/>
      <c r="CB35" s="252"/>
      <c r="CC35" s="771"/>
    </row>
    <row r="36" spans="1:81" ht="16" hidden="1" outlineLevel="1">
      <c r="A36" s="603"/>
      <c r="B36" s="787"/>
      <c r="C36" s="253" t="s">
        <v>288</v>
      </c>
      <c r="D36" s="258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70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68">
        <f t="shared" si="12"/>
        <v>0</v>
      </c>
      <c r="BZ36" s="771"/>
      <c r="CA36" s="226"/>
      <c r="CB36" s="252"/>
      <c r="CC36" s="771"/>
    </row>
    <row r="37" spans="1:81" ht="16">
      <c r="A37" s="603"/>
      <c r="B37" s="787"/>
      <c r="C37" s="248" t="s">
        <v>289</v>
      </c>
      <c r="D37" s="249"/>
      <c r="E37" s="250">
        <f t="shared" ref="E37:BX37" si="13">SUM(E38:E46)</f>
        <v>0</v>
      </c>
      <c r="F37" s="250">
        <f t="shared" si="13"/>
        <v>0</v>
      </c>
      <c r="G37" s="250">
        <f t="shared" si="13"/>
        <v>0</v>
      </c>
      <c r="H37" s="250">
        <f t="shared" si="13"/>
        <v>-113225.2</v>
      </c>
      <c r="I37" s="250">
        <f t="shared" si="13"/>
        <v>-414970</v>
      </c>
      <c r="J37" s="250">
        <f t="shared" si="13"/>
        <v>-1905015.3336666669</v>
      </c>
      <c r="K37" s="250">
        <f t="shared" si="13"/>
        <v>-396658.53666666662</v>
      </c>
      <c r="L37" s="250">
        <f t="shared" si="13"/>
        <v>-361322.22666666663</v>
      </c>
      <c r="M37" s="250">
        <f t="shared" si="13"/>
        <v>-361322.22666666663</v>
      </c>
      <c r="N37" s="250">
        <f t="shared" si="13"/>
        <v>-361322.22666666663</v>
      </c>
      <c r="O37" s="250">
        <f t="shared" si="13"/>
        <v>-655435.59566666663</v>
      </c>
      <c r="P37" s="250">
        <f t="shared" si="13"/>
        <v>-384879.7666666666</v>
      </c>
      <c r="Q37" s="250">
        <f t="shared" si="13"/>
        <v>-41929.416666666672</v>
      </c>
      <c r="R37" s="250">
        <f t="shared" si="13"/>
        <v>-41929.416666666672</v>
      </c>
      <c r="S37" s="250">
        <f t="shared" si="13"/>
        <v>-41929.416666666672</v>
      </c>
      <c r="T37" s="250">
        <f t="shared" si="13"/>
        <v>-100823.26666666666</v>
      </c>
      <c r="U37" s="250">
        <f t="shared" si="13"/>
        <v>0</v>
      </c>
      <c r="V37" s="250">
        <f t="shared" si="13"/>
        <v>0</v>
      </c>
      <c r="W37" s="250">
        <f t="shared" si="13"/>
        <v>0</v>
      </c>
      <c r="X37" s="250">
        <f t="shared" si="13"/>
        <v>0</v>
      </c>
      <c r="Y37" s="250">
        <f t="shared" si="13"/>
        <v>0</v>
      </c>
      <c r="Z37" s="250">
        <f t="shared" si="13"/>
        <v>0</v>
      </c>
      <c r="AA37" s="250">
        <f t="shared" si="13"/>
        <v>0</v>
      </c>
      <c r="AB37" s="250">
        <f t="shared" si="13"/>
        <v>0</v>
      </c>
      <c r="AC37" s="250">
        <f t="shared" si="13"/>
        <v>0</v>
      </c>
      <c r="AD37" s="250">
        <f t="shared" si="13"/>
        <v>0</v>
      </c>
      <c r="AE37" s="250">
        <f t="shared" si="13"/>
        <v>0</v>
      </c>
      <c r="AF37" s="250">
        <f t="shared" si="13"/>
        <v>0</v>
      </c>
      <c r="AG37" s="250">
        <f t="shared" si="13"/>
        <v>0</v>
      </c>
      <c r="AH37" s="250">
        <f t="shared" si="13"/>
        <v>0</v>
      </c>
      <c r="AI37" s="250">
        <f t="shared" si="13"/>
        <v>0</v>
      </c>
      <c r="AJ37" s="250">
        <f t="shared" si="13"/>
        <v>0</v>
      </c>
      <c r="AK37" s="250">
        <f t="shared" si="13"/>
        <v>0</v>
      </c>
      <c r="AL37" s="250">
        <f t="shared" si="13"/>
        <v>0</v>
      </c>
      <c r="AM37" s="250">
        <f t="shared" si="13"/>
        <v>0</v>
      </c>
      <c r="AN37" s="250">
        <f t="shared" si="13"/>
        <v>0</v>
      </c>
      <c r="AO37" s="250">
        <f t="shared" si="13"/>
        <v>0</v>
      </c>
      <c r="AP37" s="250">
        <f t="shared" si="13"/>
        <v>0</v>
      </c>
      <c r="AQ37" s="250">
        <f t="shared" si="13"/>
        <v>0</v>
      </c>
      <c r="AR37" s="250">
        <f t="shared" si="13"/>
        <v>0</v>
      </c>
      <c r="AS37" s="250">
        <f t="shared" si="13"/>
        <v>0</v>
      </c>
      <c r="AT37" s="250">
        <f t="shared" si="13"/>
        <v>0</v>
      </c>
      <c r="AU37" s="250">
        <f t="shared" si="13"/>
        <v>0</v>
      </c>
      <c r="AV37" s="250">
        <f t="shared" si="13"/>
        <v>0</v>
      </c>
      <c r="AW37" s="250">
        <f t="shared" si="13"/>
        <v>0</v>
      </c>
      <c r="AX37" s="250">
        <f t="shared" si="13"/>
        <v>0</v>
      </c>
      <c r="AY37" s="250">
        <f t="shared" si="13"/>
        <v>0</v>
      </c>
      <c r="AZ37" s="250">
        <f t="shared" si="13"/>
        <v>0</v>
      </c>
      <c r="BA37" s="250">
        <f t="shared" si="13"/>
        <v>0</v>
      </c>
      <c r="BB37" s="250">
        <f t="shared" si="13"/>
        <v>0</v>
      </c>
      <c r="BC37" s="250">
        <f t="shared" si="13"/>
        <v>0</v>
      </c>
      <c r="BD37" s="250">
        <f t="shared" si="13"/>
        <v>0</v>
      </c>
      <c r="BE37" s="250">
        <f t="shared" si="13"/>
        <v>0</v>
      </c>
      <c r="BF37" s="250">
        <f t="shared" si="13"/>
        <v>0</v>
      </c>
      <c r="BG37" s="250">
        <f t="shared" si="13"/>
        <v>0</v>
      </c>
      <c r="BH37" s="250">
        <f t="shared" si="13"/>
        <v>0</v>
      </c>
      <c r="BI37" s="250">
        <f t="shared" si="13"/>
        <v>0</v>
      </c>
      <c r="BJ37" s="250">
        <f t="shared" si="13"/>
        <v>0</v>
      </c>
      <c r="BK37" s="250">
        <f t="shared" si="13"/>
        <v>0</v>
      </c>
      <c r="BL37" s="250">
        <f t="shared" si="13"/>
        <v>0</v>
      </c>
      <c r="BM37" s="250">
        <f t="shared" si="13"/>
        <v>0</v>
      </c>
      <c r="BN37" s="250">
        <f t="shared" si="13"/>
        <v>0</v>
      </c>
      <c r="BO37" s="250">
        <f t="shared" si="13"/>
        <v>0</v>
      </c>
      <c r="BP37" s="250">
        <f t="shared" si="13"/>
        <v>0</v>
      </c>
      <c r="BQ37" s="250">
        <f t="shared" si="13"/>
        <v>0</v>
      </c>
      <c r="BR37" s="250">
        <f t="shared" si="13"/>
        <v>0</v>
      </c>
      <c r="BS37" s="250">
        <f t="shared" si="13"/>
        <v>0</v>
      </c>
      <c r="BT37" s="250">
        <f t="shared" si="13"/>
        <v>0</v>
      </c>
      <c r="BU37" s="250">
        <f t="shared" si="13"/>
        <v>0</v>
      </c>
      <c r="BV37" s="250">
        <f t="shared" si="13"/>
        <v>0</v>
      </c>
      <c r="BW37" s="250">
        <f t="shared" si="13"/>
        <v>0</v>
      </c>
      <c r="BX37" s="250">
        <f t="shared" si="13"/>
        <v>0</v>
      </c>
      <c r="BY37" s="252">
        <f>SUM(BY38:BY46)</f>
        <v>-5180762.629333334</v>
      </c>
      <c r="BZ37" s="771"/>
      <c r="CA37" s="226"/>
      <c r="CB37" s="252"/>
      <c r="CC37" s="771"/>
    </row>
    <row r="38" spans="1:81" ht="16" outlineLevel="1">
      <c r="A38" s="603"/>
      <c r="B38" s="787"/>
      <c r="C38" s="267" t="s">
        <v>216</v>
      </c>
      <c r="D38" s="254" t="s">
        <v>270</v>
      </c>
      <c r="E38" s="259"/>
      <c r="F38" s="259"/>
      <c r="G38" s="259"/>
      <c r="H38" s="259"/>
      <c r="I38" s="259">
        <f>-400000</f>
        <v>-400000</v>
      </c>
      <c r="J38" s="259">
        <f>-661353-(23520+28160+192281+20000)*1.21</f>
        <v>-980745.81</v>
      </c>
      <c r="K38" s="259">
        <f t="shared" ref="K38:P38" si="14">-(23520+28160+192281+20000)*1.21</f>
        <v>-319392.81</v>
      </c>
      <c r="L38" s="259">
        <f t="shared" si="14"/>
        <v>-319392.81</v>
      </c>
      <c r="M38" s="259">
        <f t="shared" si="14"/>
        <v>-319392.81</v>
      </c>
      <c r="N38" s="259">
        <f t="shared" si="14"/>
        <v>-319392.81</v>
      </c>
      <c r="O38" s="259">
        <f t="shared" si="14"/>
        <v>-319392.81</v>
      </c>
      <c r="P38" s="259">
        <f t="shared" si="14"/>
        <v>-319392.81</v>
      </c>
      <c r="Q38" s="259"/>
      <c r="R38" s="259"/>
      <c r="S38" s="272"/>
      <c r="T38" s="259"/>
      <c r="U38" s="259"/>
      <c r="V38" s="259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71"/>
      <c r="BY38" s="265">
        <f t="shared" ref="BY38:BY46" si="15">SUM(E38:BX38)</f>
        <v>-3297102.6700000004</v>
      </c>
      <c r="BZ38" s="771"/>
      <c r="CA38" s="226"/>
      <c r="CB38" s="252"/>
      <c r="CC38" s="771"/>
    </row>
    <row r="39" spans="1:81" ht="16" outlineLevel="1">
      <c r="A39" s="603"/>
      <c r="B39" s="787"/>
      <c r="C39" s="267" t="s">
        <v>217</v>
      </c>
      <c r="D39" s="254" t="s">
        <v>270</v>
      </c>
      <c r="E39" s="259"/>
      <c r="F39" s="259"/>
      <c r="G39" s="259"/>
      <c r="H39" s="259"/>
      <c r="I39" s="259"/>
      <c r="J39" s="259"/>
      <c r="K39" s="259"/>
      <c r="L39" s="259"/>
      <c r="M39" s="259"/>
      <c r="N39" s="259"/>
      <c r="O39" s="259"/>
      <c r="P39" s="259"/>
      <c r="Q39" s="259"/>
      <c r="R39" s="259"/>
      <c r="S39" s="272"/>
      <c r="T39" s="259"/>
      <c r="U39" s="259"/>
      <c r="V39" s="259"/>
      <c r="W39" s="259"/>
      <c r="X39" s="259"/>
      <c r="Y39" s="259"/>
      <c r="Z39" s="259"/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66">
        <f t="shared" si="15"/>
        <v>0</v>
      </c>
      <c r="BZ39" s="771"/>
      <c r="CA39" s="226"/>
      <c r="CB39" s="252"/>
      <c r="CC39" s="771"/>
    </row>
    <row r="40" spans="1:81" ht="16" outlineLevel="1">
      <c r="A40" s="603"/>
      <c r="B40" s="787"/>
      <c r="C40" s="267" t="s">
        <v>218</v>
      </c>
      <c r="D40" s="254" t="s">
        <v>270</v>
      </c>
      <c r="E40" s="259"/>
      <c r="F40" s="259"/>
      <c r="G40" s="259"/>
      <c r="H40" s="259"/>
      <c r="I40" s="259"/>
      <c r="J40" s="259"/>
      <c r="K40" s="259"/>
      <c r="L40" s="259"/>
      <c r="M40" s="259"/>
      <c r="N40" s="259"/>
      <c r="O40" s="259"/>
      <c r="P40" s="259"/>
      <c r="Q40" s="259"/>
      <c r="R40" s="259"/>
      <c r="S40" s="272"/>
      <c r="T40" s="259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66">
        <f t="shared" si="15"/>
        <v>0</v>
      </c>
      <c r="BZ40" s="771"/>
      <c r="CA40" s="226"/>
      <c r="CB40" s="252"/>
      <c r="CC40" s="771"/>
    </row>
    <row r="41" spans="1:81" ht="16" outlineLevel="1">
      <c r="A41" s="603"/>
      <c r="B41" s="787"/>
      <c r="C41" s="267" t="s">
        <v>222</v>
      </c>
      <c r="D41" s="254" t="s">
        <v>270</v>
      </c>
      <c r="E41" s="259"/>
      <c r="F41" s="259"/>
      <c r="G41" s="259"/>
      <c r="H41" s="259"/>
      <c r="I41" s="259"/>
      <c r="J41" s="259"/>
      <c r="K41" s="259"/>
      <c r="L41" s="259"/>
      <c r="M41" s="259"/>
      <c r="N41" s="259"/>
      <c r="O41" s="259"/>
      <c r="P41" s="259"/>
      <c r="Q41" s="259"/>
      <c r="R41" s="259"/>
      <c r="S41" s="272"/>
      <c r="T41" s="259"/>
      <c r="U41" s="259"/>
      <c r="V41" s="259"/>
      <c r="W41" s="259"/>
      <c r="X41" s="259"/>
      <c r="Y41" s="259"/>
      <c r="Z41" s="259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66">
        <f t="shared" si="15"/>
        <v>0</v>
      </c>
      <c r="BZ41" s="771"/>
      <c r="CA41" s="226"/>
      <c r="CB41" s="252"/>
      <c r="CC41" s="771"/>
    </row>
    <row r="42" spans="1:81" ht="16" outlineLevel="1">
      <c r="A42" s="603"/>
      <c r="B42" s="787"/>
      <c r="C42" s="253" t="s">
        <v>223</v>
      </c>
      <c r="D42" s="254" t="s">
        <v>270</v>
      </c>
      <c r="E42" s="255"/>
      <c r="F42" s="255"/>
      <c r="G42" s="255"/>
      <c r="H42" s="255">
        <f>-11364-25000</f>
        <v>-36364</v>
      </c>
      <c r="I42" s="255">
        <f>-8194</f>
        <v>-8194</v>
      </c>
      <c r="J42" s="255">
        <f>-Businessplan_prodej!$F$67/12*1.21</f>
        <v>-22876.583333333336</v>
      </c>
      <c r="K42" s="255">
        <f>-Businessplan_prodej!$F$67/12*1.21</f>
        <v>-22876.583333333336</v>
      </c>
      <c r="L42" s="255">
        <f>-Businessplan_prodej!$F$67/12*1.21</f>
        <v>-22876.583333333336</v>
      </c>
      <c r="M42" s="255">
        <f>-Businessplan_prodej!$F$67/12*1.21</f>
        <v>-22876.583333333336</v>
      </c>
      <c r="N42" s="255">
        <f>-Businessplan_prodej!$F$67/12*1.21</f>
        <v>-22876.583333333336</v>
      </c>
      <c r="O42" s="255">
        <f>-Businessplan_prodej!$F$67/12*1.21</f>
        <v>-22876.583333333336</v>
      </c>
      <c r="P42" s="255">
        <f>-Businessplan_prodej!$F$67/12*1.21</f>
        <v>-22876.583333333336</v>
      </c>
      <c r="Q42" s="255">
        <f>-Businessplan_prodej!$F$67/12*1.21</f>
        <v>-22876.583333333336</v>
      </c>
      <c r="R42" s="255">
        <f>-Businessplan_prodej!$F$67/12*1.21</f>
        <v>-22876.583333333336</v>
      </c>
      <c r="S42" s="255">
        <f>-Businessplan_prodej!$F$67/12*1.21</f>
        <v>-22876.583333333336</v>
      </c>
      <c r="T42" s="255">
        <f>-Businessplan_prodej!$F$67/12*1.21</f>
        <v>-22876.583333333336</v>
      </c>
      <c r="U42" s="255"/>
      <c r="V42" s="255"/>
      <c r="W42" s="255"/>
      <c r="X42" s="255"/>
      <c r="Y42" s="255"/>
      <c r="Z42" s="255"/>
      <c r="AA42" s="255"/>
      <c r="AB42" s="255"/>
      <c r="AC42" s="255"/>
      <c r="AD42" s="255"/>
      <c r="AE42" s="255"/>
      <c r="AF42" s="255"/>
      <c r="AG42" s="255"/>
      <c r="AH42" s="255"/>
      <c r="AI42" s="255"/>
      <c r="AJ42" s="255"/>
      <c r="AK42" s="255"/>
      <c r="AL42" s="255"/>
      <c r="AM42" s="255"/>
      <c r="AN42" s="255"/>
      <c r="AO42" s="255"/>
      <c r="AP42" s="255"/>
      <c r="AQ42" s="255"/>
      <c r="AR42" s="255"/>
      <c r="AS42" s="255"/>
      <c r="AT42" s="255"/>
      <c r="AU42" s="255"/>
      <c r="AV42" s="255"/>
      <c r="AW42" s="255"/>
      <c r="AX42" s="255"/>
      <c r="AY42" s="255"/>
      <c r="AZ42" s="255"/>
      <c r="BA42" s="255"/>
      <c r="BB42" s="255"/>
      <c r="BC42" s="255"/>
      <c r="BD42" s="255"/>
      <c r="BE42" s="255"/>
      <c r="BF42" s="255"/>
      <c r="BG42" s="255"/>
      <c r="BH42" s="255"/>
      <c r="BI42" s="255"/>
      <c r="BJ42" s="255"/>
      <c r="BK42" s="255"/>
      <c r="BL42" s="255"/>
      <c r="BM42" s="255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64"/>
      <c r="BY42" s="266">
        <f t="shared" si="15"/>
        <v>-296200.41666666674</v>
      </c>
      <c r="BZ42" s="771"/>
      <c r="CA42" s="226"/>
      <c r="CB42" s="252"/>
      <c r="CC42" s="771"/>
    </row>
    <row r="43" spans="1:81" ht="16" outlineLevel="1">
      <c r="A43" s="603"/>
      <c r="B43" s="787"/>
      <c r="C43" s="253" t="s">
        <v>224</v>
      </c>
      <c r="D43" s="254" t="s">
        <v>270</v>
      </c>
      <c r="E43" s="255"/>
      <c r="F43" s="255"/>
      <c r="G43" s="255"/>
      <c r="H43" s="255">
        <f>-1000-65673</f>
        <v>-66673</v>
      </c>
      <c r="I43" s="255">
        <f>-6776</f>
        <v>-6776</v>
      </c>
      <c r="J43" s="255">
        <f>-Businessplan_prodej!$F$68/12*1.21</f>
        <v>-19052.833333333336</v>
      </c>
      <c r="K43" s="255">
        <f>-Businessplan_prodej!$F$68/12*1.21</f>
        <v>-19052.833333333336</v>
      </c>
      <c r="L43" s="255">
        <f>-Businessplan_prodej!$F$68/12*1.21</f>
        <v>-19052.833333333336</v>
      </c>
      <c r="M43" s="255">
        <f>-Businessplan_prodej!$F$68/12*1.21</f>
        <v>-19052.833333333336</v>
      </c>
      <c r="N43" s="255">
        <f>-Businessplan_prodej!$F$68/12*1.21</f>
        <v>-19052.833333333336</v>
      </c>
      <c r="O43" s="255">
        <f>-Businessplan_prodej!$F$68/12*1.21</f>
        <v>-19052.833333333336</v>
      </c>
      <c r="P43" s="255">
        <f>-Businessplan_prodej!$F$68/12*1.21</f>
        <v>-19052.833333333336</v>
      </c>
      <c r="Q43" s="255">
        <f>-Businessplan_prodej!$F$68/12*1.21</f>
        <v>-19052.833333333336</v>
      </c>
      <c r="R43" s="255">
        <f>-Businessplan_prodej!$F$68/12*1.21</f>
        <v>-19052.833333333336</v>
      </c>
      <c r="S43" s="255">
        <f>-Businessplan_prodej!$F$68/12*1.21</f>
        <v>-19052.833333333336</v>
      </c>
      <c r="T43" s="255">
        <f>-Businessplan_prodej!$F$68/12*1.21</f>
        <v>-19052.833333333336</v>
      </c>
      <c r="U43" s="255"/>
      <c r="V43" s="255"/>
      <c r="W43" s="255"/>
      <c r="X43" s="255"/>
      <c r="Y43" s="255"/>
      <c r="Z43" s="255"/>
      <c r="AA43" s="255"/>
      <c r="AB43" s="255"/>
      <c r="AC43" s="255"/>
      <c r="AD43" s="255"/>
      <c r="AE43" s="255"/>
      <c r="AF43" s="255"/>
      <c r="AG43" s="255"/>
      <c r="AH43" s="255"/>
      <c r="AI43" s="255"/>
      <c r="AJ43" s="255"/>
      <c r="AK43" s="255"/>
      <c r="AL43" s="255"/>
      <c r="AM43" s="255"/>
      <c r="AN43" s="255"/>
      <c r="AO43" s="255"/>
      <c r="AP43" s="255"/>
      <c r="AQ43" s="255"/>
      <c r="AR43" s="255"/>
      <c r="AS43" s="255"/>
      <c r="AT43" s="255"/>
      <c r="AU43" s="255"/>
      <c r="AV43" s="255"/>
      <c r="AW43" s="255"/>
      <c r="AX43" s="255"/>
      <c r="AY43" s="255"/>
      <c r="AZ43" s="255"/>
      <c r="BA43" s="255"/>
      <c r="BB43" s="255"/>
      <c r="BC43" s="255"/>
      <c r="BD43" s="255"/>
      <c r="BE43" s="255"/>
      <c r="BF43" s="255"/>
      <c r="BG43" s="255"/>
      <c r="BH43" s="255"/>
      <c r="BI43" s="255"/>
      <c r="BJ43" s="255"/>
      <c r="BK43" s="255"/>
      <c r="BL43" s="255"/>
      <c r="BM43" s="255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66">
        <f t="shared" si="15"/>
        <v>-283030.16666666674</v>
      </c>
      <c r="BZ43" s="771"/>
      <c r="CA43" s="226"/>
      <c r="CB43" s="252"/>
      <c r="CC43" s="771"/>
    </row>
    <row r="44" spans="1:81" ht="14.25" customHeight="1" outlineLevel="1">
      <c r="A44" s="603"/>
      <c r="B44" s="787"/>
      <c r="C44" s="253" t="s">
        <v>225</v>
      </c>
      <c r="D44" s="254" t="s">
        <v>270</v>
      </c>
      <c r="E44" s="255"/>
      <c r="F44" s="255"/>
      <c r="G44" s="255"/>
      <c r="H44" s="255">
        <f>-10188.2</f>
        <v>-10188.200000000001</v>
      </c>
      <c r="I44" s="255"/>
      <c r="J44" s="255"/>
      <c r="K44" s="255">
        <f>-Businessplan_prodej!$F$69*0.3*1.21</f>
        <v>-35336.31</v>
      </c>
      <c r="L44" s="255"/>
      <c r="M44" s="255"/>
      <c r="N44" s="255"/>
      <c r="O44" s="255"/>
      <c r="P44" s="255">
        <f>-Businessplan_prodej!$F$69*0.2*1.21</f>
        <v>-23557.54</v>
      </c>
      <c r="Q44" s="255"/>
      <c r="R44" s="255"/>
      <c r="S44" s="255"/>
      <c r="T44" s="255">
        <f>-Businessplan_prodej!$F$69*0.5*1.21</f>
        <v>-58893.85</v>
      </c>
      <c r="U44" s="255"/>
      <c r="V44" s="255"/>
      <c r="W44" s="255"/>
      <c r="X44" s="255"/>
      <c r="Y44" s="255"/>
      <c r="Z44" s="255"/>
      <c r="AA44" s="255"/>
      <c r="AB44" s="255"/>
      <c r="AC44" s="255"/>
      <c r="AD44" s="255"/>
      <c r="AE44" s="255"/>
      <c r="AF44" s="255"/>
      <c r="AG44" s="255"/>
      <c r="AH44" s="255"/>
      <c r="AI44" s="255"/>
      <c r="AJ44" s="255"/>
      <c r="AK44" s="255"/>
      <c r="AL44" s="255"/>
      <c r="AM44" s="255"/>
      <c r="AN44" s="255"/>
      <c r="AO44" s="255"/>
      <c r="AP44" s="255"/>
      <c r="AQ44" s="255"/>
      <c r="AR44" s="255"/>
      <c r="AS44" s="255"/>
      <c r="AT44" s="255"/>
      <c r="AU44" s="255"/>
      <c r="AV44" s="255"/>
      <c r="AW44" s="255"/>
      <c r="AX44" s="255"/>
      <c r="AY44" s="255"/>
      <c r="AZ44" s="255"/>
      <c r="BA44" s="255"/>
      <c r="BB44" s="255"/>
      <c r="BC44" s="255"/>
      <c r="BD44" s="255"/>
      <c r="BE44" s="255"/>
      <c r="BF44" s="255"/>
      <c r="BG44" s="255"/>
      <c r="BH44" s="255"/>
      <c r="BI44" s="255"/>
      <c r="BJ44" s="255"/>
      <c r="BK44" s="255"/>
      <c r="BL44" s="255"/>
      <c r="BM44" s="255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66">
        <f t="shared" si="15"/>
        <v>-127975.9</v>
      </c>
      <c r="BZ44" s="771"/>
      <c r="CA44" s="226"/>
      <c r="CB44" s="252"/>
      <c r="CC44" s="771"/>
    </row>
    <row r="45" spans="1:81" ht="14.25" customHeight="1" outlineLevel="1">
      <c r="A45" s="603"/>
      <c r="B45" s="787"/>
      <c r="C45" s="253" t="s">
        <v>226</v>
      </c>
      <c r="D45" s="254" t="s">
        <v>270</v>
      </c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66">
        <f t="shared" si="15"/>
        <v>0</v>
      </c>
      <c r="BZ45" s="771"/>
      <c r="CA45" s="226"/>
      <c r="CB45" s="252"/>
      <c r="CC45" s="771"/>
    </row>
    <row r="46" spans="1:81" ht="14.25" customHeight="1" outlineLevel="1">
      <c r="A46" s="603"/>
      <c r="B46" s="787"/>
      <c r="C46" s="253" t="s">
        <v>227</v>
      </c>
      <c r="D46" s="258" t="s">
        <v>270</v>
      </c>
      <c r="E46" s="255"/>
      <c r="F46" s="255"/>
      <c r="G46" s="255"/>
      <c r="H46" s="255"/>
      <c r="I46" s="255"/>
      <c r="J46" s="255">
        <f>-((17529*2*25.2+44407*2)*1.21)*75%</f>
        <v>-882340.10700000008</v>
      </c>
      <c r="K46" s="255"/>
      <c r="L46" s="255"/>
      <c r="M46" s="255"/>
      <c r="N46" s="255"/>
      <c r="O46" s="255">
        <f>-((17529*2*25.2+44407*2)*1.21)*25%</f>
        <v>-294113.36900000001</v>
      </c>
      <c r="P46" s="255"/>
      <c r="Q46" s="255"/>
      <c r="R46" s="255"/>
      <c r="S46" s="255"/>
      <c r="T46" s="255"/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66">
        <f t="shared" si="15"/>
        <v>-1176453.476</v>
      </c>
      <c r="BZ46" s="771"/>
      <c r="CA46" s="226"/>
      <c r="CB46" s="252"/>
      <c r="CC46" s="771"/>
    </row>
    <row r="47" spans="1:81" ht="16" collapsed="1">
      <c r="A47" s="603"/>
      <c r="B47" s="787"/>
      <c r="C47" s="248" t="s">
        <v>292</v>
      </c>
      <c r="D47" s="249"/>
      <c r="E47" s="250">
        <f t="shared" ref="E47:BX47" si="16">SUM(E48:E52)</f>
        <v>0</v>
      </c>
      <c r="F47" s="250">
        <f t="shared" si="16"/>
        <v>0</v>
      </c>
      <c r="G47" s="250">
        <f t="shared" si="16"/>
        <v>0</v>
      </c>
      <c r="H47" s="250">
        <f t="shared" si="16"/>
        <v>-1442.155</v>
      </c>
      <c r="I47" s="250">
        <f t="shared" si="16"/>
        <v>-4792.1949999999997</v>
      </c>
      <c r="J47" s="250">
        <f t="shared" si="16"/>
        <v>-2076.3529166666667</v>
      </c>
      <c r="K47" s="250">
        <f t="shared" si="16"/>
        <v>-102076.35291666667</v>
      </c>
      <c r="L47" s="250">
        <f t="shared" si="16"/>
        <v>-2076.3529166666667</v>
      </c>
      <c r="M47" s="250">
        <f t="shared" si="16"/>
        <v>-2076.3529166666667</v>
      </c>
      <c r="N47" s="250">
        <f t="shared" si="16"/>
        <v>-2076.3529166666667</v>
      </c>
      <c r="O47" s="250">
        <f t="shared" si="16"/>
        <v>-2076.3529166666667</v>
      </c>
      <c r="P47" s="250">
        <f t="shared" si="16"/>
        <v>-2076.3529166666667</v>
      </c>
      <c r="Q47" s="250">
        <f t="shared" si="16"/>
        <v>-2076.3529166666667</v>
      </c>
      <c r="R47" s="250">
        <f t="shared" si="16"/>
        <v>-2076.3529166666667</v>
      </c>
      <c r="S47" s="250">
        <f t="shared" si="16"/>
        <v>-2076.3529166666667</v>
      </c>
      <c r="T47" s="250">
        <f t="shared" si="16"/>
        <v>-2076.3529166666667</v>
      </c>
      <c r="U47" s="250">
        <f t="shared" si="16"/>
        <v>0</v>
      </c>
      <c r="V47" s="250">
        <f t="shared" si="16"/>
        <v>0</v>
      </c>
      <c r="W47" s="250">
        <f t="shared" si="16"/>
        <v>0</v>
      </c>
      <c r="X47" s="250">
        <f t="shared" si="16"/>
        <v>0</v>
      </c>
      <c r="Y47" s="250">
        <f t="shared" si="16"/>
        <v>0</v>
      </c>
      <c r="Z47" s="250">
        <f t="shared" si="16"/>
        <v>0</v>
      </c>
      <c r="AA47" s="250">
        <f t="shared" si="16"/>
        <v>0</v>
      </c>
      <c r="AB47" s="250">
        <f t="shared" si="16"/>
        <v>0</v>
      </c>
      <c r="AC47" s="250">
        <f t="shared" si="16"/>
        <v>0</v>
      </c>
      <c r="AD47" s="250">
        <f t="shared" si="16"/>
        <v>0</v>
      </c>
      <c r="AE47" s="250">
        <f t="shared" si="16"/>
        <v>0</v>
      </c>
      <c r="AF47" s="250">
        <f t="shared" si="16"/>
        <v>0</v>
      </c>
      <c r="AG47" s="250">
        <f t="shared" si="16"/>
        <v>0</v>
      </c>
      <c r="AH47" s="250">
        <f t="shared" si="16"/>
        <v>0</v>
      </c>
      <c r="AI47" s="250">
        <f t="shared" si="16"/>
        <v>0</v>
      </c>
      <c r="AJ47" s="250">
        <f t="shared" si="16"/>
        <v>0</v>
      </c>
      <c r="AK47" s="250">
        <f t="shared" si="16"/>
        <v>0</v>
      </c>
      <c r="AL47" s="250">
        <f t="shared" si="16"/>
        <v>0</v>
      </c>
      <c r="AM47" s="250">
        <f t="shared" si="16"/>
        <v>0</v>
      </c>
      <c r="AN47" s="250">
        <f t="shared" si="16"/>
        <v>0</v>
      </c>
      <c r="AO47" s="250">
        <f t="shared" si="16"/>
        <v>0</v>
      </c>
      <c r="AP47" s="250">
        <f t="shared" si="16"/>
        <v>0</v>
      </c>
      <c r="AQ47" s="250">
        <f t="shared" si="16"/>
        <v>0</v>
      </c>
      <c r="AR47" s="250">
        <f t="shared" si="16"/>
        <v>0</v>
      </c>
      <c r="AS47" s="250">
        <f t="shared" si="16"/>
        <v>0</v>
      </c>
      <c r="AT47" s="250">
        <f t="shared" si="16"/>
        <v>0</v>
      </c>
      <c r="AU47" s="250">
        <f t="shared" si="16"/>
        <v>0</v>
      </c>
      <c r="AV47" s="250">
        <f t="shared" si="16"/>
        <v>0</v>
      </c>
      <c r="AW47" s="250">
        <f t="shared" si="16"/>
        <v>0</v>
      </c>
      <c r="AX47" s="250">
        <f t="shared" si="16"/>
        <v>0</v>
      </c>
      <c r="AY47" s="250">
        <f t="shared" si="16"/>
        <v>0</v>
      </c>
      <c r="AZ47" s="250">
        <f t="shared" si="16"/>
        <v>0</v>
      </c>
      <c r="BA47" s="250">
        <f t="shared" si="16"/>
        <v>0</v>
      </c>
      <c r="BB47" s="250">
        <f t="shared" si="16"/>
        <v>0</v>
      </c>
      <c r="BC47" s="250">
        <f t="shared" si="16"/>
        <v>0</v>
      </c>
      <c r="BD47" s="250">
        <f t="shared" si="16"/>
        <v>0</v>
      </c>
      <c r="BE47" s="250">
        <f t="shared" si="16"/>
        <v>0</v>
      </c>
      <c r="BF47" s="250">
        <f t="shared" si="16"/>
        <v>0</v>
      </c>
      <c r="BG47" s="250">
        <f t="shared" si="16"/>
        <v>0</v>
      </c>
      <c r="BH47" s="250">
        <f t="shared" si="16"/>
        <v>0</v>
      </c>
      <c r="BI47" s="250">
        <f t="shared" si="16"/>
        <v>0</v>
      </c>
      <c r="BJ47" s="250">
        <f t="shared" si="16"/>
        <v>0</v>
      </c>
      <c r="BK47" s="250">
        <f t="shared" si="16"/>
        <v>0</v>
      </c>
      <c r="BL47" s="250">
        <f t="shared" si="16"/>
        <v>0</v>
      </c>
      <c r="BM47" s="250">
        <f t="shared" si="16"/>
        <v>0</v>
      </c>
      <c r="BN47" s="250">
        <f t="shared" si="16"/>
        <v>0</v>
      </c>
      <c r="BO47" s="250">
        <f t="shared" si="16"/>
        <v>0</v>
      </c>
      <c r="BP47" s="250">
        <f t="shared" si="16"/>
        <v>0</v>
      </c>
      <c r="BQ47" s="250">
        <f t="shared" si="16"/>
        <v>0</v>
      </c>
      <c r="BR47" s="250">
        <f t="shared" si="16"/>
        <v>0</v>
      </c>
      <c r="BS47" s="250">
        <f t="shared" si="16"/>
        <v>0</v>
      </c>
      <c r="BT47" s="250">
        <f t="shared" si="16"/>
        <v>0</v>
      </c>
      <c r="BU47" s="250">
        <f t="shared" si="16"/>
        <v>0</v>
      </c>
      <c r="BV47" s="250">
        <f t="shared" si="16"/>
        <v>0</v>
      </c>
      <c r="BW47" s="250">
        <f t="shared" si="16"/>
        <v>0</v>
      </c>
      <c r="BX47" s="250">
        <f t="shared" si="16"/>
        <v>0</v>
      </c>
      <c r="BY47" s="252">
        <f>SUM(BY48:BY52)</f>
        <v>-129074.23208333334</v>
      </c>
      <c r="BZ47" s="771"/>
      <c r="CA47" s="226"/>
      <c r="CB47" s="252"/>
      <c r="CC47" s="771"/>
    </row>
    <row r="48" spans="1:81" ht="16" hidden="1" outlineLevel="1">
      <c r="A48" s="603"/>
      <c r="B48" s="787"/>
      <c r="C48" s="253" t="s">
        <v>229</v>
      </c>
      <c r="D48" s="254" t="s">
        <v>270</v>
      </c>
      <c r="E48" s="255"/>
      <c r="F48" s="255"/>
      <c r="G48" s="255"/>
      <c r="H48" s="255"/>
      <c r="I48" s="255"/>
      <c r="J48" s="255"/>
      <c r="K48" s="255">
        <f>-Businessplan_prodej!$F$98</f>
        <v>-100000</v>
      </c>
      <c r="L48" s="255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65">
        <f t="shared" ref="BY48:BY52" si="17">SUM(E48:BX48)</f>
        <v>-100000</v>
      </c>
      <c r="BZ48" s="771"/>
      <c r="CA48" s="226"/>
      <c r="CB48" s="252"/>
      <c r="CC48" s="771"/>
    </row>
    <row r="49" spans="1:87" ht="16" hidden="1" outlineLevel="1">
      <c r="A49" s="603"/>
      <c r="B49" s="787"/>
      <c r="C49" s="253" t="s">
        <v>293</v>
      </c>
      <c r="D49" s="254" t="s">
        <v>270</v>
      </c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5"/>
      <c r="AZ49" s="255"/>
      <c r="BA49" s="255"/>
      <c r="BB49" s="255"/>
      <c r="BC49" s="255"/>
      <c r="BD49" s="255"/>
      <c r="BE49" s="255"/>
      <c r="BF49" s="255"/>
      <c r="BG49" s="255"/>
      <c r="BH49" s="255"/>
      <c r="BI49" s="255"/>
      <c r="BJ49" s="255"/>
      <c r="BK49" s="255"/>
      <c r="BL49" s="255"/>
      <c r="BM49" s="255"/>
      <c r="BN49" s="255"/>
      <c r="BO49" s="255"/>
      <c r="BP49" s="255"/>
      <c r="BQ49" s="255"/>
      <c r="BR49" s="255"/>
      <c r="BS49" s="255"/>
      <c r="BT49" s="255"/>
      <c r="BU49" s="255"/>
      <c r="BV49" s="255"/>
      <c r="BW49" s="255"/>
      <c r="BX49" s="264"/>
      <c r="BY49" s="265">
        <f t="shared" si="17"/>
        <v>0</v>
      </c>
      <c r="BZ49" s="771"/>
      <c r="CA49" s="226"/>
      <c r="CB49" s="252"/>
      <c r="CC49" s="771"/>
      <c r="CD49" s="226"/>
      <c r="CE49" s="226"/>
      <c r="CF49" s="226"/>
      <c r="CG49" s="226"/>
      <c r="CH49" s="226"/>
      <c r="CI49" s="226"/>
    </row>
    <row r="50" spans="1:87" ht="16" hidden="1" outlineLevel="1">
      <c r="A50" s="603"/>
      <c r="B50" s="787"/>
      <c r="C50" s="253" t="s">
        <v>294</v>
      </c>
      <c r="D50" s="254" t="s">
        <v>270</v>
      </c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64"/>
      <c r="BY50" s="265">
        <f t="shared" si="17"/>
        <v>0</v>
      </c>
      <c r="BZ50" s="771"/>
      <c r="CA50" s="226"/>
      <c r="CB50" s="252"/>
      <c r="CC50" s="771"/>
      <c r="CD50" s="226"/>
      <c r="CE50" s="226"/>
      <c r="CF50" s="226"/>
      <c r="CG50" s="226"/>
      <c r="CH50" s="226"/>
      <c r="CI50" s="226"/>
    </row>
    <row r="51" spans="1:87" ht="16" hidden="1" outlineLevel="1">
      <c r="A51" s="603"/>
      <c r="B51" s="787"/>
      <c r="C51" s="253" t="s">
        <v>236</v>
      </c>
      <c r="D51" s="254" t="s">
        <v>270</v>
      </c>
      <c r="E51" s="255"/>
      <c r="F51" s="255"/>
      <c r="G51" s="255"/>
      <c r="H51" s="255">
        <f>-3-12-5-200-2-12-400-36-(0.02+0.09+0.21+17.06)*22-15.91*24.5</f>
        <v>-1442.155</v>
      </c>
      <c r="I51" s="255">
        <f>-6-5-200-12-400-24-2-16.19*24.5-17.57*22</f>
        <v>-1432.1949999999999</v>
      </c>
      <c r="J51" s="255">
        <f>-Businessplan_prodej!$F$101/12</f>
        <v>-2076.3529166666667</v>
      </c>
      <c r="K51" s="255">
        <f>-Businessplan_prodej!$F$101/12</f>
        <v>-2076.3529166666667</v>
      </c>
      <c r="L51" s="255">
        <f>-Businessplan_prodej!$F$101/12</f>
        <v>-2076.3529166666667</v>
      </c>
      <c r="M51" s="255">
        <f>-Businessplan_prodej!$F$101/12</f>
        <v>-2076.3529166666667</v>
      </c>
      <c r="N51" s="255">
        <f>-Businessplan_prodej!$F$101/12</f>
        <v>-2076.3529166666667</v>
      </c>
      <c r="O51" s="255">
        <f>-Businessplan_prodej!$F$101/12</f>
        <v>-2076.3529166666667</v>
      </c>
      <c r="P51" s="255">
        <f>-Businessplan_prodej!$F$101/12</f>
        <v>-2076.3529166666667</v>
      </c>
      <c r="Q51" s="255">
        <f>-Businessplan_prodej!$F$101/12</f>
        <v>-2076.3529166666667</v>
      </c>
      <c r="R51" s="255">
        <f>-Businessplan_prodej!$F$101/12</f>
        <v>-2076.3529166666667</v>
      </c>
      <c r="S51" s="255">
        <f>-Businessplan_prodej!$F$101/12</f>
        <v>-2076.3529166666667</v>
      </c>
      <c r="T51" s="255">
        <f>-Businessplan_prodej!$F$101/12</f>
        <v>-2076.3529166666667</v>
      </c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66">
        <f t="shared" si="17"/>
        <v>-25714.232083333336</v>
      </c>
      <c r="BZ51" s="771"/>
      <c r="CA51" s="226"/>
      <c r="CB51" s="252"/>
      <c r="CC51" s="771"/>
      <c r="CD51" s="226"/>
      <c r="CE51" s="226"/>
      <c r="CF51" s="226"/>
      <c r="CG51" s="226"/>
      <c r="CH51" s="226"/>
      <c r="CI51" s="226"/>
    </row>
    <row r="52" spans="1:87" ht="16" hidden="1" outlineLevel="1">
      <c r="A52" s="603"/>
      <c r="B52" s="787"/>
      <c r="C52" s="253" t="s">
        <v>237</v>
      </c>
      <c r="D52" s="258" t="s">
        <v>270</v>
      </c>
      <c r="E52" s="259"/>
      <c r="F52" s="259"/>
      <c r="G52" s="255"/>
      <c r="H52" s="255"/>
      <c r="I52" s="255">
        <f>-3360</f>
        <v>-3360</v>
      </c>
      <c r="J52" s="255"/>
      <c r="K52" s="255"/>
      <c r="L52" s="255"/>
      <c r="M52" s="255"/>
      <c r="N52" s="255"/>
      <c r="O52" s="255"/>
      <c r="P52" s="255"/>
      <c r="Q52" s="255"/>
      <c r="R52" s="255"/>
      <c r="S52" s="255"/>
      <c r="T52" s="255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68">
        <f t="shared" si="17"/>
        <v>-3360</v>
      </c>
      <c r="BZ52" s="771"/>
      <c r="CA52" s="226"/>
      <c r="CB52" s="252"/>
      <c r="CC52" s="771"/>
      <c r="CD52" s="226"/>
      <c r="CE52" s="226"/>
      <c r="CF52" s="226"/>
      <c r="CG52" s="226"/>
      <c r="CH52" s="226"/>
      <c r="CI52" s="226"/>
    </row>
    <row r="53" spans="1:87" ht="16">
      <c r="A53" s="603"/>
      <c r="B53" s="787"/>
      <c r="C53" s="248" t="s">
        <v>295</v>
      </c>
      <c r="D53" s="249"/>
      <c r="E53" s="250">
        <f t="shared" ref="E53:BX53" si="18">SUM(E54:E60)</f>
        <v>0</v>
      </c>
      <c r="F53" s="250">
        <f t="shared" si="18"/>
        <v>0</v>
      </c>
      <c r="G53" s="250">
        <f t="shared" si="18"/>
        <v>0</v>
      </c>
      <c r="H53" s="250">
        <f t="shared" si="18"/>
        <v>0</v>
      </c>
      <c r="I53" s="250">
        <f t="shared" si="18"/>
        <v>0</v>
      </c>
      <c r="J53" s="250">
        <f t="shared" si="18"/>
        <v>0</v>
      </c>
      <c r="K53" s="250">
        <f t="shared" si="18"/>
        <v>0</v>
      </c>
      <c r="L53" s="250">
        <f t="shared" si="18"/>
        <v>0</v>
      </c>
      <c r="M53" s="250">
        <f t="shared" si="18"/>
        <v>-165083.33333333334</v>
      </c>
      <c r="N53" s="250">
        <f t="shared" si="18"/>
        <v>-215833.33333333337</v>
      </c>
      <c r="O53" s="250">
        <f t="shared" si="18"/>
        <v>-271833.33333333337</v>
      </c>
      <c r="P53" s="250">
        <f t="shared" si="18"/>
        <v>-280000.00000000006</v>
      </c>
      <c r="Q53" s="250">
        <f t="shared" si="18"/>
        <v>-285441.03583333333</v>
      </c>
      <c r="R53" s="250">
        <f t="shared" si="18"/>
        <v>-285441.03583333333</v>
      </c>
      <c r="S53" s="250">
        <f t="shared" si="18"/>
        <v>-285441.03583333333</v>
      </c>
      <c r="T53" s="250" t="e">
        <f t="shared" si="18"/>
        <v>#REF!</v>
      </c>
      <c r="U53" s="250">
        <f t="shared" si="18"/>
        <v>0</v>
      </c>
      <c r="V53" s="250">
        <f t="shared" si="18"/>
        <v>0</v>
      </c>
      <c r="W53" s="250">
        <f t="shared" si="18"/>
        <v>0</v>
      </c>
      <c r="X53" s="250">
        <f t="shared" si="18"/>
        <v>0</v>
      </c>
      <c r="Y53" s="250">
        <f t="shared" si="18"/>
        <v>0</v>
      </c>
      <c r="Z53" s="250">
        <f t="shared" si="18"/>
        <v>0</v>
      </c>
      <c r="AA53" s="250">
        <f t="shared" si="18"/>
        <v>0</v>
      </c>
      <c r="AB53" s="250">
        <f t="shared" si="18"/>
        <v>0</v>
      </c>
      <c r="AC53" s="250">
        <f t="shared" si="18"/>
        <v>0</v>
      </c>
      <c r="AD53" s="250">
        <f t="shared" si="18"/>
        <v>0</v>
      </c>
      <c r="AE53" s="250">
        <f t="shared" si="18"/>
        <v>0</v>
      </c>
      <c r="AF53" s="250">
        <f t="shared" si="18"/>
        <v>0</v>
      </c>
      <c r="AG53" s="250">
        <f t="shared" si="18"/>
        <v>0</v>
      </c>
      <c r="AH53" s="250">
        <f t="shared" si="18"/>
        <v>0</v>
      </c>
      <c r="AI53" s="250">
        <f t="shared" si="18"/>
        <v>0</v>
      </c>
      <c r="AJ53" s="250">
        <f t="shared" si="18"/>
        <v>0</v>
      </c>
      <c r="AK53" s="250">
        <f t="shared" si="18"/>
        <v>0</v>
      </c>
      <c r="AL53" s="250">
        <f t="shared" si="18"/>
        <v>0</v>
      </c>
      <c r="AM53" s="250">
        <f t="shared" si="18"/>
        <v>0</v>
      </c>
      <c r="AN53" s="250">
        <f t="shared" si="18"/>
        <v>0</v>
      </c>
      <c r="AO53" s="250">
        <f t="shared" si="18"/>
        <v>0</v>
      </c>
      <c r="AP53" s="250">
        <f t="shared" si="18"/>
        <v>0</v>
      </c>
      <c r="AQ53" s="250">
        <f t="shared" si="18"/>
        <v>0</v>
      </c>
      <c r="AR53" s="250">
        <f t="shared" si="18"/>
        <v>0</v>
      </c>
      <c r="AS53" s="250">
        <f t="shared" si="18"/>
        <v>0</v>
      </c>
      <c r="AT53" s="250">
        <f t="shared" si="18"/>
        <v>0</v>
      </c>
      <c r="AU53" s="250">
        <f t="shared" si="18"/>
        <v>0</v>
      </c>
      <c r="AV53" s="250">
        <f t="shared" si="18"/>
        <v>0</v>
      </c>
      <c r="AW53" s="250">
        <f t="shared" si="18"/>
        <v>0</v>
      </c>
      <c r="AX53" s="250">
        <f t="shared" si="18"/>
        <v>0</v>
      </c>
      <c r="AY53" s="250">
        <f t="shared" si="18"/>
        <v>0</v>
      </c>
      <c r="AZ53" s="250">
        <f t="shared" si="18"/>
        <v>0</v>
      </c>
      <c r="BA53" s="250">
        <f t="shared" si="18"/>
        <v>0</v>
      </c>
      <c r="BB53" s="250">
        <f t="shared" si="18"/>
        <v>0</v>
      </c>
      <c r="BC53" s="250">
        <f t="shared" si="18"/>
        <v>0</v>
      </c>
      <c r="BD53" s="250">
        <f t="shared" si="18"/>
        <v>0</v>
      </c>
      <c r="BE53" s="250">
        <f t="shared" si="18"/>
        <v>0</v>
      </c>
      <c r="BF53" s="250">
        <f t="shared" si="18"/>
        <v>0</v>
      </c>
      <c r="BG53" s="250">
        <f t="shared" si="18"/>
        <v>0</v>
      </c>
      <c r="BH53" s="250">
        <f t="shared" si="18"/>
        <v>0</v>
      </c>
      <c r="BI53" s="250">
        <f t="shared" si="18"/>
        <v>0</v>
      </c>
      <c r="BJ53" s="250">
        <f t="shared" si="18"/>
        <v>0</v>
      </c>
      <c r="BK53" s="250">
        <f t="shared" si="18"/>
        <v>0</v>
      </c>
      <c r="BL53" s="250">
        <f t="shared" si="18"/>
        <v>0</v>
      </c>
      <c r="BM53" s="250">
        <f t="shared" si="18"/>
        <v>0</v>
      </c>
      <c r="BN53" s="250">
        <f t="shared" si="18"/>
        <v>0</v>
      </c>
      <c r="BO53" s="250">
        <f t="shared" si="18"/>
        <v>0</v>
      </c>
      <c r="BP53" s="250">
        <f t="shared" si="18"/>
        <v>0</v>
      </c>
      <c r="BQ53" s="250">
        <f t="shared" si="18"/>
        <v>0</v>
      </c>
      <c r="BR53" s="250">
        <f t="shared" si="18"/>
        <v>0</v>
      </c>
      <c r="BS53" s="250">
        <f t="shared" si="18"/>
        <v>0</v>
      </c>
      <c r="BT53" s="250">
        <f t="shared" si="18"/>
        <v>0</v>
      </c>
      <c r="BU53" s="250">
        <f t="shared" si="18"/>
        <v>0</v>
      </c>
      <c r="BV53" s="250">
        <f t="shared" si="18"/>
        <v>0</v>
      </c>
      <c r="BW53" s="250">
        <f t="shared" si="18"/>
        <v>0</v>
      </c>
      <c r="BX53" s="250">
        <f t="shared" si="18"/>
        <v>0</v>
      </c>
      <c r="BY53" s="252" t="e">
        <f>SUM(BY54:BY60)</f>
        <v>#REF!</v>
      </c>
      <c r="BZ53" s="771"/>
      <c r="CA53" s="226"/>
      <c r="CB53" s="252"/>
      <c r="CC53" s="771"/>
      <c r="CD53" s="226"/>
      <c r="CE53" s="226"/>
      <c r="CF53" s="226"/>
      <c r="CG53" s="226"/>
      <c r="CH53" s="226"/>
      <c r="CI53" s="226"/>
    </row>
    <row r="54" spans="1:87" ht="16" outlineLevel="1">
      <c r="A54" s="603"/>
      <c r="B54" s="787"/>
      <c r="C54" s="253" t="s">
        <v>296</v>
      </c>
      <c r="D54" s="279">
        <v>0.105</v>
      </c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64"/>
      <c r="BN54" s="264"/>
      <c r="BO54" s="264"/>
      <c r="BP54" s="264"/>
      <c r="BQ54" s="264"/>
      <c r="BR54" s="264"/>
      <c r="BS54" s="264"/>
      <c r="BT54" s="264"/>
      <c r="BU54" s="264"/>
      <c r="BV54" s="264"/>
      <c r="BW54" s="264"/>
      <c r="BX54" s="264"/>
      <c r="BY54" s="280">
        <f t="shared" ref="BY54:BY60" si="19">SUM(E54:BX54)</f>
        <v>0</v>
      </c>
      <c r="BZ54" s="771"/>
      <c r="CA54" s="226"/>
      <c r="CB54" s="252"/>
      <c r="CC54" s="771"/>
      <c r="CD54" s="226"/>
      <c r="CE54" s="226"/>
      <c r="CF54" s="226"/>
      <c r="CG54" s="226"/>
      <c r="CH54" s="226"/>
      <c r="CI54" s="226"/>
    </row>
    <row r="55" spans="1:87" ht="16" outlineLevel="1">
      <c r="A55" s="603"/>
      <c r="B55" s="787"/>
      <c r="C55" s="253" t="s">
        <v>297</v>
      </c>
      <c r="D55" s="279">
        <v>0.105</v>
      </c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 t="e">
        <f>-SUM(' Interest Calc EQ FAKT'!J13:J22)-' Interest Calc EQ FAKT'!J22</f>
        <v>#REF!</v>
      </c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64"/>
      <c r="BN55" s="264"/>
      <c r="BO55" s="264"/>
      <c r="BP55" s="264"/>
      <c r="BQ55" s="264"/>
      <c r="BR55" s="264"/>
      <c r="BS55" s="264"/>
      <c r="BT55" s="264"/>
      <c r="BU55" s="264"/>
      <c r="BV55" s="264"/>
      <c r="BW55" s="264"/>
      <c r="BX55" s="264"/>
      <c r="BY55" s="280" t="e">
        <f t="shared" si="19"/>
        <v>#REF!</v>
      </c>
      <c r="BZ55" s="771"/>
      <c r="CA55" s="226"/>
      <c r="CB55" s="252"/>
      <c r="CC55" s="771"/>
      <c r="CD55" s="226"/>
      <c r="CE55" s="226"/>
      <c r="CF55" s="226"/>
      <c r="CG55" s="226"/>
      <c r="CH55" s="226"/>
      <c r="CI55" s="226"/>
    </row>
    <row r="56" spans="1:87" ht="16" outlineLevel="1">
      <c r="A56" s="603"/>
      <c r="B56" s="787"/>
      <c r="C56" s="253" t="s">
        <v>298</v>
      </c>
      <c r="D56" s="279">
        <v>0.105</v>
      </c>
      <c r="E56" s="255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80">
        <f t="shared" si="19"/>
        <v>0</v>
      </c>
      <c r="BZ56" s="771"/>
      <c r="CA56" s="226"/>
      <c r="CB56" s="252"/>
      <c r="CC56" s="771"/>
      <c r="CD56" s="226"/>
      <c r="CE56" s="226"/>
      <c r="CF56" s="226"/>
      <c r="CG56" s="226"/>
      <c r="CH56" s="226"/>
      <c r="CI56" s="226"/>
    </row>
    <row r="57" spans="1:87" ht="16" outlineLevel="1">
      <c r="A57" s="603"/>
      <c r="B57" s="787"/>
      <c r="C57" s="253" t="s">
        <v>299</v>
      </c>
      <c r="D57" s="279">
        <v>0.105</v>
      </c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81">
        <f t="shared" si="19"/>
        <v>0</v>
      </c>
      <c r="BZ57" s="771"/>
      <c r="CA57" s="226"/>
      <c r="CB57" s="252"/>
      <c r="CC57" s="771"/>
      <c r="CD57" s="226"/>
      <c r="CE57" s="226"/>
      <c r="CF57" s="226"/>
      <c r="CG57" s="226"/>
      <c r="CH57" s="226"/>
      <c r="CI57" s="226"/>
    </row>
    <row r="58" spans="1:87" ht="16" outlineLevel="1">
      <c r="A58" s="603"/>
      <c r="B58" s="787"/>
      <c r="C58" s="253" t="s">
        <v>300</v>
      </c>
      <c r="D58" s="279">
        <v>0.15</v>
      </c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82">
        <f t="shared" si="19"/>
        <v>0</v>
      </c>
      <c r="BZ58" s="771"/>
      <c r="CA58" s="226"/>
      <c r="CB58" s="252"/>
      <c r="CC58" s="771"/>
      <c r="CD58" s="226"/>
      <c r="CE58" s="226"/>
      <c r="CF58" s="226"/>
      <c r="CG58" s="226"/>
      <c r="CH58" s="226"/>
      <c r="CI58" s="226"/>
    </row>
    <row r="59" spans="1:87" ht="16" outlineLevel="1">
      <c r="A59" s="603"/>
      <c r="B59" s="787"/>
      <c r="C59" s="253" t="s">
        <v>622</v>
      </c>
      <c r="D59" s="283">
        <f>25%/12</f>
        <v>2.0833333333333332E-2</v>
      </c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82">
        <f t="shared" si="19"/>
        <v>0</v>
      </c>
      <c r="BZ59" s="771"/>
      <c r="CA59" s="226"/>
      <c r="CB59" s="252"/>
      <c r="CC59" s="771"/>
      <c r="CD59" s="226"/>
      <c r="CE59" s="226"/>
      <c r="CF59" s="226"/>
      <c r="CG59" s="226"/>
      <c r="CH59" s="226"/>
      <c r="CI59" s="226"/>
    </row>
    <row r="60" spans="1:87" ht="16" outlineLevel="1">
      <c r="A60" s="603"/>
      <c r="B60" s="787"/>
      <c r="C60" s="284" t="s">
        <v>302</v>
      </c>
      <c r="D60" s="285">
        <v>7.0000000000000007E-2</v>
      </c>
      <c r="E60" s="286"/>
      <c r="F60" s="286"/>
      <c r="G60" s="286"/>
      <c r="H60" s="286"/>
      <c r="I60" s="286"/>
      <c r="J60" s="286"/>
      <c r="K60" s="286"/>
      <c r="L60" s="286"/>
      <c r="M60" s="286">
        <v>-165083.33333333334</v>
      </c>
      <c r="N60" s="286">
        <v>-215833.33333333337</v>
      </c>
      <c r="O60" s="286">
        <v>-271833.33333333337</v>
      </c>
      <c r="P60" s="286">
        <v>-280000.00000000006</v>
      </c>
      <c r="Q60" s="286">
        <f t="shared" ref="Q60:T60" si="20">-SUM($K$11:Q11)*$D$60/12</f>
        <v>-285441.03583333333</v>
      </c>
      <c r="R60" s="286">
        <f t="shared" si="20"/>
        <v>-285441.03583333333</v>
      </c>
      <c r="S60" s="286">
        <f t="shared" si="20"/>
        <v>-285441.03583333333</v>
      </c>
      <c r="T60" s="286">
        <f t="shared" si="20"/>
        <v>-285441.03583333333</v>
      </c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6"/>
      <c r="BC60" s="286"/>
      <c r="BD60" s="286"/>
      <c r="BE60" s="286"/>
      <c r="BF60" s="286"/>
      <c r="BG60" s="286"/>
      <c r="BH60" s="286"/>
      <c r="BI60" s="286"/>
      <c r="BJ60" s="286"/>
      <c r="BK60" s="286"/>
      <c r="BL60" s="286"/>
      <c r="BM60" s="288"/>
      <c r="BN60" s="288"/>
      <c r="BO60" s="288"/>
      <c r="BP60" s="288"/>
      <c r="BQ60" s="288"/>
      <c r="BR60" s="288"/>
      <c r="BS60" s="288"/>
      <c r="BT60" s="288"/>
      <c r="BU60" s="288"/>
      <c r="BV60" s="288"/>
      <c r="BW60" s="288"/>
      <c r="BX60" s="288"/>
      <c r="BY60" s="289">
        <f t="shared" si="19"/>
        <v>-2074514.1433333338</v>
      </c>
      <c r="BZ60" s="771"/>
      <c r="CA60" s="226"/>
      <c r="CB60" s="252"/>
      <c r="CC60" s="771"/>
      <c r="CD60" s="226"/>
      <c r="CE60" s="226"/>
      <c r="CF60" s="226"/>
      <c r="CG60" s="226"/>
      <c r="CH60" s="226"/>
      <c r="CI60" s="226"/>
    </row>
    <row r="61" spans="1:87" ht="16" collapsed="1">
      <c r="A61" s="603"/>
      <c r="B61" s="787"/>
      <c r="C61" s="248" t="s">
        <v>303</v>
      </c>
      <c r="D61" s="249"/>
      <c r="E61" s="250">
        <f t="shared" ref="E61:BY61" si="21">SUM(E62:E84)</f>
        <v>0</v>
      </c>
      <c r="F61" s="250">
        <f t="shared" si="21"/>
        <v>0</v>
      </c>
      <c r="G61" s="250">
        <f t="shared" si="21"/>
        <v>0</v>
      </c>
      <c r="H61" s="250">
        <f t="shared" si="21"/>
        <v>0</v>
      </c>
      <c r="I61" s="250">
        <f t="shared" si="21"/>
        <v>0</v>
      </c>
      <c r="J61" s="250">
        <f t="shared" si="21"/>
        <v>0</v>
      </c>
      <c r="K61" s="250">
        <f t="shared" si="21"/>
        <v>0</v>
      </c>
      <c r="L61" s="250">
        <f t="shared" si="21"/>
        <v>0</v>
      </c>
      <c r="M61" s="250">
        <f t="shared" si="21"/>
        <v>0</v>
      </c>
      <c r="N61" s="250">
        <f t="shared" si="21"/>
        <v>0</v>
      </c>
      <c r="O61" s="250">
        <f t="shared" si="21"/>
        <v>0</v>
      </c>
      <c r="P61" s="250">
        <f t="shared" si="21"/>
        <v>0</v>
      </c>
      <c r="Q61" s="250">
        <f t="shared" si="21"/>
        <v>-97718.69249999999</v>
      </c>
      <c r="R61" s="250">
        <f t="shared" si="21"/>
        <v>-97718.69249999999</v>
      </c>
      <c r="S61" s="250">
        <f t="shared" si="21"/>
        <v>-97718.69249999999</v>
      </c>
      <c r="T61" s="250">
        <f t="shared" si="21"/>
        <v>-97718.69249999999</v>
      </c>
      <c r="U61" s="250">
        <f t="shared" si="21"/>
        <v>0</v>
      </c>
      <c r="V61" s="250">
        <f t="shared" si="21"/>
        <v>0</v>
      </c>
      <c r="W61" s="250">
        <f t="shared" si="21"/>
        <v>0</v>
      </c>
      <c r="X61" s="250">
        <f t="shared" si="21"/>
        <v>0</v>
      </c>
      <c r="Y61" s="250">
        <f t="shared" si="21"/>
        <v>0</v>
      </c>
      <c r="Z61" s="250">
        <f t="shared" si="21"/>
        <v>0</v>
      </c>
      <c r="AA61" s="250">
        <f t="shared" si="21"/>
        <v>0</v>
      </c>
      <c r="AB61" s="250">
        <f t="shared" si="21"/>
        <v>0</v>
      </c>
      <c r="AC61" s="250">
        <f t="shared" si="21"/>
        <v>0</v>
      </c>
      <c r="AD61" s="250">
        <f t="shared" si="21"/>
        <v>0</v>
      </c>
      <c r="AE61" s="250">
        <f t="shared" si="21"/>
        <v>0</v>
      </c>
      <c r="AF61" s="250">
        <f t="shared" si="21"/>
        <v>0</v>
      </c>
      <c r="AG61" s="250">
        <f t="shared" si="21"/>
        <v>0</v>
      </c>
      <c r="AH61" s="250">
        <f t="shared" si="21"/>
        <v>0</v>
      </c>
      <c r="AI61" s="250">
        <f t="shared" si="21"/>
        <v>0</v>
      </c>
      <c r="AJ61" s="250">
        <f t="shared" si="21"/>
        <v>0</v>
      </c>
      <c r="AK61" s="250">
        <f t="shared" si="21"/>
        <v>0</v>
      </c>
      <c r="AL61" s="250">
        <f t="shared" si="21"/>
        <v>0</v>
      </c>
      <c r="AM61" s="250">
        <f t="shared" si="21"/>
        <v>0</v>
      </c>
      <c r="AN61" s="250">
        <f t="shared" si="21"/>
        <v>0</v>
      </c>
      <c r="AO61" s="250">
        <f t="shared" si="21"/>
        <v>0</v>
      </c>
      <c r="AP61" s="250">
        <f t="shared" si="21"/>
        <v>0</v>
      </c>
      <c r="AQ61" s="250">
        <f t="shared" si="21"/>
        <v>0</v>
      </c>
      <c r="AR61" s="250">
        <f t="shared" si="21"/>
        <v>0</v>
      </c>
      <c r="AS61" s="250">
        <f t="shared" si="21"/>
        <v>0</v>
      </c>
      <c r="AT61" s="250">
        <f t="shared" si="21"/>
        <v>0</v>
      </c>
      <c r="AU61" s="250">
        <f t="shared" si="21"/>
        <v>0</v>
      </c>
      <c r="AV61" s="250">
        <f t="shared" si="21"/>
        <v>0</v>
      </c>
      <c r="AW61" s="250">
        <f t="shared" si="21"/>
        <v>0</v>
      </c>
      <c r="AX61" s="250">
        <f t="shared" si="21"/>
        <v>0</v>
      </c>
      <c r="AY61" s="250">
        <f t="shared" si="21"/>
        <v>0</v>
      </c>
      <c r="AZ61" s="250">
        <f t="shared" si="21"/>
        <v>0</v>
      </c>
      <c r="BA61" s="250">
        <f t="shared" si="21"/>
        <v>0</v>
      </c>
      <c r="BB61" s="250">
        <f t="shared" si="21"/>
        <v>0</v>
      </c>
      <c r="BC61" s="250">
        <f t="shared" si="21"/>
        <v>0</v>
      </c>
      <c r="BD61" s="250">
        <f t="shared" si="21"/>
        <v>0</v>
      </c>
      <c r="BE61" s="250">
        <f t="shared" si="21"/>
        <v>0</v>
      </c>
      <c r="BF61" s="250">
        <f t="shared" si="21"/>
        <v>0</v>
      </c>
      <c r="BG61" s="250">
        <f t="shared" si="21"/>
        <v>0</v>
      </c>
      <c r="BH61" s="250">
        <f t="shared" si="21"/>
        <v>0</v>
      </c>
      <c r="BI61" s="250">
        <f t="shared" si="21"/>
        <v>0</v>
      </c>
      <c r="BJ61" s="250">
        <f t="shared" si="21"/>
        <v>0</v>
      </c>
      <c r="BK61" s="250">
        <f t="shared" si="21"/>
        <v>0</v>
      </c>
      <c r="BL61" s="250">
        <f t="shared" si="21"/>
        <v>0</v>
      </c>
      <c r="BM61" s="250">
        <f t="shared" si="21"/>
        <v>0</v>
      </c>
      <c r="BN61" s="250">
        <f t="shared" si="21"/>
        <v>0</v>
      </c>
      <c r="BO61" s="250">
        <f t="shared" si="21"/>
        <v>0</v>
      </c>
      <c r="BP61" s="250">
        <f t="shared" si="21"/>
        <v>0</v>
      </c>
      <c r="BQ61" s="250">
        <f t="shared" si="21"/>
        <v>0</v>
      </c>
      <c r="BR61" s="250">
        <f t="shared" si="21"/>
        <v>0</v>
      </c>
      <c r="BS61" s="250">
        <f t="shared" si="21"/>
        <v>0</v>
      </c>
      <c r="BT61" s="250">
        <f t="shared" si="21"/>
        <v>0</v>
      </c>
      <c r="BU61" s="250">
        <f t="shared" si="21"/>
        <v>0</v>
      </c>
      <c r="BV61" s="250">
        <f t="shared" si="21"/>
        <v>0</v>
      </c>
      <c r="BW61" s="250">
        <f t="shared" si="21"/>
        <v>0</v>
      </c>
      <c r="BX61" s="250">
        <f t="shared" si="21"/>
        <v>0</v>
      </c>
      <c r="BY61" s="251">
        <f t="shared" si="21"/>
        <v>-390874.76999999996</v>
      </c>
      <c r="BZ61" s="771"/>
      <c r="CA61" s="226"/>
      <c r="CB61" s="252"/>
      <c r="CC61" s="771"/>
      <c r="CD61" s="226"/>
      <c r="CE61" s="226">
        <v>-165083.33333333334</v>
      </c>
      <c r="CF61" s="226">
        <v>-215833.33333333337</v>
      </c>
      <c r="CG61" s="226">
        <v>-271833.33333333337</v>
      </c>
      <c r="CH61" s="226">
        <v>-280000.00000000006</v>
      </c>
      <c r="CI61" s="226">
        <v>-165083.33333333334</v>
      </c>
    </row>
    <row r="62" spans="1:87" ht="16" hidden="1" outlineLevel="1">
      <c r="A62" s="603"/>
      <c r="B62" s="787"/>
      <c r="C62" s="290" t="s">
        <v>304</v>
      </c>
      <c r="D62" s="254" t="s">
        <v>270</v>
      </c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56"/>
      <c r="Y62" s="256"/>
      <c r="Z62" s="256"/>
      <c r="AA62" s="256"/>
      <c r="AB62" s="256"/>
      <c r="AC62" s="256"/>
      <c r="AD62" s="256"/>
      <c r="AE62" s="256"/>
      <c r="AF62" s="256"/>
      <c r="AG62" s="256"/>
      <c r="AH62" s="256"/>
      <c r="AI62" s="256"/>
      <c r="AJ62" s="256"/>
      <c r="AK62" s="256"/>
      <c r="AL62" s="256"/>
      <c r="AM62" s="256"/>
      <c r="AN62" s="256"/>
      <c r="AO62" s="256"/>
      <c r="AP62" s="256"/>
      <c r="AQ62" s="256"/>
      <c r="AR62" s="256"/>
      <c r="AS62" s="256"/>
      <c r="AT62" s="256"/>
      <c r="AU62" s="256"/>
      <c r="AV62" s="256"/>
      <c r="AW62" s="256"/>
      <c r="AX62" s="256"/>
      <c r="AY62" s="256"/>
      <c r="AZ62" s="256"/>
      <c r="BA62" s="256"/>
      <c r="BB62" s="256"/>
      <c r="BC62" s="256"/>
      <c r="BD62" s="256"/>
      <c r="BE62" s="256"/>
      <c r="BF62" s="256"/>
      <c r="BG62" s="256"/>
      <c r="BH62" s="256"/>
      <c r="BI62" s="256"/>
      <c r="BJ62" s="256"/>
      <c r="BK62" s="256"/>
      <c r="BL62" s="256"/>
      <c r="BM62" s="256"/>
      <c r="BN62" s="256"/>
      <c r="BO62" s="256"/>
      <c r="BP62" s="256"/>
      <c r="BQ62" s="256"/>
      <c r="BR62" s="256"/>
      <c r="BS62" s="256"/>
      <c r="BT62" s="256"/>
      <c r="BU62" s="256"/>
      <c r="BV62" s="256"/>
      <c r="BW62" s="256"/>
      <c r="BX62" s="256"/>
      <c r="BY62" s="291">
        <f t="shared" ref="BY62:BY84" si="22">SUM(E62:BX62)</f>
        <v>0</v>
      </c>
      <c r="BZ62" s="771"/>
      <c r="CA62" s="226"/>
      <c r="CB62" s="252"/>
      <c r="CC62" s="771"/>
      <c r="CD62" s="226"/>
      <c r="CE62" s="226"/>
      <c r="CF62" s="226"/>
      <c r="CG62" s="226"/>
      <c r="CH62" s="226"/>
      <c r="CI62" s="226"/>
    </row>
    <row r="63" spans="1:87" ht="16" hidden="1" outlineLevel="1">
      <c r="A63" s="603"/>
      <c r="B63" s="787"/>
      <c r="C63" s="292" t="s">
        <v>305</v>
      </c>
      <c r="D63" s="254" t="s">
        <v>270</v>
      </c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6"/>
      <c r="Z63" s="256"/>
      <c r="AA63" s="256"/>
      <c r="AB63" s="256"/>
      <c r="AC63" s="256"/>
      <c r="AD63" s="256"/>
      <c r="AE63" s="256"/>
      <c r="AF63" s="256"/>
      <c r="AG63" s="256"/>
      <c r="AH63" s="256"/>
      <c r="AI63" s="256"/>
      <c r="AJ63" s="256"/>
      <c r="AK63" s="256"/>
      <c r="AL63" s="256"/>
      <c r="AM63" s="256"/>
      <c r="AN63" s="256"/>
      <c r="AO63" s="256"/>
      <c r="AP63" s="256"/>
      <c r="AQ63" s="256"/>
      <c r="AR63" s="256"/>
      <c r="AS63" s="256"/>
      <c r="AT63" s="256"/>
      <c r="AU63" s="256"/>
      <c r="AV63" s="256"/>
      <c r="AW63" s="256"/>
      <c r="AX63" s="256"/>
      <c r="AY63" s="256"/>
      <c r="AZ63" s="256"/>
      <c r="BA63" s="256"/>
      <c r="BB63" s="256"/>
      <c r="BC63" s="256"/>
      <c r="BD63" s="256"/>
      <c r="BE63" s="256"/>
      <c r="BF63" s="256"/>
      <c r="BG63" s="256"/>
      <c r="BH63" s="256"/>
      <c r="BI63" s="256"/>
      <c r="BJ63" s="256"/>
      <c r="BK63" s="256"/>
      <c r="BL63" s="256"/>
      <c r="BM63" s="256"/>
      <c r="BN63" s="256"/>
      <c r="BO63" s="256"/>
      <c r="BP63" s="256"/>
      <c r="BQ63" s="256"/>
      <c r="BR63" s="256"/>
      <c r="BS63" s="256"/>
      <c r="BT63" s="256"/>
      <c r="BU63" s="256"/>
      <c r="BV63" s="256"/>
      <c r="BW63" s="256"/>
      <c r="BX63" s="256"/>
      <c r="BY63" s="291">
        <f t="shared" si="22"/>
        <v>0</v>
      </c>
      <c r="BZ63" s="771"/>
      <c r="CA63" s="226"/>
      <c r="CB63" s="252"/>
      <c r="CC63" s="771"/>
      <c r="CD63" s="226"/>
      <c r="CE63" s="226"/>
      <c r="CF63" s="226"/>
      <c r="CG63" s="226"/>
      <c r="CH63" s="226"/>
      <c r="CI63" s="226"/>
    </row>
    <row r="64" spans="1:87" ht="16" hidden="1" outlineLevel="1">
      <c r="A64" s="603"/>
      <c r="B64" s="787"/>
      <c r="C64" s="292" t="s">
        <v>306</v>
      </c>
      <c r="D64" s="254" t="s">
        <v>270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  <c r="AN64" s="256"/>
      <c r="AO64" s="256"/>
      <c r="AP64" s="256"/>
      <c r="AQ64" s="256"/>
      <c r="AR64" s="256"/>
      <c r="AS64" s="256"/>
      <c r="AT64" s="256"/>
      <c r="AU64" s="256"/>
      <c r="AV64" s="256"/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91">
        <f t="shared" si="22"/>
        <v>0</v>
      </c>
      <c r="BZ64" s="771"/>
      <c r="CA64" s="226"/>
      <c r="CB64" s="252"/>
      <c r="CC64" s="771"/>
      <c r="CD64" s="226"/>
      <c r="CE64" s="226"/>
      <c r="CF64" s="226"/>
      <c r="CG64" s="226"/>
      <c r="CH64" s="226"/>
      <c r="CI64" s="226"/>
    </row>
    <row r="65" spans="1:81" ht="16" hidden="1" outlineLevel="1">
      <c r="A65" s="603"/>
      <c r="B65" s="787"/>
      <c r="C65" s="292" t="s">
        <v>307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91">
        <f t="shared" si="22"/>
        <v>0</v>
      </c>
      <c r="BZ65" s="771"/>
      <c r="CA65" s="226"/>
      <c r="CB65" s="252"/>
      <c r="CC65" s="771"/>
    </row>
    <row r="66" spans="1:81" ht="16" hidden="1" outlineLevel="1">
      <c r="A66" s="603"/>
      <c r="B66" s="787"/>
      <c r="C66" s="292" t="s">
        <v>308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91">
        <f t="shared" si="22"/>
        <v>0</v>
      </c>
      <c r="BZ66" s="771"/>
      <c r="CA66" s="226"/>
      <c r="CB66" s="252"/>
      <c r="CC66" s="771"/>
    </row>
    <row r="67" spans="1:81" ht="16" hidden="1" outlineLevel="1">
      <c r="A67" s="603"/>
      <c r="B67" s="787"/>
      <c r="C67" s="292" t="s">
        <v>309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91">
        <f t="shared" si="22"/>
        <v>0</v>
      </c>
      <c r="BZ67" s="771"/>
      <c r="CA67" s="226"/>
      <c r="CB67" s="252"/>
      <c r="CC67" s="771"/>
    </row>
    <row r="68" spans="1:81" ht="16" hidden="1" outlineLevel="1">
      <c r="A68" s="603"/>
      <c r="B68" s="787"/>
      <c r="C68" s="292" t="s">
        <v>310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91">
        <f t="shared" si="22"/>
        <v>0</v>
      </c>
      <c r="BZ68" s="771"/>
      <c r="CA68" s="226"/>
      <c r="CB68" s="252"/>
      <c r="CC68" s="771"/>
    </row>
    <row r="69" spans="1:81" ht="16" hidden="1" outlineLevel="1">
      <c r="A69" s="603"/>
      <c r="B69" s="787"/>
      <c r="C69" s="292" t="s">
        <v>311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91">
        <f t="shared" si="22"/>
        <v>0</v>
      </c>
      <c r="BZ69" s="771"/>
      <c r="CA69" s="226"/>
      <c r="CB69" s="252"/>
      <c r="CC69" s="771"/>
    </row>
    <row r="70" spans="1:81" ht="16" hidden="1" outlineLevel="1">
      <c r="A70" s="603"/>
      <c r="B70" s="787"/>
      <c r="C70" s="292" t="s">
        <v>312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91">
        <f t="shared" si="22"/>
        <v>0</v>
      </c>
      <c r="BZ70" s="771"/>
      <c r="CA70" s="226"/>
      <c r="CB70" s="252"/>
      <c r="CC70" s="771"/>
    </row>
    <row r="71" spans="1:81" ht="16" hidden="1" outlineLevel="1">
      <c r="A71" s="603"/>
      <c r="B71" s="787"/>
      <c r="C71" s="292" t="s">
        <v>313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91">
        <f t="shared" si="22"/>
        <v>0</v>
      </c>
      <c r="BZ71" s="771"/>
      <c r="CA71" s="226"/>
      <c r="CB71" s="252"/>
      <c r="CC71" s="771"/>
    </row>
    <row r="72" spans="1:81" ht="16" hidden="1" outlineLevel="1">
      <c r="A72" s="603"/>
      <c r="B72" s="787"/>
      <c r="C72" s="292" t="s">
        <v>314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91">
        <f t="shared" si="22"/>
        <v>0</v>
      </c>
      <c r="BZ72" s="771"/>
      <c r="CA72" s="226"/>
      <c r="CB72" s="252"/>
      <c r="CC72" s="771"/>
    </row>
    <row r="73" spans="1:81" ht="16" hidden="1" outlineLevel="1">
      <c r="A73" s="603"/>
      <c r="B73" s="787"/>
      <c r="C73" s="292" t="s">
        <v>315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91">
        <f t="shared" si="22"/>
        <v>0</v>
      </c>
      <c r="BZ73" s="771"/>
      <c r="CA73" s="226"/>
      <c r="CB73" s="252"/>
      <c r="CC73" s="771"/>
    </row>
    <row r="74" spans="1:81" ht="16" hidden="1" outlineLevel="1">
      <c r="A74" s="603"/>
      <c r="B74" s="787"/>
      <c r="C74" s="292" t="s">
        <v>316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91">
        <f t="shared" si="22"/>
        <v>0</v>
      </c>
      <c r="BZ74" s="771"/>
      <c r="CA74" s="226"/>
      <c r="CB74" s="252"/>
      <c r="CC74" s="771"/>
    </row>
    <row r="75" spans="1:81" ht="16" hidden="1" outlineLevel="1">
      <c r="A75" s="603"/>
      <c r="B75" s="787"/>
      <c r="C75" s="292" t="s">
        <v>317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91">
        <f t="shared" si="22"/>
        <v>0</v>
      </c>
      <c r="BZ75" s="771"/>
      <c r="CA75" s="226"/>
      <c r="CB75" s="252"/>
      <c r="CC75" s="771"/>
    </row>
    <row r="76" spans="1:81" ht="16" hidden="1" outlineLevel="1">
      <c r="A76" s="603"/>
      <c r="B76" s="787"/>
      <c r="C76" s="292" t="s">
        <v>318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91">
        <f t="shared" si="22"/>
        <v>0</v>
      </c>
      <c r="BZ76" s="771"/>
      <c r="CA76" s="226"/>
      <c r="CB76" s="252"/>
      <c r="CC76" s="771"/>
    </row>
    <row r="77" spans="1:81" ht="16" hidden="1" outlineLevel="1">
      <c r="A77" s="603"/>
      <c r="B77" s="787"/>
      <c r="C77" s="292" t="s">
        <v>319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91">
        <f t="shared" si="22"/>
        <v>0</v>
      </c>
      <c r="BZ77" s="771"/>
      <c r="CA77" s="226"/>
      <c r="CB77" s="252"/>
      <c r="CC77" s="771"/>
    </row>
    <row r="78" spans="1:81" ht="16" hidden="1" outlineLevel="1">
      <c r="A78" s="603"/>
      <c r="B78" s="787"/>
      <c r="C78" s="292" t="s">
        <v>320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91">
        <f t="shared" si="22"/>
        <v>0</v>
      </c>
      <c r="BZ78" s="771"/>
      <c r="CA78" s="226"/>
      <c r="CB78" s="252"/>
      <c r="CC78" s="771"/>
    </row>
    <row r="79" spans="1:81" ht="16" hidden="1" outlineLevel="1">
      <c r="A79" s="603"/>
      <c r="B79" s="787"/>
      <c r="C79" s="292" t="s">
        <v>321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91">
        <f t="shared" si="22"/>
        <v>0</v>
      </c>
      <c r="BZ79" s="771"/>
      <c r="CA79" s="226"/>
      <c r="CB79" s="252"/>
      <c r="CC79" s="771"/>
    </row>
    <row r="80" spans="1:81" ht="16" hidden="1" outlineLevel="1">
      <c r="A80" s="603"/>
      <c r="B80" s="787"/>
      <c r="C80" s="293" t="s">
        <v>224</v>
      </c>
      <c r="D80" s="254" t="s">
        <v>270</v>
      </c>
      <c r="E80" s="256"/>
      <c r="F80" s="255"/>
      <c r="G80" s="255"/>
      <c r="H80" s="255"/>
      <c r="I80" s="255"/>
      <c r="J80" s="255"/>
      <c r="K80" s="255"/>
      <c r="L80" s="255"/>
      <c r="M80" s="255"/>
      <c r="N80" s="255"/>
      <c r="O80" s="255"/>
      <c r="P80" s="255"/>
      <c r="Q80" s="255">
        <f>-Businessplan_prodej!$N$19/12*1.21</f>
        <v>-97718.69249999999</v>
      </c>
      <c r="R80" s="255">
        <f>-Businessplan_prodej!$N$19/12*1.21</f>
        <v>-97718.69249999999</v>
      </c>
      <c r="S80" s="255">
        <f>-Businessplan_prodej!$N$19/12*1.21</f>
        <v>-97718.69249999999</v>
      </c>
      <c r="T80" s="255">
        <f>-Businessplan_prodej!$N$19/12*1.21</f>
        <v>-97718.69249999999</v>
      </c>
      <c r="U80" s="255"/>
      <c r="V80" s="255"/>
      <c r="W80" s="255"/>
      <c r="X80" s="255"/>
      <c r="Y80" s="255"/>
      <c r="Z80" s="255"/>
      <c r="AA80" s="255"/>
      <c r="AB80" s="255"/>
      <c r="AC80" s="255"/>
      <c r="AD80" s="255"/>
      <c r="AE80" s="255"/>
      <c r="AF80" s="255"/>
      <c r="AG80" s="255"/>
      <c r="AH80" s="255"/>
      <c r="AI80" s="255"/>
      <c r="AJ80" s="255"/>
      <c r="AK80" s="255"/>
      <c r="AL80" s="255"/>
      <c r="AM80" s="255"/>
      <c r="AN80" s="255"/>
      <c r="AO80" s="255"/>
      <c r="AP80" s="255"/>
      <c r="AQ80" s="255"/>
      <c r="AR80" s="255"/>
      <c r="AS80" s="255"/>
      <c r="AT80" s="255"/>
      <c r="AU80" s="255"/>
      <c r="AV80" s="255"/>
      <c r="AW80" s="255"/>
      <c r="AX80" s="255"/>
      <c r="AY80" s="255"/>
      <c r="AZ80" s="255"/>
      <c r="BA80" s="255"/>
      <c r="BB80" s="255"/>
      <c r="BC80" s="255"/>
      <c r="BD80" s="255"/>
      <c r="BE80" s="255"/>
      <c r="BF80" s="255"/>
      <c r="BG80" s="255"/>
      <c r="BH80" s="255"/>
      <c r="BI80" s="255"/>
      <c r="BJ80" s="255"/>
      <c r="BK80" s="255"/>
      <c r="BL80" s="255"/>
      <c r="BM80" s="255"/>
      <c r="BN80" s="255"/>
      <c r="BO80" s="255"/>
      <c r="BP80" s="255"/>
      <c r="BQ80" s="255"/>
      <c r="BR80" s="255"/>
      <c r="BS80" s="255"/>
      <c r="BT80" s="255"/>
      <c r="BU80" s="255"/>
      <c r="BV80" s="255"/>
      <c r="BW80" s="255"/>
      <c r="BX80" s="255"/>
      <c r="BY80" s="291">
        <f t="shared" si="22"/>
        <v>-390874.76999999996</v>
      </c>
      <c r="BZ80" s="771"/>
      <c r="CA80" s="226"/>
      <c r="CB80" s="252"/>
      <c r="CC80" s="771"/>
    </row>
    <row r="81" spans="1:81" ht="16" hidden="1" outlineLevel="1">
      <c r="A81" s="603"/>
      <c r="B81" s="787"/>
      <c r="C81" s="292" t="s">
        <v>225</v>
      </c>
      <c r="D81" s="254" t="s">
        <v>270</v>
      </c>
      <c r="E81" s="256"/>
      <c r="F81" s="255"/>
      <c r="G81" s="255"/>
      <c r="H81" s="255"/>
      <c r="I81" s="255"/>
      <c r="J81" s="255"/>
      <c r="K81" s="255"/>
      <c r="L81" s="255"/>
      <c r="M81" s="255"/>
      <c r="N81" s="255"/>
      <c r="O81" s="255"/>
      <c r="P81" s="255"/>
      <c r="Q81" s="255"/>
      <c r="R81" s="255"/>
      <c r="S81" s="255"/>
      <c r="T81" s="255"/>
      <c r="U81" s="255"/>
      <c r="V81" s="255"/>
      <c r="W81" s="255"/>
      <c r="X81" s="255"/>
      <c r="Y81" s="255"/>
      <c r="Z81" s="255"/>
      <c r="AA81" s="255"/>
      <c r="AB81" s="255"/>
      <c r="AC81" s="255"/>
      <c r="AD81" s="255"/>
      <c r="AE81" s="255"/>
      <c r="AF81" s="255"/>
      <c r="AG81" s="255"/>
      <c r="AH81" s="255"/>
      <c r="AI81" s="255"/>
      <c r="AJ81" s="255"/>
      <c r="AK81" s="255"/>
      <c r="AL81" s="255"/>
      <c r="AM81" s="255"/>
      <c r="AN81" s="255"/>
      <c r="AO81" s="255"/>
      <c r="AP81" s="255"/>
      <c r="AQ81" s="255"/>
      <c r="AR81" s="255"/>
      <c r="AS81" s="255"/>
      <c r="AT81" s="255"/>
      <c r="AU81" s="255"/>
      <c r="AV81" s="255"/>
      <c r="AW81" s="255"/>
      <c r="AX81" s="255"/>
      <c r="AY81" s="255"/>
      <c r="AZ81" s="255"/>
      <c r="BA81" s="255"/>
      <c r="BB81" s="255"/>
      <c r="BC81" s="255"/>
      <c r="BD81" s="255"/>
      <c r="BE81" s="255"/>
      <c r="BF81" s="255"/>
      <c r="BG81" s="255"/>
      <c r="BH81" s="255"/>
      <c r="BI81" s="255"/>
      <c r="BJ81" s="255"/>
      <c r="BK81" s="255"/>
      <c r="BL81" s="255"/>
      <c r="BM81" s="255"/>
      <c r="BN81" s="255"/>
      <c r="BO81" s="255"/>
      <c r="BP81" s="255"/>
      <c r="BQ81" s="255"/>
      <c r="BR81" s="255"/>
      <c r="BS81" s="255"/>
      <c r="BT81" s="255"/>
      <c r="BU81" s="255"/>
      <c r="BV81" s="255"/>
      <c r="BW81" s="255"/>
      <c r="BX81" s="255"/>
      <c r="BY81" s="291">
        <f t="shared" si="22"/>
        <v>0</v>
      </c>
      <c r="BZ81" s="771"/>
      <c r="CA81" s="226"/>
      <c r="CB81" s="252"/>
      <c r="CC81" s="771"/>
    </row>
    <row r="82" spans="1:81" ht="16" hidden="1" outlineLevel="1">
      <c r="A82" s="603"/>
      <c r="B82" s="787"/>
      <c r="C82" s="292" t="s">
        <v>236</v>
      </c>
      <c r="D82" s="254" t="s">
        <v>270</v>
      </c>
      <c r="E82" s="256"/>
      <c r="F82" s="255"/>
      <c r="G82" s="255"/>
      <c r="H82" s="255"/>
      <c r="I82" s="255"/>
      <c r="J82" s="255"/>
      <c r="K82" s="255"/>
      <c r="L82" s="255"/>
      <c r="M82" s="255"/>
      <c r="N82" s="255"/>
      <c r="O82" s="255"/>
      <c r="P82" s="255"/>
      <c r="Q82" s="255"/>
      <c r="R82" s="255"/>
      <c r="S82" s="255"/>
      <c r="T82" s="255"/>
      <c r="U82" s="255"/>
      <c r="V82" s="255"/>
      <c r="W82" s="255"/>
      <c r="X82" s="255"/>
      <c r="Y82" s="255"/>
      <c r="Z82" s="255"/>
      <c r="AA82" s="255"/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91">
        <f t="shared" si="22"/>
        <v>0</v>
      </c>
      <c r="BZ82" s="771"/>
      <c r="CA82" s="226"/>
      <c r="CB82" s="252"/>
      <c r="CC82" s="771"/>
    </row>
    <row r="83" spans="1:81" ht="16" hidden="1" outlineLevel="1">
      <c r="A83" s="603"/>
      <c r="B83" s="787"/>
      <c r="C83" s="292" t="s">
        <v>237</v>
      </c>
      <c r="D83" s="254" t="s">
        <v>270</v>
      </c>
      <c r="E83" s="256"/>
      <c r="F83" s="255"/>
      <c r="G83" s="255"/>
      <c r="H83" s="255"/>
      <c r="I83" s="255"/>
      <c r="J83" s="255"/>
      <c r="K83" s="255"/>
      <c r="L83" s="255"/>
      <c r="M83" s="255"/>
      <c r="N83" s="255"/>
      <c r="O83" s="255"/>
      <c r="P83" s="255"/>
      <c r="Q83" s="255"/>
      <c r="R83" s="255"/>
      <c r="S83" s="255"/>
      <c r="T83" s="255"/>
      <c r="U83" s="255"/>
      <c r="V83" s="255"/>
      <c r="W83" s="255"/>
      <c r="X83" s="255"/>
      <c r="Y83" s="255"/>
      <c r="Z83" s="255"/>
      <c r="AA83" s="255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91">
        <f t="shared" si="22"/>
        <v>0</v>
      </c>
      <c r="BZ83" s="771"/>
      <c r="CA83" s="226"/>
      <c r="CB83" s="252"/>
      <c r="CC83" s="771"/>
    </row>
    <row r="84" spans="1:81" ht="16" hidden="1" outlineLevel="1">
      <c r="A84" s="603"/>
      <c r="B84" s="787"/>
      <c r="C84" s="294" t="s">
        <v>322</v>
      </c>
      <c r="D84" s="258" t="s">
        <v>270</v>
      </c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  <c r="AI84" s="295"/>
      <c r="AJ84" s="295"/>
      <c r="AK84" s="295"/>
      <c r="AL84" s="295"/>
      <c r="AM84" s="295"/>
      <c r="AN84" s="295"/>
      <c r="AO84" s="295"/>
      <c r="AP84" s="295"/>
      <c r="AQ84" s="295"/>
      <c r="AR84" s="295"/>
      <c r="AS84" s="295"/>
      <c r="AT84" s="295"/>
      <c r="AU84" s="295"/>
      <c r="AV84" s="295"/>
      <c r="AW84" s="295"/>
      <c r="AX84" s="295"/>
      <c r="AY84" s="295"/>
      <c r="AZ84" s="295"/>
      <c r="BA84" s="295"/>
      <c r="BB84" s="295"/>
      <c r="BC84" s="295"/>
      <c r="BD84" s="295"/>
      <c r="BE84" s="295"/>
      <c r="BF84" s="295"/>
      <c r="BG84" s="295"/>
      <c r="BH84" s="295"/>
      <c r="BI84" s="295"/>
      <c r="BJ84" s="295"/>
      <c r="BK84" s="295"/>
      <c r="BL84" s="295"/>
      <c r="BM84" s="295"/>
      <c r="BN84" s="295"/>
      <c r="BO84" s="295"/>
      <c r="BP84" s="295"/>
      <c r="BQ84" s="295"/>
      <c r="BR84" s="295"/>
      <c r="BS84" s="295"/>
      <c r="BT84" s="295"/>
      <c r="BU84" s="295"/>
      <c r="BV84" s="295"/>
      <c r="BW84" s="295"/>
      <c r="BX84" s="295"/>
      <c r="BY84" s="291">
        <f t="shared" si="22"/>
        <v>0</v>
      </c>
      <c r="BZ84" s="771"/>
      <c r="CA84" s="226"/>
      <c r="CB84" s="252"/>
      <c r="CC84" s="771"/>
    </row>
    <row r="85" spans="1:81" ht="16">
      <c r="A85" s="603"/>
      <c r="B85" s="787"/>
      <c r="C85" s="248" t="s">
        <v>323</v>
      </c>
      <c r="D85" s="249"/>
      <c r="E85" s="250">
        <f t="shared" ref="E85:BY85" si="23">SUM(E86:E87)</f>
        <v>0</v>
      </c>
      <c r="F85" s="250">
        <f t="shared" si="23"/>
        <v>0</v>
      </c>
      <c r="G85" s="250">
        <f t="shared" si="23"/>
        <v>0</v>
      </c>
      <c r="H85" s="250">
        <f t="shared" si="23"/>
        <v>0</v>
      </c>
      <c r="I85" s="250">
        <f t="shared" si="23"/>
        <v>0</v>
      </c>
      <c r="J85" s="250">
        <f t="shared" si="23"/>
        <v>0</v>
      </c>
      <c r="K85" s="250">
        <f t="shared" si="23"/>
        <v>0</v>
      </c>
      <c r="L85" s="250">
        <f t="shared" si="23"/>
        <v>0</v>
      </c>
      <c r="M85" s="250">
        <f t="shared" si="23"/>
        <v>0</v>
      </c>
      <c r="N85" s="250">
        <f t="shared" si="23"/>
        <v>0</v>
      </c>
      <c r="O85" s="250">
        <f t="shared" si="23"/>
        <v>0</v>
      </c>
      <c r="P85" s="250">
        <f t="shared" si="23"/>
        <v>0</v>
      </c>
      <c r="Q85" s="250">
        <f t="shared" si="23"/>
        <v>0</v>
      </c>
      <c r="R85" s="250">
        <f t="shared" si="23"/>
        <v>0</v>
      </c>
      <c r="S85" s="250">
        <f t="shared" si="23"/>
        <v>0</v>
      </c>
      <c r="T85" s="250">
        <f t="shared" si="23"/>
        <v>0</v>
      </c>
      <c r="U85" s="250">
        <f t="shared" si="23"/>
        <v>0</v>
      </c>
      <c r="V85" s="250">
        <f t="shared" si="23"/>
        <v>0</v>
      </c>
      <c r="W85" s="250">
        <f t="shared" si="23"/>
        <v>0</v>
      </c>
      <c r="X85" s="250">
        <f t="shared" si="23"/>
        <v>0</v>
      </c>
      <c r="Y85" s="250">
        <f t="shared" si="23"/>
        <v>0</v>
      </c>
      <c r="Z85" s="250">
        <f t="shared" si="23"/>
        <v>0</v>
      </c>
      <c r="AA85" s="250">
        <f t="shared" si="23"/>
        <v>0</v>
      </c>
      <c r="AB85" s="250">
        <f t="shared" si="23"/>
        <v>0</v>
      </c>
      <c r="AC85" s="250">
        <f t="shared" si="23"/>
        <v>0</v>
      </c>
      <c r="AD85" s="250">
        <f t="shared" si="23"/>
        <v>0</v>
      </c>
      <c r="AE85" s="250">
        <f t="shared" si="23"/>
        <v>0</v>
      </c>
      <c r="AF85" s="250">
        <f t="shared" si="23"/>
        <v>0</v>
      </c>
      <c r="AG85" s="250">
        <f t="shared" si="23"/>
        <v>0</v>
      </c>
      <c r="AH85" s="250">
        <f t="shared" si="23"/>
        <v>0</v>
      </c>
      <c r="AI85" s="250">
        <f t="shared" si="23"/>
        <v>0</v>
      </c>
      <c r="AJ85" s="250">
        <f t="shared" si="23"/>
        <v>0</v>
      </c>
      <c r="AK85" s="250">
        <f t="shared" si="23"/>
        <v>0</v>
      </c>
      <c r="AL85" s="250">
        <f t="shared" si="23"/>
        <v>0</v>
      </c>
      <c r="AM85" s="250">
        <f t="shared" si="23"/>
        <v>0</v>
      </c>
      <c r="AN85" s="250">
        <f t="shared" si="23"/>
        <v>0</v>
      </c>
      <c r="AO85" s="250">
        <f t="shared" si="23"/>
        <v>0</v>
      </c>
      <c r="AP85" s="250">
        <f t="shared" si="23"/>
        <v>0</v>
      </c>
      <c r="AQ85" s="250">
        <f t="shared" si="23"/>
        <v>0</v>
      </c>
      <c r="AR85" s="250">
        <f t="shared" si="23"/>
        <v>0</v>
      </c>
      <c r="AS85" s="250">
        <f t="shared" si="23"/>
        <v>0</v>
      </c>
      <c r="AT85" s="250">
        <f t="shared" si="23"/>
        <v>0</v>
      </c>
      <c r="AU85" s="250">
        <f t="shared" si="23"/>
        <v>0</v>
      </c>
      <c r="AV85" s="250">
        <f t="shared" si="23"/>
        <v>0</v>
      </c>
      <c r="AW85" s="250">
        <f t="shared" si="23"/>
        <v>0</v>
      </c>
      <c r="AX85" s="250">
        <f t="shared" si="23"/>
        <v>0</v>
      </c>
      <c r="AY85" s="250">
        <f t="shared" si="23"/>
        <v>0</v>
      </c>
      <c r="AZ85" s="250">
        <f t="shared" si="23"/>
        <v>0</v>
      </c>
      <c r="BA85" s="250">
        <f t="shared" si="23"/>
        <v>0</v>
      </c>
      <c r="BB85" s="250">
        <f t="shared" si="23"/>
        <v>0</v>
      </c>
      <c r="BC85" s="250">
        <f t="shared" si="23"/>
        <v>0</v>
      </c>
      <c r="BD85" s="250">
        <f t="shared" si="23"/>
        <v>0</v>
      </c>
      <c r="BE85" s="250">
        <f t="shared" si="23"/>
        <v>0</v>
      </c>
      <c r="BF85" s="250">
        <f t="shared" si="23"/>
        <v>0</v>
      </c>
      <c r="BG85" s="250">
        <f t="shared" si="23"/>
        <v>0</v>
      </c>
      <c r="BH85" s="250">
        <f t="shared" si="23"/>
        <v>0</v>
      </c>
      <c r="BI85" s="250">
        <f t="shared" si="23"/>
        <v>0</v>
      </c>
      <c r="BJ85" s="250">
        <f t="shared" si="23"/>
        <v>0</v>
      </c>
      <c r="BK85" s="250">
        <f t="shared" si="23"/>
        <v>0</v>
      </c>
      <c r="BL85" s="250">
        <f t="shared" si="23"/>
        <v>0</v>
      </c>
      <c r="BM85" s="250">
        <f t="shared" si="23"/>
        <v>0</v>
      </c>
      <c r="BN85" s="250">
        <f t="shared" si="23"/>
        <v>0</v>
      </c>
      <c r="BO85" s="250">
        <f t="shared" si="23"/>
        <v>0</v>
      </c>
      <c r="BP85" s="250">
        <f t="shared" si="23"/>
        <v>0</v>
      </c>
      <c r="BQ85" s="250">
        <f t="shared" si="23"/>
        <v>0</v>
      </c>
      <c r="BR85" s="250">
        <f t="shared" si="23"/>
        <v>0</v>
      </c>
      <c r="BS85" s="250">
        <f t="shared" si="23"/>
        <v>0</v>
      </c>
      <c r="BT85" s="250">
        <f t="shared" si="23"/>
        <v>0</v>
      </c>
      <c r="BU85" s="250">
        <f t="shared" si="23"/>
        <v>0</v>
      </c>
      <c r="BV85" s="250">
        <f t="shared" si="23"/>
        <v>0</v>
      </c>
      <c r="BW85" s="250">
        <f t="shared" si="23"/>
        <v>0</v>
      </c>
      <c r="BX85" s="250">
        <f t="shared" si="23"/>
        <v>0</v>
      </c>
      <c r="BY85" s="251">
        <f t="shared" si="23"/>
        <v>0</v>
      </c>
      <c r="BZ85" s="771"/>
      <c r="CA85" s="226"/>
      <c r="CB85" s="252"/>
      <c r="CC85" s="771"/>
    </row>
    <row r="86" spans="1:81" ht="16" outlineLevel="1">
      <c r="A86" s="603"/>
      <c r="B86" s="787"/>
      <c r="C86" s="290" t="s">
        <v>324</v>
      </c>
      <c r="D86" s="254" t="s">
        <v>270</v>
      </c>
      <c r="E86" s="260"/>
      <c r="F86" s="260"/>
      <c r="G86" s="260"/>
      <c r="H86" s="260"/>
      <c r="I86" s="260"/>
      <c r="J86" s="260"/>
      <c r="K86" s="260"/>
      <c r="L86" s="260"/>
      <c r="M86" s="260"/>
      <c r="N86" s="260"/>
      <c r="O86" s="260"/>
      <c r="P86" s="260"/>
      <c r="Q86" s="260"/>
      <c r="R86" s="260"/>
      <c r="S86" s="260"/>
      <c r="T86" s="260"/>
      <c r="U86" s="260"/>
      <c r="V86" s="260"/>
      <c r="W86" s="260"/>
      <c r="X86" s="260"/>
      <c r="Y86" s="260"/>
      <c r="Z86" s="260"/>
      <c r="AA86" s="260"/>
      <c r="AB86" s="260"/>
      <c r="AC86" s="260"/>
      <c r="AD86" s="260"/>
      <c r="AE86" s="260"/>
      <c r="AF86" s="260"/>
      <c r="AG86" s="260"/>
      <c r="AH86" s="260"/>
      <c r="AI86" s="260"/>
      <c r="AJ86" s="260"/>
      <c r="AK86" s="260"/>
      <c r="AL86" s="260"/>
      <c r="AM86" s="260"/>
      <c r="AN86" s="260"/>
      <c r="AO86" s="260"/>
      <c r="AP86" s="260"/>
      <c r="AQ86" s="260"/>
      <c r="AR86" s="260"/>
      <c r="AS86" s="260"/>
      <c r="AT86" s="260"/>
      <c r="AU86" s="260"/>
      <c r="AV86" s="260"/>
      <c r="AW86" s="260"/>
      <c r="AX86" s="260"/>
      <c r="AY86" s="260"/>
      <c r="AZ86" s="260"/>
      <c r="BA86" s="260"/>
      <c r="BB86" s="260"/>
      <c r="BC86" s="260"/>
      <c r="BD86" s="260"/>
      <c r="BE86" s="260"/>
      <c r="BF86" s="260"/>
      <c r="BG86" s="260"/>
      <c r="BH86" s="260"/>
      <c r="BI86" s="260"/>
      <c r="BJ86" s="260"/>
      <c r="BK86" s="260"/>
      <c r="BL86" s="260"/>
      <c r="BM86" s="260"/>
      <c r="BN86" s="260"/>
      <c r="BO86" s="260"/>
      <c r="BP86" s="260"/>
      <c r="BQ86" s="260"/>
      <c r="BR86" s="260"/>
      <c r="BS86" s="260"/>
      <c r="BT86" s="260"/>
      <c r="BU86" s="260"/>
      <c r="BV86" s="260"/>
      <c r="BW86" s="260"/>
      <c r="BX86" s="260"/>
      <c r="BY86" s="296">
        <f t="shared" ref="BY86:BY87" si="24">SUM(E86:BX86)</f>
        <v>0</v>
      </c>
      <c r="BZ86" s="771"/>
      <c r="CA86" s="226"/>
      <c r="CB86" s="252"/>
      <c r="CC86" s="771"/>
    </row>
    <row r="87" spans="1:81" ht="16" outlineLevel="1">
      <c r="A87" s="603"/>
      <c r="B87" s="787"/>
      <c r="C87" s="294" t="s">
        <v>325</v>
      </c>
      <c r="D87" s="258" t="s">
        <v>270</v>
      </c>
      <c r="E87" s="287"/>
      <c r="F87" s="288"/>
      <c r="G87" s="288"/>
      <c r="H87" s="288"/>
      <c r="I87" s="288"/>
      <c r="J87" s="288"/>
      <c r="K87" s="288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  <c r="Y87" s="288"/>
      <c r="Z87" s="288"/>
      <c r="AA87" s="288"/>
      <c r="AB87" s="288"/>
      <c r="AC87" s="288"/>
      <c r="AD87" s="288"/>
      <c r="AE87" s="288"/>
      <c r="AF87" s="288"/>
      <c r="AG87" s="288"/>
      <c r="AH87" s="288"/>
      <c r="AI87" s="288"/>
      <c r="AJ87" s="288"/>
      <c r="AK87" s="288"/>
      <c r="AL87" s="288"/>
      <c r="AM87" s="288"/>
      <c r="AN87" s="288"/>
      <c r="AO87" s="288"/>
      <c r="AP87" s="288"/>
      <c r="AQ87" s="288"/>
      <c r="AR87" s="288"/>
      <c r="AS87" s="288"/>
      <c r="AT87" s="288"/>
      <c r="AU87" s="288"/>
      <c r="AV87" s="288"/>
      <c r="AW87" s="288"/>
      <c r="AX87" s="288"/>
      <c r="AY87" s="288"/>
      <c r="AZ87" s="288"/>
      <c r="BA87" s="288"/>
      <c r="BB87" s="288"/>
      <c r="BC87" s="288"/>
      <c r="BD87" s="288"/>
      <c r="BE87" s="288"/>
      <c r="BF87" s="288"/>
      <c r="BG87" s="288"/>
      <c r="BH87" s="288"/>
      <c r="BI87" s="288"/>
      <c r="BJ87" s="288"/>
      <c r="BK87" s="288"/>
      <c r="BL87" s="288"/>
      <c r="BM87" s="288"/>
      <c r="BN87" s="288"/>
      <c r="BO87" s="288"/>
      <c r="BP87" s="288"/>
      <c r="BQ87" s="288"/>
      <c r="BR87" s="288"/>
      <c r="BS87" s="288"/>
      <c r="BT87" s="288"/>
      <c r="BU87" s="288"/>
      <c r="BV87" s="288"/>
      <c r="BW87" s="288"/>
      <c r="BX87" s="288"/>
      <c r="BY87" s="297">
        <f t="shared" si="24"/>
        <v>0</v>
      </c>
      <c r="BZ87" s="774"/>
      <c r="CA87" s="226"/>
      <c r="CB87" s="252"/>
      <c r="CC87" s="774"/>
    </row>
    <row r="88" spans="1:81">
      <c r="A88" s="603"/>
      <c r="B88" s="787"/>
      <c r="C88" s="248" t="s">
        <v>326</v>
      </c>
      <c r="D88" s="249"/>
      <c r="E88" s="250">
        <f t="shared" ref="E88:BX88" si="25">SUM(E89:E95)</f>
        <v>0</v>
      </c>
      <c r="F88" s="250">
        <f t="shared" si="25"/>
        <v>0</v>
      </c>
      <c r="G88" s="250">
        <f t="shared" si="25"/>
        <v>0</v>
      </c>
      <c r="H88" s="250">
        <f t="shared" si="25"/>
        <v>0</v>
      </c>
      <c r="I88" s="250">
        <f t="shared" si="25"/>
        <v>0</v>
      </c>
      <c r="J88" s="250">
        <f t="shared" si="25"/>
        <v>0</v>
      </c>
      <c r="K88" s="250">
        <f t="shared" si="25"/>
        <v>0</v>
      </c>
      <c r="L88" s="250">
        <f t="shared" si="25"/>
        <v>0</v>
      </c>
      <c r="M88" s="250">
        <f t="shared" si="25"/>
        <v>0</v>
      </c>
      <c r="N88" s="250">
        <f t="shared" si="25"/>
        <v>0</v>
      </c>
      <c r="O88" s="250">
        <f t="shared" si="25"/>
        <v>0</v>
      </c>
      <c r="P88" s="250">
        <f t="shared" si="25"/>
        <v>0</v>
      </c>
      <c r="Q88" s="250">
        <f t="shared" si="25"/>
        <v>-60405.454753502156</v>
      </c>
      <c r="R88" s="250">
        <f t="shared" si="25"/>
        <v>-60405.454753502156</v>
      </c>
      <c r="S88" s="250">
        <f t="shared" si="25"/>
        <v>-60405.454753502156</v>
      </c>
      <c r="T88" s="250">
        <f t="shared" si="25"/>
        <v>-72987201.63573949</v>
      </c>
      <c r="U88" s="250">
        <f t="shared" si="25"/>
        <v>0</v>
      </c>
      <c r="V88" s="250">
        <f t="shared" si="25"/>
        <v>0</v>
      </c>
      <c r="W88" s="250">
        <f t="shared" si="25"/>
        <v>0</v>
      </c>
      <c r="X88" s="250">
        <f t="shared" si="25"/>
        <v>0</v>
      </c>
      <c r="Y88" s="250">
        <f t="shared" si="25"/>
        <v>0</v>
      </c>
      <c r="Z88" s="250">
        <f t="shared" si="25"/>
        <v>0</v>
      </c>
      <c r="AA88" s="250">
        <f t="shared" si="25"/>
        <v>0</v>
      </c>
      <c r="AB88" s="250">
        <f t="shared" si="25"/>
        <v>0</v>
      </c>
      <c r="AC88" s="250">
        <f t="shared" si="25"/>
        <v>0</v>
      </c>
      <c r="AD88" s="250">
        <f t="shared" si="25"/>
        <v>0</v>
      </c>
      <c r="AE88" s="250">
        <f t="shared" si="25"/>
        <v>0</v>
      </c>
      <c r="AF88" s="250">
        <f t="shared" si="25"/>
        <v>0</v>
      </c>
      <c r="AG88" s="250">
        <f t="shared" si="25"/>
        <v>0</v>
      </c>
      <c r="AH88" s="250">
        <f t="shared" si="25"/>
        <v>0</v>
      </c>
      <c r="AI88" s="250">
        <f t="shared" si="25"/>
        <v>0</v>
      </c>
      <c r="AJ88" s="250">
        <f t="shared" si="25"/>
        <v>0</v>
      </c>
      <c r="AK88" s="250">
        <f t="shared" si="25"/>
        <v>0</v>
      </c>
      <c r="AL88" s="250">
        <f t="shared" si="25"/>
        <v>0</v>
      </c>
      <c r="AM88" s="250">
        <f t="shared" si="25"/>
        <v>0</v>
      </c>
      <c r="AN88" s="250">
        <f t="shared" si="25"/>
        <v>0</v>
      </c>
      <c r="AO88" s="250">
        <f t="shared" si="25"/>
        <v>0</v>
      </c>
      <c r="AP88" s="250">
        <f t="shared" si="25"/>
        <v>0</v>
      </c>
      <c r="AQ88" s="250">
        <f t="shared" si="25"/>
        <v>0</v>
      </c>
      <c r="AR88" s="250">
        <f t="shared" si="25"/>
        <v>0</v>
      </c>
      <c r="AS88" s="250">
        <f t="shared" si="25"/>
        <v>0</v>
      </c>
      <c r="AT88" s="250">
        <f t="shared" si="25"/>
        <v>0</v>
      </c>
      <c r="AU88" s="250">
        <f t="shared" si="25"/>
        <v>0</v>
      </c>
      <c r="AV88" s="250">
        <f t="shared" si="25"/>
        <v>0</v>
      </c>
      <c r="AW88" s="250">
        <f t="shared" si="25"/>
        <v>0</v>
      </c>
      <c r="AX88" s="250">
        <f t="shared" si="25"/>
        <v>0</v>
      </c>
      <c r="AY88" s="250">
        <f t="shared" si="25"/>
        <v>0</v>
      </c>
      <c r="AZ88" s="250">
        <f t="shared" si="25"/>
        <v>0</v>
      </c>
      <c r="BA88" s="250">
        <f t="shared" si="25"/>
        <v>0</v>
      </c>
      <c r="BB88" s="250">
        <f t="shared" si="25"/>
        <v>0</v>
      </c>
      <c r="BC88" s="250">
        <f t="shared" si="25"/>
        <v>0</v>
      </c>
      <c r="BD88" s="250">
        <f t="shared" si="25"/>
        <v>0</v>
      </c>
      <c r="BE88" s="250">
        <f t="shared" si="25"/>
        <v>0</v>
      </c>
      <c r="BF88" s="250">
        <f t="shared" si="25"/>
        <v>0</v>
      </c>
      <c r="BG88" s="250">
        <f t="shared" si="25"/>
        <v>0</v>
      </c>
      <c r="BH88" s="250">
        <f t="shared" si="25"/>
        <v>0</v>
      </c>
      <c r="BI88" s="250">
        <f t="shared" si="25"/>
        <v>0</v>
      </c>
      <c r="BJ88" s="250">
        <f t="shared" si="25"/>
        <v>0</v>
      </c>
      <c r="BK88" s="250">
        <f t="shared" si="25"/>
        <v>0</v>
      </c>
      <c r="BL88" s="250">
        <f t="shared" si="25"/>
        <v>0</v>
      </c>
      <c r="BM88" s="250">
        <f t="shared" si="25"/>
        <v>0</v>
      </c>
      <c r="BN88" s="250">
        <f t="shared" si="25"/>
        <v>0</v>
      </c>
      <c r="BO88" s="250">
        <f t="shared" si="25"/>
        <v>0</v>
      </c>
      <c r="BP88" s="250">
        <f t="shared" si="25"/>
        <v>0</v>
      </c>
      <c r="BQ88" s="250">
        <f t="shared" si="25"/>
        <v>0</v>
      </c>
      <c r="BR88" s="250">
        <f t="shared" si="25"/>
        <v>0</v>
      </c>
      <c r="BS88" s="250">
        <f t="shared" si="25"/>
        <v>0</v>
      </c>
      <c r="BT88" s="250">
        <f t="shared" si="25"/>
        <v>0</v>
      </c>
      <c r="BU88" s="250">
        <f t="shared" si="25"/>
        <v>0</v>
      </c>
      <c r="BV88" s="250">
        <f t="shared" si="25"/>
        <v>0</v>
      </c>
      <c r="BW88" s="250">
        <f t="shared" si="25"/>
        <v>0</v>
      </c>
      <c r="BX88" s="250">
        <f t="shared" si="25"/>
        <v>0</v>
      </c>
      <c r="BY88" s="779" t="e">
        <f>BZ17</f>
        <v>#REF!</v>
      </c>
      <c r="BZ88" s="768"/>
      <c r="CA88" s="226"/>
      <c r="CB88" s="226"/>
      <c r="CC88" s="226"/>
    </row>
    <row r="89" spans="1:81" outlineLevel="1">
      <c r="A89" s="603"/>
      <c r="B89" s="787"/>
      <c r="C89" s="253" t="s">
        <v>327</v>
      </c>
      <c r="D89" s="254" t="s">
        <v>270</v>
      </c>
      <c r="E89" s="255"/>
      <c r="F89" s="255"/>
      <c r="G89" s="255"/>
      <c r="H89" s="255"/>
      <c r="I89" s="255"/>
      <c r="J89" s="255"/>
      <c r="K89" s="255"/>
      <c r="L89" s="255"/>
      <c r="M89" s="255"/>
      <c r="N89" s="255"/>
      <c r="O89" s="255"/>
      <c r="P89" s="255"/>
      <c r="Q89" s="255"/>
      <c r="R89" s="255"/>
      <c r="S89" s="255"/>
      <c r="T89" s="255">
        <f t="shared" ref="T89:T90" si="26">-BY5</f>
        <v>-16365002</v>
      </c>
      <c r="U89" s="255"/>
      <c r="V89" s="255"/>
      <c r="W89" s="255"/>
      <c r="X89" s="255"/>
      <c r="Y89" s="255"/>
      <c r="Z89" s="255"/>
      <c r="AA89" s="255"/>
      <c r="AB89" s="255"/>
      <c r="AC89" s="255"/>
      <c r="AD89" s="255"/>
      <c r="AE89" s="255"/>
      <c r="AF89" s="255"/>
      <c r="AG89" s="255"/>
      <c r="AH89" s="255"/>
      <c r="AI89" s="255"/>
      <c r="AJ89" s="255"/>
      <c r="AK89" s="255"/>
      <c r="AL89" s="255"/>
      <c r="AM89" s="255"/>
      <c r="AN89" s="255"/>
      <c r="AO89" s="255"/>
      <c r="AP89" s="255"/>
      <c r="AQ89" s="255"/>
      <c r="AR89" s="255"/>
      <c r="AS89" s="255"/>
      <c r="AT89" s="255"/>
      <c r="AU89" s="255"/>
      <c r="AV89" s="255"/>
      <c r="AW89" s="255"/>
      <c r="AX89" s="255"/>
      <c r="AY89" s="255"/>
      <c r="AZ89" s="255"/>
      <c r="BA89" s="255"/>
      <c r="BB89" s="255"/>
      <c r="BC89" s="256"/>
      <c r="BD89" s="255"/>
      <c r="BE89" s="255"/>
      <c r="BF89" s="255"/>
      <c r="BG89" s="255"/>
      <c r="BH89" s="255"/>
      <c r="BI89" s="255"/>
      <c r="BJ89" s="255"/>
      <c r="BK89" s="255"/>
      <c r="BL89" s="255"/>
      <c r="BM89" s="255"/>
      <c r="BN89" s="255"/>
      <c r="BO89" s="255"/>
      <c r="BP89" s="255"/>
      <c r="BQ89" s="255"/>
      <c r="BR89" s="255"/>
      <c r="BS89" s="255"/>
      <c r="BT89" s="255"/>
      <c r="BU89" s="255"/>
      <c r="BV89" s="255"/>
      <c r="BW89" s="255"/>
      <c r="BX89" s="264"/>
      <c r="BY89" s="296">
        <f t="shared" ref="BY89:BY95" si="27">SUM(E89:BX89)</f>
        <v>-16365002</v>
      </c>
      <c r="BZ89" s="777">
        <f>SUM(BY89:BY95)</f>
        <v>-73168418</v>
      </c>
      <c r="CA89" s="226"/>
      <c r="CB89" s="226"/>
      <c r="CC89" s="226"/>
    </row>
    <row r="90" spans="1:81" outlineLevel="1">
      <c r="A90" s="253" t="s">
        <v>328</v>
      </c>
      <c r="B90" s="787"/>
      <c r="C90" s="253" t="s">
        <v>329</v>
      </c>
      <c r="D90" s="254" t="s">
        <v>270</v>
      </c>
      <c r="E90" s="255"/>
      <c r="F90" s="255"/>
      <c r="G90" s="255"/>
      <c r="H90" s="255"/>
      <c r="I90" s="255"/>
      <c r="J90" s="255"/>
      <c r="K90" s="255"/>
      <c r="L90" s="255"/>
      <c r="M90" s="255"/>
      <c r="N90" s="255"/>
      <c r="O90" s="255"/>
      <c r="P90" s="255"/>
      <c r="Q90" s="255"/>
      <c r="R90" s="255"/>
      <c r="S90" s="255"/>
      <c r="T90" s="255">
        <f t="shared" si="26"/>
        <v>-7870667</v>
      </c>
      <c r="U90" s="255"/>
      <c r="V90" s="255"/>
      <c r="W90" s="255"/>
      <c r="X90" s="255"/>
      <c r="Y90" s="255"/>
      <c r="Z90" s="255"/>
      <c r="AA90" s="255"/>
      <c r="AB90" s="255"/>
      <c r="AC90" s="255"/>
      <c r="AD90" s="255"/>
      <c r="AE90" s="255"/>
      <c r="AF90" s="255"/>
      <c r="AG90" s="255"/>
      <c r="AH90" s="255"/>
      <c r="AI90" s="255"/>
      <c r="AJ90" s="255"/>
      <c r="AK90" s="255"/>
      <c r="AL90" s="255"/>
      <c r="AM90" s="255"/>
      <c r="AN90" s="255"/>
      <c r="AO90" s="255"/>
      <c r="AP90" s="255"/>
      <c r="AQ90" s="255"/>
      <c r="AR90" s="255"/>
      <c r="AS90" s="255"/>
      <c r="AT90" s="255"/>
      <c r="AU90" s="255"/>
      <c r="AV90" s="255"/>
      <c r="AW90" s="255"/>
      <c r="AX90" s="255"/>
      <c r="AY90" s="255"/>
      <c r="AZ90" s="255"/>
      <c r="BA90" s="255"/>
      <c r="BB90" s="255"/>
      <c r="BC90" s="255"/>
      <c r="BD90" s="255"/>
      <c r="BE90" s="255"/>
      <c r="BF90" s="255"/>
      <c r="BG90" s="255"/>
      <c r="BH90" s="255"/>
      <c r="BI90" s="255"/>
      <c r="BJ90" s="255"/>
      <c r="BK90" s="255"/>
      <c r="BL90" s="255"/>
      <c r="BM90" s="255"/>
      <c r="BN90" s="255"/>
      <c r="BO90" s="255"/>
      <c r="BP90" s="255"/>
      <c r="BQ90" s="255"/>
      <c r="BR90" s="255"/>
      <c r="BS90" s="255"/>
      <c r="BT90" s="255"/>
      <c r="BU90" s="255"/>
      <c r="BV90" s="255"/>
      <c r="BW90" s="255"/>
      <c r="BX90" s="264"/>
      <c r="BY90" s="291">
        <f t="shared" si="27"/>
        <v>-7870667</v>
      </c>
      <c r="BZ90" s="771"/>
      <c r="CA90" s="226"/>
      <c r="CB90" s="226"/>
      <c r="CC90" s="226"/>
    </row>
    <row r="91" spans="1:81" outlineLevel="1">
      <c r="A91" s="253" t="s">
        <v>330</v>
      </c>
      <c r="B91" s="787"/>
      <c r="C91" s="293" t="s">
        <v>328</v>
      </c>
      <c r="D91" s="254" t="s">
        <v>270</v>
      </c>
      <c r="E91" s="255"/>
      <c r="F91" s="255"/>
      <c r="G91" s="255"/>
      <c r="H91" s="255"/>
      <c r="I91" s="255"/>
      <c r="J91" s="255"/>
      <c r="K91" s="255"/>
      <c r="L91" s="255"/>
      <c r="M91" s="255"/>
      <c r="N91" s="255"/>
      <c r="O91" s="255"/>
      <c r="P91" s="255"/>
      <c r="Q91" s="255"/>
      <c r="R91" s="255"/>
      <c r="S91" s="255"/>
      <c r="T91" s="255"/>
      <c r="U91" s="255"/>
      <c r="V91" s="255"/>
      <c r="W91" s="255"/>
      <c r="X91" s="255"/>
      <c r="Y91" s="255"/>
      <c r="Z91" s="255"/>
      <c r="AA91" s="255"/>
      <c r="AB91" s="255"/>
      <c r="AC91" s="255"/>
      <c r="AD91" s="255"/>
      <c r="AE91" s="255"/>
      <c r="AF91" s="255"/>
      <c r="AG91" s="255"/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5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64"/>
      <c r="BY91" s="291">
        <f t="shared" si="27"/>
        <v>0</v>
      </c>
      <c r="BZ91" s="771"/>
      <c r="CA91" s="226"/>
      <c r="CB91" s="226"/>
      <c r="CC91" s="226"/>
    </row>
    <row r="92" spans="1:81" outlineLevel="1">
      <c r="A92" s="603"/>
      <c r="B92" s="787"/>
      <c r="C92" s="292" t="s">
        <v>330</v>
      </c>
      <c r="D92" s="254" t="s">
        <v>270</v>
      </c>
      <c r="E92" s="255"/>
      <c r="F92" s="255"/>
      <c r="G92" s="255"/>
      <c r="H92" s="255"/>
      <c r="I92" s="255"/>
      <c r="J92" s="255"/>
      <c r="K92" s="255"/>
      <c r="L92" s="255"/>
      <c r="M92" s="255"/>
      <c r="N92" s="255"/>
      <c r="O92" s="255"/>
      <c r="P92" s="255"/>
      <c r="Q92" s="255"/>
      <c r="R92" s="255"/>
      <c r="S92" s="255"/>
      <c r="T92" s="255"/>
      <c r="U92" s="255"/>
      <c r="V92" s="255"/>
      <c r="W92" s="255"/>
      <c r="X92" s="255"/>
      <c r="Y92" s="255"/>
      <c r="Z92" s="255"/>
      <c r="AA92" s="255"/>
      <c r="AB92" s="255"/>
      <c r="AC92" s="255"/>
      <c r="AD92" s="255"/>
      <c r="AE92" s="255"/>
      <c r="AF92" s="255"/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91">
        <f t="shared" si="27"/>
        <v>0</v>
      </c>
      <c r="BZ92" s="771"/>
      <c r="CA92" s="226"/>
      <c r="CB92" s="226"/>
      <c r="CC92" s="226"/>
    </row>
    <row r="93" spans="1:81" outlineLevel="1">
      <c r="A93" s="603"/>
      <c r="B93" s="787"/>
      <c r="C93" s="253" t="s">
        <v>331</v>
      </c>
      <c r="D93" s="254" t="s">
        <v>270</v>
      </c>
      <c r="E93" s="255"/>
      <c r="F93" s="255"/>
      <c r="G93" s="255"/>
      <c r="H93" s="255"/>
      <c r="I93" s="255"/>
      <c r="J93" s="255"/>
      <c r="K93" s="255"/>
      <c r="L93" s="255"/>
      <c r="M93" s="255"/>
      <c r="N93" s="255"/>
      <c r="O93" s="255"/>
      <c r="P93" s="255"/>
      <c r="Q93" s="255"/>
      <c r="R93" s="255"/>
      <c r="S93" s="255"/>
      <c r="T93" s="255"/>
      <c r="U93" s="255"/>
      <c r="V93" s="255"/>
      <c r="W93" s="255"/>
      <c r="X93" s="255"/>
      <c r="Y93" s="255"/>
      <c r="Z93" s="255"/>
      <c r="AA93" s="255"/>
      <c r="AB93" s="255"/>
      <c r="AC93" s="255"/>
      <c r="AD93" s="255"/>
      <c r="AE93" s="255"/>
      <c r="AF93" s="255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6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91">
        <f t="shared" si="27"/>
        <v>0</v>
      </c>
      <c r="BZ93" s="771"/>
      <c r="CA93" s="226"/>
      <c r="CB93" s="226"/>
      <c r="CC93" s="226"/>
    </row>
    <row r="94" spans="1:81" outlineLevel="1">
      <c r="A94" s="603"/>
      <c r="B94" s="787"/>
      <c r="C94" s="253" t="s">
        <v>624</v>
      </c>
      <c r="D94" s="254" t="s">
        <v>270</v>
      </c>
      <c r="E94" s="255"/>
      <c r="F94" s="255"/>
      <c r="G94" s="255"/>
      <c r="H94" s="255"/>
      <c r="I94" s="255"/>
      <c r="J94" s="255"/>
      <c r="K94" s="255"/>
      <c r="L94" s="255"/>
      <c r="M94" s="255"/>
      <c r="N94" s="255"/>
      <c r="O94" s="255"/>
      <c r="P94" s="255"/>
      <c r="Q94" s="255"/>
      <c r="R94" s="255"/>
      <c r="S94" s="255"/>
      <c r="T94" s="255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6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98">
        <f t="shared" si="27"/>
        <v>0</v>
      </c>
      <c r="BZ94" s="771"/>
      <c r="CA94" s="226"/>
      <c r="CB94" s="226"/>
      <c r="CC94" s="226"/>
    </row>
    <row r="95" spans="1:81" outlineLevel="1">
      <c r="A95" s="603"/>
      <c r="B95" s="781"/>
      <c r="C95" s="284" t="s">
        <v>333</v>
      </c>
      <c r="D95" s="299" t="s">
        <v>270</v>
      </c>
      <c r="E95" s="286"/>
      <c r="F95" s="286"/>
      <c r="G95" s="286"/>
      <c r="H95" s="286"/>
      <c r="I95" s="286"/>
      <c r="J95" s="286"/>
      <c r="K95" s="286"/>
      <c r="L95" s="286"/>
      <c r="M95" s="286"/>
      <c r="N95" s="286"/>
      <c r="O95" s="286"/>
      <c r="P95" s="286"/>
      <c r="Q95" s="286">
        <f t="shared" ref="Q95:S95" si="28">PMT($D$60/12,25*12,$BY11)-Q60</f>
        <v>-60405.454753502156</v>
      </c>
      <c r="R95" s="286">
        <f t="shared" si="28"/>
        <v>-60405.454753502156</v>
      </c>
      <c r="S95" s="286">
        <f t="shared" si="28"/>
        <v>-60405.454753502156</v>
      </c>
      <c r="T95" s="286">
        <f>-BY11-SUM(P95:S95)</f>
        <v>-48751532.63573949</v>
      </c>
      <c r="U95" s="286"/>
      <c r="V95" s="286"/>
      <c r="W95" s="286"/>
      <c r="X95" s="286"/>
      <c r="Y95" s="286"/>
      <c r="Z95" s="286"/>
      <c r="AA95" s="286"/>
      <c r="AB95" s="286"/>
      <c r="AC95" s="286"/>
      <c r="AD95" s="286"/>
      <c r="AE95" s="286"/>
      <c r="AF95" s="286"/>
      <c r="AG95" s="286"/>
      <c r="AH95" s="286"/>
      <c r="AI95" s="286"/>
      <c r="AJ95" s="286"/>
      <c r="AK95" s="286"/>
      <c r="AL95" s="286"/>
      <c r="AM95" s="286"/>
      <c r="AN95" s="286"/>
      <c r="AO95" s="286"/>
      <c r="AP95" s="286"/>
      <c r="AQ95" s="286"/>
      <c r="AR95" s="286"/>
      <c r="AS95" s="286"/>
      <c r="AT95" s="286"/>
      <c r="AU95" s="286"/>
      <c r="AV95" s="286"/>
      <c r="AW95" s="286"/>
      <c r="AX95" s="286"/>
      <c r="AY95" s="286"/>
      <c r="AZ95" s="286"/>
      <c r="BA95" s="286"/>
      <c r="BB95" s="286"/>
      <c r="BC95" s="286"/>
      <c r="BD95" s="286"/>
      <c r="BE95" s="286"/>
      <c r="BF95" s="286"/>
      <c r="BG95" s="286"/>
      <c r="BH95" s="286"/>
      <c r="BI95" s="286"/>
      <c r="BJ95" s="286"/>
      <c r="BK95" s="286"/>
      <c r="BL95" s="286"/>
      <c r="BM95" s="286"/>
      <c r="BN95" s="286"/>
      <c r="BO95" s="286"/>
      <c r="BP95" s="286"/>
      <c r="BQ95" s="286"/>
      <c r="BR95" s="286"/>
      <c r="BS95" s="286"/>
      <c r="BT95" s="286"/>
      <c r="BU95" s="286"/>
      <c r="BV95" s="286"/>
      <c r="BW95" s="286"/>
      <c r="BX95" s="288"/>
      <c r="BY95" s="268">
        <f t="shared" si="27"/>
        <v>-48932749</v>
      </c>
      <c r="BZ95" s="776"/>
      <c r="CA95" s="226"/>
      <c r="CB95" s="226"/>
      <c r="CC95" s="226"/>
    </row>
    <row r="96" spans="1:81" ht="16">
      <c r="A96" s="603"/>
      <c r="B96" s="790" t="s">
        <v>334</v>
      </c>
      <c r="C96" s="774"/>
      <c r="D96" s="300" t="s">
        <v>270</v>
      </c>
      <c r="E96" s="301">
        <f t="shared" ref="E96:BX96" si="29">(E17+E23+E26+E34+E37+E47+E53+E61+E85+E88)</f>
        <v>0</v>
      </c>
      <c r="F96" s="301">
        <f t="shared" si="29"/>
        <v>0</v>
      </c>
      <c r="G96" s="301">
        <f t="shared" si="29"/>
        <v>0</v>
      </c>
      <c r="H96" s="301">
        <f t="shared" si="29"/>
        <v>-10737799.354999999</v>
      </c>
      <c r="I96" s="301">
        <f t="shared" si="29"/>
        <v>-1867696.1950000001</v>
      </c>
      <c r="J96" s="301">
        <f t="shared" si="29"/>
        <v>-2715421.6865833336</v>
      </c>
      <c r="K96" s="301">
        <f t="shared" si="29"/>
        <v>-7818440.3895833334</v>
      </c>
      <c r="L96" s="301">
        <f t="shared" si="29"/>
        <v>-8263079.5795833329</v>
      </c>
      <c r="M96" s="301">
        <f t="shared" si="29"/>
        <v>-21622023.912916664</v>
      </c>
      <c r="N96" s="301">
        <f t="shared" si="29"/>
        <v>-9368207.9129166678</v>
      </c>
      <c r="O96" s="301">
        <f t="shared" si="29"/>
        <v>-9718322.2819166686</v>
      </c>
      <c r="P96" s="301">
        <f t="shared" si="29"/>
        <v>-6526274.1195833329</v>
      </c>
      <c r="Q96" s="301">
        <f t="shared" si="29"/>
        <v>-487570.95267016883</v>
      </c>
      <c r="R96" s="301">
        <f t="shared" si="29"/>
        <v>-487570.95267016883</v>
      </c>
      <c r="S96" s="301">
        <f t="shared" si="29"/>
        <v>-487570.95267016883</v>
      </c>
      <c r="T96" s="301" t="e">
        <f t="shared" si="29"/>
        <v>#REF!</v>
      </c>
      <c r="U96" s="301">
        <f t="shared" si="29"/>
        <v>0</v>
      </c>
      <c r="V96" s="301">
        <f t="shared" si="29"/>
        <v>0</v>
      </c>
      <c r="W96" s="301">
        <f t="shared" si="29"/>
        <v>0</v>
      </c>
      <c r="X96" s="301">
        <f t="shared" si="29"/>
        <v>0</v>
      </c>
      <c r="Y96" s="301">
        <f t="shared" si="29"/>
        <v>0</v>
      </c>
      <c r="Z96" s="301">
        <f t="shared" si="29"/>
        <v>0</v>
      </c>
      <c r="AA96" s="301">
        <f t="shared" si="29"/>
        <v>0</v>
      </c>
      <c r="AB96" s="301">
        <f t="shared" si="29"/>
        <v>0</v>
      </c>
      <c r="AC96" s="301">
        <f t="shared" si="29"/>
        <v>0</v>
      </c>
      <c r="AD96" s="301">
        <f t="shared" si="29"/>
        <v>0</v>
      </c>
      <c r="AE96" s="301">
        <f t="shared" si="29"/>
        <v>0</v>
      </c>
      <c r="AF96" s="301">
        <f t="shared" si="29"/>
        <v>0</v>
      </c>
      <c r="AG96" s="301">
        <f t="shared" si="29"/>
        <v>0</v>
      </c>
      <c r="AH96" s="301">
        <f t="shared" si="29"/>
        <v>0</v>
      </c>
      <c r="AI96" s="301">
        <f t="shared" si="29"/>
        <v>0</v>
      </c>
      <c r="AJ96" s="301">
        <f t="shared" si="29"/>
        <v>0</v>
      </c>
      <c r="AK96" s="301">
        <f t="shared" si="29"/>
        <v>0</v>
      </c>
      <c r="AL96" s="301">
        <f t="shared" si="29"/>
        <v>0</v>
      </c>
      <c r="AM96" s="301">
        <f t="shared" si="29"/>
        <v>0</v>
      </c>
      <c r="AN96" s="301">
        <f t="shared" si="29"/>
        <v>0</v>
      </c>
      <c r="AO96" s="301">
        <f t="shared" si="29"/>
        <v>0</v>
      </c>
      <c r="AP96" s="301">
        <f t="shared" si="29"/>
        <v>0</v>
      </c>
      <c r="AQ96" s="301">
        <f t="shared" si="29"/>
        <v>0</v>
      </c>
      <c r="AR96" s="301">
        <f t="shared" si="29"/>
        <v>0</v>
      </c>
      <c r="AS96" s="301">
        <f t="shared" si="29"/>
        <v>0</v>
      </c>
      <c r="AT96" s="301">
        <f t="shared" si="29"/>
        <v>0</v>
      </c>
      <c r="AU96" s="301">
        <f t="shared" si="29"/>
        <v>0</v>
      </c>
      <c r="AV96" s="301">
        <f t="shared" si="29"/>
        <v>0</v>
      </c>
      <c r="AW96" s="301">
        <f t="shared" si="29"/>
        <v>0</v>
      </c>
      <c r="AX96" s="301">
        <f t="shared" si="29"/>
        <v>0</v>
      </c>
      <c r="AY96" s="301">
        <f t="shared" si="29"/>
        <v>0</v>
      </c>
      <c r="AZ96" s="301">
        <f t="shared" si="29"/>
        <v>0</v>
      </c>
      <c r="BA96" s="301">
        <f t="shared" si="29"/>
        <v>0</v>
      </c>
      <c r="BB96" s="301">
        <f t="shared" si="29"/>
        <v>0</v>
      </c>
      <c r="BC96" s="301">
        <f t="shared" si="29"/>
        <v>0</v>
      </c>
      <c r="BD96" s="301">
        <f t="shared" si="29"/>
        <v>0</v>
      </c>
      <c r="BE96" s="301">
        <f t="shared" si="29"/>
        <v>0</v>
      </c>
      <c r="BF96" s="301">
        <f t="shared" si="29"/>
        <v>0</v>
      </c>
      <c r="BG96" s="301">
        <f t="shared" si="29"/>
        <v>0</v>
      </c>
      <c r="BH96" s="301">
        <f t="shared" si="29"/>
        <v>0</v>
      </c>
      <c r="BI96" s="301">
        <f t="shared" si="29"/>
        <v>0</v>
      </c>
      <c r="BJ96" s="301">
        <f t="shared" si="29"/>
        <v>0</v>
      </c>
      <c r="BK96" s="301">
        <f t="shared" si="29"/>
        <v>0</v>
      </c>
      <c r="BL96" s="301">
        <f t="shared" si="29"/>
        <v>0</v>
      </c>
      <c r="BM96" s="301">
        <f t="shared" si="29"/>
        <v>0</v>
      </c>
      <c r="BN96" s="301">
        <f t="shared" si="29"/>
        <v>0</v>
      </c>
      <c r="BO96" s="301">
        <f t="shared" si="29"/>
        <v>0</v>
      </c>
      <c r="BP96" s="301">
        <f t="shared" si="29"/>
        <v>0</v>
      </c>
      <c r="BQ96" s="301">
        <f t="shared" si="29"/>
        <v>0</v>
      </c>
      <c r="BR96" s="301">
        <f t="shared" si="29"/>
        <v>0</v>
      </c>
      <c r="BS96" s="301">
        <f t="shared" si="29"/>
        <v>0</v>
      </c>
      <c r="BT96" s="301">
        <f t="shared" si="29"/>
        <v>0</v>
      </c>
      <c r="BU96" s="301">
        <f t="shared" si="29"/>
        <v>0</v>
      </c>
      <c r="BV96" s="301">
        <f t="shared" si="29"/>
        <v>0</v>
      </c>
      <c r="BW96" s="301">
        <f t="shared" si="29"/>
        <v>0</v>
      </c>
      <c r="BX96" s="301">
        <f t="shared" si="29"/>
        <v>0</v>
      </c>
      <c r="BY96" s="780">
        <f>BZ89</f>
        <v>-73168418</v>
      </c>
      <c r="BZ96" s="781"/>
      <c r="CA96" s="226"/>
      <c r="CB96" s="226"/>
      <c r="CC96" s="226"/>
    </row>
    <row r="97" spans="1:81" ht="16">
      <c r="A97" s="603"/>
      <c r="B97" s="791" t="s">
        <v>335</v>
      </c>
      <c r="C97" s="774"/>
      <c r="D97" s="307"/>
      <c r="E97" s="303">
        <f t="shared" ref="E97:BX97" si="30">E16+E96</f>
        <v>0</v>
      </c>
      <c r="F97" s="303">
        <f t="shared" si="30"/>
        <v>0</v>
      </c>
      <c r="G97" s="303">
        <f t="shared" si="30"/>
        <v>0</v>
      </c>
      <c r="H97" s="303">
        <f t="shared" si="30"/>
        <v>5627202.6450000014</v>
      </c>
      <c r="I97" s="303">
        <f t="shared" si="30"/>
        <v>-1861469.1950000001</v>
      </c>
      <c r="J97" s="303">
        <f t="shared" si="30"/>
        <v>5174895.9679621207</v>
      </c>
      <c r="K97" s="303">
        <f t="shared" si="30"/>
        <v>-7682895.8028064743</v>
      </c>
      <c r="L97" s="303">
        <f t="shared" si="30"/>
        <v>-1632457.0836577127</v>
      </c>
      <c r="M97" s="304">
        <f t="shared" si="30"/>
        <v>661975.15129821375</v>
      </c>
      <c r="N97" s="303">
        <f t="shared" si="30"/>
        <v>-389666.09671832062</v>
      </c>
      <c r="O97" s="304">
        <f t="shared" si="30"/>
        <v>8686219.5342816804</v>
      </c>
      <c r="P97" s="304">
        <f t="shared" si="30"/>
        <v>-6253565.3033849858</v>
      </c>
      <c r="Q97" s="304">
        <f t="shared" si="30"/>
        <v>239528.38392817799</v>
      </c>
      <c r="R97" s="304">
        <f t="shared" si="30"/>
        <v>86630.702205864014</v>
      </c>
      <c r="S97" s="304">
        <f t="shared" si="30"/>
        <v>27110.393528178043</v>
      </c>
      <c r="T97" s="304" t="e">
        <f t="shared" si="30"/>
        <v>#REF!</v>
      </c>
      <c r="U97" s="303">
        <f t="shared" si="30"/>
        <v>0</v>
      </c>
      <c r="V97" s="303">
        <f t="shared" si="30"/>
        <v>0</v>
      </c>
      <c r="W97" s="303">
        <f t="shared" si="30"/>
        <v>0</v>
      </c>
      <c r="X97" s="304">
        <f t="shared" si="30"/>
        <v>0</v>
      </c>
      <c r="Y97" s="304">
        <f t="shared" si="30"/>
        <v>0</v>
      </c>
      <c r="Z97" s="304">
        <f t="shared" si="30"/>
        <v>0</v>
      </c>
      <c r="AA97" s="304">
        <f t="shared" si="30"/>
        <v>0</v>
      </c>
      <c r="AB97" s="304">
        <f t="shared" si="30"/>
        <v>0</v>
      </c>
      <c r="AC97" s="303">
        <f t="shared" si="30"/>
        <v>0</v>
      </c>
      <c r="AD97" s="304">
        <f t="shared" si="30"/>
        <v>0</v>
      </c>
      <c r="AE97" s="304">
        <f t="shared" si="30"/>
        <v>0</v>
      </c>
      <c r="AF97" s="304">
        <f t="shared" si="30"/>
        <v>0</v>
      </c>
      <c r="AG97" s="304">
        <f t="shared" si="30"/>
        <v>0</v>
      </c>
      <c r="AH97" s="304">
        <f t="shared" si="30"/>
        <v>0</v>
      </c>
      <c r="AI97" s="304">
        <f t="shared" si="30"/>
        <v>0</v>
      </c>
      <c r="AJ97" s="304">
        <f t="shared" si="30"/>
        <v>0</v>
      </c>
      <c r="AK97" s="304">
        <f t="shared" si="30"/>
        <v>0</v>
      </c>
      <c r="AL97" s="304">
        <f t="shared" si="30"/>
        <v>0</v>
      </c>
      <c r="AM97" s="304">
        <f t="shared" si="30"/>
        <v>0</v>
      </c>
      <c r="AN97" s="304">
        <f t="shared" si="30"/>
        <v>0</v>
      </c>
      <c r="AO97" s="303">
        <f t="shared" si="30"/>
        <v>0</v>
      </c>
      <c r="AP97" s="304">
        <f t="shared" si="30"/>
        <v>0</v>
      </c>
      <c r="AQ97" s="304">
        <f t="shared" si="30"/>
        <v>0</v>
      </c>
      <c r="AR97" s="304">
        <f t="shared" si="30"/>
        <v>0</v>
      </c>
      <c r="AS97" s="303">
        <f t="shared" si="30"/>
        <v>0</v>
      </c>
      <c r="AT97" s="303">
        <f t="shared" si="30"/>
        <v>0</v>
      </c>
      <c r="AU97" s="303">
        <f t="shared" si="30"/>
        <v>0</v>
      </c>
      <c r="AV97" s="303">
        <f t="shared" si="30"/>
        <v>0</v>
      </c>
      <c r="AW97" s="303">
        <f t="shared" si="30"/>
        <v>0</v>
      </c>
      <c r="AX97" s="303">
        <f t="shared" si="30"/>
        <v>0</v>
      </c>
      <c r="AY97" s="303">
        <f t="shared" si="30"/>
        <v>0</v>
      </c>
      <c r="AZ97" s="303">
        <f t="shared" si="30"/>
        <v>0</v>
      </c>
      <c r="BA97" s="303">
        <f t="shared" si="30"/>
        <v>0</v>
      </c>
      <c r="BB97" s="303">
        <f t="shared" si="30"/>
        <v>0</v>
      </c>
      <c r="BC97" s="303">
        <f t="shared" si="30"/>
        <v>0</v>
      </c>
      <c r="BD97" s="303">
        <f t="shared" si="30"/>
        <v>0</v>
      </c>
      <c r="BE97" s="303">
        <f t="shared" si="30"/>
        <v>0</v>
      </c>
      <c r="BF97" s="303">
        <f t="shared" si="30"/>
        <v>0</v>
      </c>
      <c r="BG97" s="303">
        <f t="shared" si="30"/>
        <v>0</v>
      </c>
      <c r="BH97" s="303">
        <f t="shared" si="30"/>
        <v>0</v>
      </c>
      <c r="BI97" s="303">
        <f t="shared" si="30"/>
        <v>0</v>
      </c>
      <c r="BJ97" s="303">
        <f t="shared" si="30"/>
        <v>0</v>
      </c>
      <c r="BK97" s="303">
        <f t="shared" si="30"/>
        <v>0</v>
      </c>
      <c r="BL97" s="308">
        <f t="shared" si="30"/>
        <v>0</v>
      </c>
      <c r="BM97" s="308">
        <f t="shared" si="30"/>
        <v>0</v>
      </c>
      <c r="BN97" s="308">
        <f t="shared" si="30"/>
        <v>0</v>
      </c>
      <c r="BO97" s="308">
        <f t="shared" si="30"/>
        <v>0</v>
      </c>
      <c r="BP97" s="308">
        <f t="shared" si="30"/>
        <v>0</v>
      </c>
      <c r="BQ97" s="308">
        <f t="shared" si="30"/>
        <v>0</v>
      </c>
      <c r="BR97" s="308">
        <f t="shared" si="30"/>
        <v>0</v>
      </c>
      <c r="BS97" s="308">
        <f t="shared" si="30"/>
        <v>0</v>
      </c>
      <c r="BT97" s="308">
        <f t="shared" si="30"/>
        <v>0</v>
      </c>
      <c r="BU97" s="308">
        <f t="shared" si="30"/>
        <v>0</v>
      </c>
      <c r="BV97" s="308">
        <f t="shared" si="30"/>
        <v>0</v>
      </c>
      <c r="BW97" s="308">
        <f t="shared" si="30"/>
        <v>0</v>
      </c>
      <c r="BX97" s="308">
        <f t="shared" si="30"/>
        <v>0</v>
      </c>
      <c r="BY97" s="782" t="e">
        <f>BY16+BY88+BY96</f>
        <v>#REF!</v>
      </c>
      <c r="BZ97" s="783"/>
      <c r="CA97" s="226"/>
      <c r="CB97" s="226"/>
      <c r="CC97" s="226"/>
    </row>
    <row r="98" spans="1:81">
      <c r="A98" s="603"/>
      <c r="B98" s="792" t="s">
        <v>336</v>
      </c>
      <c r="C98" s="774"/>
      <c r="D98" s="309"/>
      <c r="E98" s="310">
        <f>E97</f>
        <v>0</v>
      </c>
      <c r="F98" s="310">
        <f>F97+E98</f>
        <v>0</v>
      </c>
      <c r="G98" s="310">
        <f>655760.63+24.98*24.5-16.85*22</f>
        <v>656001.94000000006</v>
      </c>
      <c r="H98" s="310">
        <f>H97+G98-66</f>
        <v>6283138.5850000018</v>
      </c>
      <c r="I98" s="310">
        <f t="shared" ref="I98:BX98" si="31">I97+H98</f>
        <v>4421669.3900000015</v>
      </c>
      <c r="J98" s="310">
        <f t="shared" si="31"/>
        <v>9596565.3579621222</v>
      </c>
      <c r="K98" s="310">
        <f t="shared" si="31"/>
        <v>1913669.5551556479</v>
      </c>
      <c r="L98" s="310">
        <f t="shared" si="31"/>
        <v>281212.47149793524</v>
      </c>
      <c r="M98" s="310">
        <f t="shared" si="31"/>
        <v>943187.62279614899</v>
      </c>
      <c r="N98" s="310">
        <f t="shared" si="31"/>
        <v>553521.52607782837</v>
      </c>
      <c r="O98" s="310">
        <f t="shared" si="31"/>
        <v>9239741.0603595078</v>
      </c>
      <c r="P98" s="310">
        <f t="shared" si="31"/>
        <v>2986175.756974522</v>
      </c>
      <c r="Q98" s="310">
        <f t="shared" si="31"/>
        <v>3225704.1409026999</v>
      </c>
      <c r="R98" s="310">
        <f t="shared" si="31"/>
        <v>3312334.8431085637</v>
      </c>
      <c r="S98" s="310">
        <f t="shared" si="31"/>
        <v>3339445.2366367416</v>
      </c>
      <c r="T98" s="310" t="e">
        <f t="shared" si="31"/>
        <v>#REF!</v>
      </c>
      <c r="U98" s="310" t="e">
        <f t="shared" si="31"/>
        <v>#REF!</v>
      </c>
      <c r="V98" s="310" t="e">
        <f t="shared" si="31"/>
        <v>#REF!</v>
      </c>
      <c r="W98" s="310" t="e">
        <f t="shared" si="31"/>
        <v>#REF!</v>
      </c>
      <c r="X98" s="310" t="e">
        <f t="shared" si="31"/>
        <v>#REF!</v>
      </c>
      <c r="Y98" s="310" t="e">
        <f t="shared" si="31"/>
        <v>#REF!</v>
      </c>
      <c r="Z98" s="310" t="e">
        <f t="shared" si="31"/>
        <v>#REF!</v>
      </c>
      <c r="AA98" s="310" t="e">
        <f t="shared" si="31"/>
        <v>#REF!</v>
      </c>
      <c r="AB98" s="310" t="e">
        <f t="shared" si="31"/>
        <v>#REF!</v>
      </c>
      <c r="AC98" s="310" t="e">
        <f t="shared" si="31"/>
        <v>#REF!</v>
      </c>
      <c r="AD98" s="310" t="e">
        <f t="shared" si="31"/>
        <v>#REF!</v>
      </c>
      <c r="AE98" s="310" t="e">
        <f t="shared" si="31"/>
        <v>#REF!</v>
      </c>
      <c r="AF98" s="310" t="e">
        <f t="shared" si="31"/>
        <v>#REF!</v>
      </c>
      <c r="AG98" s="310" t="e">
        <f t="shared" si="31"/>
        <v>#REF!</v>
      </c>
      <c r="AH98" s="310" t="e">
        <f t="shared" si="31"/>
        <v>#REF!</v>
      </c>
      <c r="AI98" s="310" t="e">
        <f t="shared" si="31"/>
        <v>#REF!</v>
      </c>
      <c r="AJ98" s="310" t="e">
        <f t="shared" si="31"/>
        <v>#REF!</v>
      </c>
      <c r="AK98" s="310" t="e">
        <f t="shared" si="31"/>
        <v>#REF!</v>
      </c>
      <c r="AL98" s="310" t="e">
        <f t="shared" si="31"/>
        <v>#REF!</v>
      </c>
      <c r="AM98" s="310" t="e">
        <f t="shared" si="31"/>
        <v>#REF!</v>
      </c>
      <c r="AN98" s="310" t="e">
        <f t="shared" si="31"/>
        <v>#REF!</v>
      </c>
      <c r="AO98" s="310" t="e">
        <f t="shared" si="31"/>
        <v>#REF!</v>
      </c>
      <c r="AP98" s="310" t="e">
        <f t="shared" si="31"/>
        <v>#REF!</v>
      </c>
      <c r="AQ98" s="310" t="e">
        <f t="shared" si="31"/>
        <v>#REF!</v>
      </c>
      <c r="AR98" s="310" t="e">
        <f t="shared" si="31"/>
        <v>#REF!</v>
      </c>
      <c r="AS98" s="310" t="e">
        <f t="shared" si="31"/>
        <v>#REF!</v>
      </c>
      <c r="AT98" s="310" t="e">
        <f t="shared" si="31"/>
        <v>#REF!</v>
      </c>
      <c r="AU98" s="310" t="e">
        <f t="shared" si="31"/>
        <v>#REF!</v>
      </c>
      <c r="AV98" s="310" t="e">
        <f t="shared" si="31"/>
        <v>#REF!</v>
      </c>
      <c r="AW98" s="310" t="e">
        <f t="shared" si="31"/>
        <v>#REF!</v>
      </c>
      <c r="AX98" s="310" t="e">
        <f t="shared" si="31"/>
        <v>#REF!</v>
      </c>
      <c r="AY98" s="310" t="e">
        <f t="shared" si="31"/>
        <v>#REF!</v>
      </c>
      <c r="AZ98" s="310" t="e">
        <f t="shared" si="31"/>
        <v>#REF!</v>
      </c>
      <c r="BA98" s="310" t="e">
        <f t="shared" si="31"/>
        <v>#REF!</v>
      </c>
      <c r="BB98" s="310" t="e">
        <f t="shared" si="31"/>
        <v>#REF!</v>
      </c>
      <c r="BC98" s="310" t="e">
        <f t="shared" si="31"/>
        <v>#REF!</v>
      </c>
      <c r="BD98" s="310" t="e">
        <f t="shared" si="31"/>
        <v>#REF!</v>
      </c>
      <c r="BE98" s="310" t="e">
        <f t="shared" si="31"/>
        <v>#REF!</v>
      </c>
      <c r="BF98" s="310" t="e">
        <f t="shared" si="31"/>
        <v>#REF!</v>
      </c>
      <c r="BG98" s="310" t="e">
        <f t="shared" si="31"/>
        <v>#REF!</v>
      </c>
      <c r="BH98" s="310" t="e">
        <f t="shared" si="31"/>
        <v>#REF!</v>
      </c>
      <c r="BI98" s="310" t="e">
        <f t="shared" si="31"/>
        <v>#REF!</v>
      </c>
      <c r="BJ98" s="310" t="e">
        <f t="shared" si="31"/>
        <v>#REF!</v>
      </c>
      <c r="BK98" s="310" t="e">
        <f t="shared" si="31"/>
        <v>#REF!</v>
      </c>
      <c r="BL98" s="310" t="e">
        <f t="shared" si="31"/>
        <v>#REF!</v>
      </c>
      <c r="BM98" s="310" t="e">
        <f t="shared" si="31"/>
        <v>#REF!</v>
      </c>
      <c r="BN98" s="310" t="e">
        <f t="shared" si="31"/>
        <v>#REF!</v>
      </c>
      <c r="BO98" s="310" t="e">
        <f t="shared" si="31"/>
        <v>#REF!</v>
      </c>
      <c r="BP98" s="310" t="e">
        <f t="shared" si="31"/>
        <v>#REF!</v>
      </c>
      <c r="BQ98" s="310" t="e">
        <f t="shared" si="31"/>
        <v>#REF!</v>
      </c>
      <c r="BR98" s="310" t="e">
        <f t="shared" si="31"/>
        <v>#REF!</v>
      </c>
      <c r="BS98" s="310" t="e">
        <f t="shared" si="31"/>
        <v>#REF!</v>
      </c>
      <c r="BT98" s="310" t="e">
        <f t="shared" si="31"/>
        <v>#REF!</v>
      </c>
      <c r="BU98" s="310" t="e">
        <f t="shared" si="31"/>
        <v>#REF!</v>
      </c>
      <c r="BV98" s="310" t="e">
        <f t="shared" si="31"/>
        <v>#REF!</v>
      </c>
      <c r="BW98" s="310" t="e">
        <f t="shared" si="31"/>
        <v>#REF!</v>
      </c>
      <c r="BX98" s="310" t="e">
        <f t="shared" si="31"/>
        <v>#REF!</v>
      </c>
      <c r="BY98" s="226"/>
      <c r="BZ98" s="226"/>
      <c r="CA98" s="226"/>
      <c r="CB98" s="226"/>
      <c r="CC98" s="226"/>
    </row>
    <row r="99" spans="1:81">
      <c r="A99" s="226"/>
      <c r="B99" s="226"/>
      <c r="C99" s="226"/>
      <c r="D99" s="226"/>
      <c r="E99" s="226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26"/>
      <c r="Z99" s="226"/>
      <c r="AA99" s="226"/>
      <c r="AB99" s="226"/>
      <c r="AC99" s="226"/>
      <c r="AD99" s="226"/>
      <c r="AE99" s="226"/>
      <c r="AF99" s="226"/>
      <c r="AG99" s="226"/>
      <c r="AH99" s="226"/>
      <c r="AI99" s="226"/>
      <c r="AJ99" s="226"/>
      <c r="AK99" s="226"/>
      <c r="AL99" s="226"/>
      <c r="AM99" s="226"/>
      <c r="AN99" s="226"/>
      <c r="AO99" s="226"/>
      <c r="AP99" s="226"/>
      <c r="AQ99" s="226"/>
      <c r="AR99" s="226"/>
      <c r="AS99" s="226"/>
      <c r="AT99" s="226"/>
      <c r="AU99" s="226"/>
      <c r="AV99" s="226"/>
      <c r="AW99" s="226"/>
      <c r="AX99" s="226"/>
      <c r="AY99" s="226"/>
      <c r="AZ99" s="226"/>
      <c r="BA99" s="226"/>
      <c r="BB99" s="226"/>
      <c r="BC99" s="226"/>
      <c r="BD99" s="226"/>
      <c r="BE99" s="226"/>
      <c r="BF99" s="226"/>
      <c r="BG99" s="226"/>
      <c r="BH99" s="226"/>
      <c r="BI99" s="226"/>
      <c r="BJ99" s="226"/>
      <c r="BK99" s="226"/>
      <c r="BL99" s="226"/>
      <c r="BM99" s="226"/>
      <c r="BN99" s="226"/>
      <c r="BO99" s="226"/>
      <c r="BP99" s="226"/>
      <c r="BQ99" s="226"/>
      <c r="BR99" s="226"/>
      <c r="BS99" s="226"/>
      <c r="BT99" s="226"/>
      <c r="BU99" s="226"/>
      <c r="BV99" s="226"/>
      <c r="BW99" s="226"/>
      <c r="BX99" s="226"/>
      <c r="BY99" s="311"/>
      <c r="BZ99" s="226" t="e">
        <f>T98-8333333</f>
        <v>#REF!</v>
      </c>
      <c r="CA99" s="226"/>
      <c r="CB99" s="226"/>
      <c r="CC99" s="226"/>
    </row>
    <row r="100" spans="1:81" hidden="1">
      <c r="A100" s="226"/>
      <c r="B100" s="226"/>
      <c r="C100" s="226"/>
      <c r="D100" s="312" t="s">
        <v>337</v>
      </c>
      <c r="E100" s="312"/>
      <c r="F100" s="312"/>
      <c r="G100" s="312"/>
      <c r="H100" s="312"/>
      <c r="I100" s="312"/>
      <c r="J100" s="312"/>
      <c r="K100" s="312"/>
      <c r="L100" s="312"/>
      <c r="M100" s="312"/>
      <c r="N100" s="312"/>
      <c r="O100" s="312"/>
      <c r="P100" s="312"/>
      <c r="Q100" s="312"/>
      <c r="R100" s="312"/>
      <c r="S100" s="312"/>
      <c r="T100" s="312"/>
      <c r="U100" s="312"/>
      <c r="V100" s="313"/>
      <c r="W100" s="313"/>
      <c r="X100" s="313"/>
      <c r="Y100" s="313"/>
      <c r="Z100" s="313"/>
      <c r="AA100" s="313"/>
      <c r="AB100" s="313"/>
      <c r="AC100" s="313"/>
      <c r="AD100" s="313"/>
      <c r="AE100" s="313"/>
      <c r="AF100" s="313"/>
      <c r="AG100" s="313"/>
      <c r="AH100" s="313"/>
      <c r="AI100" s="313"/>
      <c r="AJ100" s="313"/>
      <c r="AK100" s="313"/>
      <c r="AL100" s="313"/>
      <c r="AM100" s="313"/>
      <c r="AN100" s="313"/>
      <c r="AO100" s="313"/>
      <c r="AP100" s="313"/>
      <c r="AQ100" s="313"/>
      <c r="AR100" s="313"/>
      <c r="AS100" s="313"/>
      <c r="AT100" s="313"/>
      <c r="AU100" s="313"/>
      <c r="AV100" s="313"/>
      <c r="AW100" s="313"/>
      <c r="AX100" s="313"/>
      <c r="AY100" s="313"/>
      <c r="AZ100" s="313"/>
      <c r="BA100" s="313"/>
      <c r="BB100" s="313"/>
      <c r="BC100" s="313"/>
      <c r="BD100" s="313"/>
      <c r="BE100" s="313"/>
      <c r="BF100" s="313"/>
      <c r="BG100" s="313"/>
      <c r="BH100" s="313"/>
      <c r="BI100" s="313"/>
      <c r="BJ100" s="313"/>
      <c r="BK100" s="313"/>
      <c r="BL100" s="313"/>
      <c r="BM100" s="313"/>
      <c r="BN100" s="313"/>
      <c r="BO100" s="313"/>
      <c r="BP100" s="313"/>
      <c r="BQ100" s="313"/>
      <c r="BR100" s="313"/>
      <c r="BS100" s="313"/>
      <c r="BT100" s="313"/>
      <c r="BU100" s="313"/>
      <c r="BV100" s="313"/>
      <c r="BW100" s="313"/>
      <c r="BX100" s="313"/>
      <c r="BY100" s="311"/>
      <c r="BZ100" s="226"/>
      <c r="CA100" s="226"/>
      <c r="CB100" s="226"/>
      <c r="CC100" s="226"/>
    </row>
    <row r="101" spans="1:81" hidden="1">
      <c r="A101" s="226"/>
      <c r="B101" s="226"/>
      <c r="C101" s="226"/>
      <c r="D101" s="226"/>
      <c r="E101" s="226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6"/>
      <c r="AA101" s="226"/>
      <c r="AB101" s="226"/>
      <c r="AC101" s="226"/>
      <c r="AD101" s="226"/>
      <c r="AE101" s="226"/>
      <c r="AF101" s="226"/>
      <c r="AG101" s="226"/>
      <c r="AH101" s="226"/>
      <c r="AI101" s="226"/>
      <c r="AJ101" s="226"/>
      <c r="AK101" s="226"/>
      <c r="AL101" s="226"/>
      <c r="AM101" s="226"/>
      <c r="AN101" s="226"/>
      <c r="AO101" s="226"/>
      <c r="AP101" s="226"/>
      <c r="AQ101" s="226"/>
      <c r="AR101" s="226"/>
      <c r="AS101" s="226"/>
      <c r="AT101" s="226"/>
      <c r="AU101" s="226"/>
      <c r="AV101" s="226"/>
      <c r="AW101" s="226"/>
      <c r="AX101" s="226"/>
      <c r="AY101" s="226"/>
      <c r="AZ101" s="226"/>
      <c r="BA101" s="226"/>
      <c r="BB101" s="226"/>
      <c r="BC101" s="226"/>
      <c r="BD101" s="226"/>
      <c r="BE101" s="226"/>
      <c r="BF101" s="226"/>
      <c r="BG101" s="226"/>
      <c r="BH101" s="226"/>
      <c r="BI101" s="226"/>
      <c r="BJ101" s="226"/>
      <c r="BK101" s="226"/>
      <c r="BL101" s="226"/>
      <c r="BM101" s="226"/>
      <c r="BN101" s="226"/>
      <c r="BO101" s="226"/>
      <c r="BP101" s="226"/>
      <c r="BQ101" s="226"/>
      <c r="BR101" s="226"/>
      <c r="BS101" s="226"/>
      <c r="BT101" s="226"/>
      <c r="BU101" s="226"/>
      <c r="BV101" s="226"/>
      <c r="BW101" s="226"/>
      <c r="BX101" s="226"/>
      <c r="BY101" s="311"/>
      <c r="BZ101" s="226"/>
      <c r="CA101" s="226"/>
      <c r="CB101" s="226"/>
      <c r="CC101" s="226"/>
    </row>
    <row r="102" spans="1:81" hidden="1">
      <c r="A102" s="226"/>
      <c r="B102" s="226"/>
      <c r="C102" s="314" t="s">
        <v>338</v>
      </c>
      <c r="D102" s="315"/>
      <c r="E102" s="316">
        <f>E110+E128+E160+E176</f>
        <v>0</v>
      </c>
      <c r="F102" s="316">
        <f t="shared" ref="F102:BW102" si="32">F110+F176</f>
        <v>0</v>
      </c>
      <c r="G102" s="316">
        <f t="shared" si="32"/>
        <v>0</v>
      </c>
      <c r="H102" s="316">
        <f t="shared" si="32"/>
        <v>-21706207.5</v>
      </c>
      <c r="I102" s="316">
        <f t="shared" si="32"/>
        <v>0</v>
      </c>
      <c r="J102" s="316">
        <f t="shared" si="32"/>
        <v>-7870667</v>
      </c>
      <c r="K102" s="316">
        <f t="shared" si="32"/>
        <v>0</v>
      </c>
      <c r="L102" s="316">
        <f t="shared" si="32"/>
        <v>0</v>
      </c>
      <c r="M102" s="316">
        <f t="shared" si="32"/>
        <v>0</v>
      </c>
      <c r="N102" s="316">
        <f t="shared" si="32"/>
        <v>0</v>
      </c>
      <c r="O102" s="316">
        <f t="shared" si="32"/>
        <v>0</v>
      </c>
      <c r="P102" s="316">
        <f t="shared" si="32"/>
        <v>0</v>
      </c>
      <c r="Q102" s="316">
        <f t="shared" si="32"/>
        <v>0</v>
      </c>
      <c r="R102" s="316">
        <f t="shared" si="32"/>
        <v>0</v>
      </c>
      <c r="S102" s="316">
        <f t="shared" si="32"/>
        <v>0</v>
      </c>
      <c r="T102" s="316">
        <f t="shared" si="32"/>
        <v>29576874.5</v>
      </c>
      <c r="U102" s="316">
        <f t="shared" si="32"/>
        <v>0</v>
      </c>
      <c r="V102" s="316">
        <f t="shared" si="32"/>
        <v>0</v>
      </c>
      <c r="W102" s="316">
        <f t="shared" si="32"/>
        <v>0</v>
      </c>
      <c r="X102" s="316">
        <f t="shared" si="32"/>
        <v>0</v>
      </c>
      <c r="Y102" s="316">
        <f t="shared" si="32"/>
        <v>0</v>
      </c>
      <c r="Z102" s="316">
        <f t="shared" si="32"/>
        <v>0</v>
      </c>
      <c r="AA102" s="316">
        <f t="shared" si="32"/>
        <v>0</v>
      </c>
      <c r="AB102" s="316">
        <f t="shared" si="32"/>
        <v>0</v>
      </c>
      <c r="AC102" s="316">
        <f t="shared" si="32"/>
        <v>0</v>
      </c>
      <c r="AD102" s="316">
        <f t="shared" si="32"/>
        <v>0</v>
      </c>
      <c r="AE102" s="316">
        <f t="shared" si="32"/>
        <v>0</v>
      </c>
      <c r="AF102" s="316">
        <f t="shared" si="32"/>
        <v>0</v>
      </c>
      <c r="AG102" s="316">
        <f t="shared" si="32"/>
        <v>0</v>
      </c>
      <c r="AH102" s="316">
        <f t="shared" si="32"/>
        <v>0</v>
      </c>
      <c r="AI102" s="316">
        <f t="shared" si="32"/>
        <v>0</v>
      </c>
      <c r="AJ102" s="316">
        <f t="shared" si="32"/>
        <v>0</v>
      </c>
      <c r="AK102" s="316">
        <f t="shared" si="32"/>
        <v>0</v>
      </c>
      <c r="AL102" s="316">
        <f t="shared" si="32"/>
        <v>0</v>
      </c>
      <c r="AM102" s="316">
        <f t="shared" si="32"/>
        <v>0</v>
      </c>
      <c r="AN102" s="316">
        <f t="shared" si="32"/>
        <v>0</v>
      </c>
      <c r="AO102" s="316">
        <f t="shared" si="32"/>
        <v>0</v>
      </c>
      <c r="AP102" s="316">
        <f t="shared" si="32"/>
        <v>0</v>
      </c>
      <c r="AQ102" s="316">
        <f t="shared" si="32"/>
        <v>0</v>
      </c>
      <c r="AR102" s="316">
        <f t="shared" si="32"/>
        <v>0</v>
      </c>
      <c r="AS102" s="316">
        <f t="shared" si="32"/>
        <v>0</v>
      </c>
      <c r="AT102" s="316">
        <f t="shared" si="32"/>
        <v>0</v>
      </c>
      <c r="AU102" s="316">
        <f t="shared" si="32"/>
        <v>0</v>
      </c>
      <c r="AV102" s="316">
        <f t="shared" si="32"/>
        <v>0</v>
      </c>
      <c r="AW102" s="316">
        <f t="shared" si="32"/>
        <v>0</v>
      </c>
      <c r="AX102" s="316">
        <f t="shared" si="32"/>
        <v>0</v>
      </c>
      <c r="AY102" s="316">
        <f t="shared" si="32"/>
        <v>0</v>
      </c>
      <c r="AZ102" s="316">
        <f t="shared" si="32"/>
        <v>0</v>
      </c>
      <c r="BA102" s="316">
        <f t="shared" si="32"/>
        <v>0</v>
      </c>
      <c r="BB102" s="316">
        <f t="shared" si="32"/>
        <v>0</v>
      </c>
      <c r="BC102" s="316">
        <f t="shared" si="32"/>
        <v>0</v>
      </c>
      <c r="BD102" s="316">
        <f t="shared" si="32"/>
        <v>0</v>
      </c>
      <c r="BE102" s="316">
        <f t="shared" si="32"/>
        <v>0</v>
      </c>
      <c r="BF102" s="316">
        <f t="shared" si="32"/>
        <v>0</v>
      </c>
      <c r="BG102" s="316">
        <f t="shared" si="32"/>
        <v>0</v>
      </c>
      <c r="BH102" s="316">
        <f t="shared" si="32"/>
        <v>0</v>
      </c>
      <c r="BI102" s="316">
        <f t="shared" si="32"/>
        <v>0</v>
      </c>
      <c r="BJ102" s="316">
        <f t="shared" si="32"/>
        <v>0</v>
      </c>
      <c r="BK102" s="316">
        <f t="shared" si="32"/>
        <v>0</v>
      </c>
      <c r="BL102" s="316">
        <f t="shared" si="32"/>
        <v>0</v>
      </c>
      <c r="BM102" s="316">
        <f t="shared" si="32"/>
        <v>0</v>
      </c>
      <c r="BN102" s="316">
        <f t="shared" si="32"/>
        <v>0</v>
      </c>
      <c r="BO102" s="316">
        <f t="shared" si="32"/>
        <v>0</v>
      </c>
      <c r="BP102" s="316">
        <f t="shared" si="32"/>
        <v>0</v>
      </c>
      <c r="BQ102" s="316">
        <f t="shared" si="32"/>
        <v>0</v>
      </c>
      <c r="BR102" s="316">
        <f t="shared" si="32"/>
        <v>0</v>
      </c>
      <c r="BS102" s="316">
        <f t="shared" si="32"/>
        <v>0</v>
      </c>
      <c r="BT102" s="316">
        <f t="shared" si="32"/>
        <v>0</v>
      </c>
      <c r="BU102" s="316">
        <f t="shared" si="32"/>
        <v>0</v>
      </c>
      <c r="BV102" s="316">
        <f t="shared" si="32"/>
        <v>0</v>
      </c>
      <c r="BW102" s="316">
        <f t="shared" si="32"/>
        <v>0</v>
      </c>
      <c r="BX102" s="316" t="e">
        <f>BX110+BX176+BX98</f>
        <v>#REF!</v>
      </c>
      <c r="BY102" s="311"/>
      <c r="BZ102" s="226"/>
      <c r="CA102" s="226"/>
      <c r="CB102" s="226"/>
      <c r="CC102" s="226"/>
    </row>
    <row r="103" spans="1:81" hidden="1">
      <c r="A103" s="226"/>
      <c r="B103" s="226"/>
      <c r="C103" s="317" t="s">
        <v>339</v>
      </c>
      <c r="D103" s="793" t="e">
        <f>IRR(E102:BX102)*12</f>
        <v>#VALUE!</v>
      </c>
      <c r="E103" s="768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26"/>
      <c r="Z103" s="226"/>
      <c r="AA103" s="226"/>
      <c r="AB103" s="226"/>
      <c r="AC103" s="226"/>
      <c r="AD103" s="226"/>
      <c r="AE103" s="226"/>
      <c r="AF103" s="226"/>
      <c r="AG103" s="226"/>
      <c r="AH103" s="226"/>
      <c r="AI103" s="226"/>
      <c r="AJ103" s="226"/>
      <c r="AK103" s="226"/>
      <c r="AL103" s="226"/>
      <c r="AM103" s="226"/>
      <c r="AN103" s="226"/>
      <c r="AO103" s="226"/>
      <c r="AP103" s="226"/>
      <c r="AQ103" s="226"/>
      <c r="AR103" s="226"/>
      <c r="AS103" s="226"/>
      <c r="AT103" s="226"/>
      <c r="AU103" s="226"/>
      <c r="AV103" s="226"/>
      <c r="AW103" s="226"/>
      <c r="AX103" s="226"/>
      <c r="AY103" s="226"/>
      <c r="AZ103" s="226"/>
      <c r="BA103" s="226"/>
      <c r="BB103" s="226"/>
      <c r="BC103" s="226"/>
      <c r="BD103" s="226"/>
      <c r="BE103" s="226"/>
      <c r="BF103" s="226"/>
      <c r="BG103" s="226"/>
      <c r="BH103" s="226"/>
      <c r="BI103" s="226"/>
      <c r="BJ103" s="226"/>
      <c r="BK103" s="226"/>
      <c r="BL103" s="226"/>
      <c r="BM103" s="226"/>
      <c r="BN103" s="226"/>
      <c r="BO103" s="226"/>
      <c r="BP103" s="226"/>
      <c r="BQ103" s="226"/>
      <c r="BR103" s="226"/>
      <c r="BS103" s="226"/>
      <c r="BT103" s="226"/>
      <c r="BU103" s="226"/>
      <c r="BV103" s="226"/>
      <c r="BW103" s="226"/>
      <c r="BX103" s="226"/>
      <c r="BY103" s="311"/>
      <c r="BZ103" s="226"/>
      <c r="CA103" s="226"/>
      <c r="CB103" s="226"/>
      <c r="CC103" s="226"/>
    </row>
    <row r="104" spans="1:81" hidden="1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6"/>
      <c r="BN104" s="226"/>
      <c r="BO104" s="226"/>
      <c r="BP104" s="226"/>
      <c r="BQ104" s="226"/>
      <c r="BR104" s="226"/>
      <c r="BS104" s="226"/>
      <c r="BT104" s="226"/>
      <c r="BU104" s="226"/>
      <c r="BV104" s="226"/>
      <c r="BW104" s="226"/>
      <c r="BX104" s="226"/>
      <c r="BY104" s="311"/>
      <c r="BZ104" s="226"/>
      <c r="CA104" s="226"/>
      <c r="CB104" s="226"/>
      <c r="CC104" s="226"/>
    </row>
    <row r="105" spans="1:81" hidden="1">
      <c r="A105" s="226"/>
      <c r="B105" s="226"/>
      <c r="C105" s="226"/>
      <c r="D105" s="226"/>
      <c r="E105" s="226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  <c r="U105" s="226"/>
      <c r="V105" s="226"/>
      <c r="W105" s="226"/>
      <c r="X105" s="226"/>
      <c r="Y105" s="226"/>
      <c r="Z105" s="226"/>
      <c r="AA105" s="226"/>
      <c r="AB105" s="226"/>
      <c r="AC105" s="226"/>
      <c r="AD105" s="226"/>
      <c r="AE105" s="226"/>
      <c r="AF105" s="226"/>
      <c r="AG105" s="226"/>
      <c r="AH105" s="226"/>
      <c r="AI105" s="226"/>
      <c r="AJ105" s="226"/>
      <c r="AK105" s="226"/>
      <c r="AL105" s="226"/>
      <c r="AM105" s="226"/>
      <c r="AN105" s="226"/>
      <c r="AO105" s="226"/>
      <c r="AP105" s="226"/>
      <c r="AQ105" s="226"/>
      <c r="AR105" s="226"/>
      <c r="AS105" s="226"/>
      <c r="AT105" s="226"/>
      <c r="AU105" s="226"/>
      <c r="AV105" s="226"/>
      <c r="AW105" s="226"/>
      <c r="AX105" s="226"/>
      <c r="AY105" s="226"/>
      <c r="AZ105" s="226"/>
      <c r="BA105" s="226"/>
      <c r="BB105" s="226"/>
      <c r="BC105" s="226"/>
      <c r="BD105" s="226"/>
      <c r="BE105" s="226"/>
      <c r="BF105" s="226"/>
      <c r="BG105" s="226"/>
      <c r="BH105" s="226"/>
      <c r="BI105" s="226"/>
      <c r="BJ105" s="226"/>
      <c r="BK105" s="226"/>
      <c r="BL105" s="226"/>
      <c r="BM105" s="226"/>
      <c r="BN105" s="226"/>
      <c r="BO105" s="226"/>
      <c r="BP105" s="226"/>
      <c r="BQ105" s="226"/>
      <c r="BR105" s="226"/>
      <c r="BS105" s="226"/>
      <c r="BT105" s="226"/>
      <c r="BU105" s="226"/>
      <c r="BV105" s="226"/>
      <c r="BW105" s="226"/>
      <c r="BX105" s="226"/>
      <c r="BY105" s="311"/>
      <c r="BZ105" s="226"/>
      <c r="CA105" s="226"/>
      <c r="CB105" s="226"/>
      <c r="CC105" s="226"/>
    </row>
    <row r="106" spans="1:81" ht="17" hidden="1">
      <c r="A106" s="226"/>
      <c r="B106" s="226"/>
      <c r="C106" s="314" t="s">
        <v>340</v>
      </c>
      <c r="D106" s="794"/>
      <c r="E106" s="767"/>
      <c r="F106" s="767"/>
      <c r="G106" s="767"/>
      <c r="H106" s="767"/>
      <c r="I106" s="767"/>
      <c r="J106" s="767"/>
      <c r="K106" s="767"/>
      <c r="L106" s="767"/>
      <c r="M106" s="767"/>
      <c r="N106" s="767"/>
      <c r="O106" s="767"/>
      <c r="P106" s="767"/>
      <c r="Q106" s="767"/>
      <c r="R106" s="767"/>
      <c r="S106" s="767"/>
      <c r="T106" s="767"/>
      <c r="U106" s="767"/>
      <c r="V106" s="767"/>
      <c r="W106" s="767"/>
      <c r="X106" s="767"/>
      <c r="Y106" s="767"/>
      <c r="Z106" s="767"/>
      <c r="AA106" s="767"/>
      <c r="AB106" s="767"/>
      <c r="AC106" s="767"/>
      <c r="AD106" s="767"/>
      <c r="AE106" s="767"/>
      <c r="AF106" s="767"/>
      <c r="AG106" s="767"/>
      <c r="AH106" s="767"/>
      <c r="AI106" s="767"/>
      <c r="AJ106" s="767"/>
      <c r="AK106" s="767"/>
      <c r="AL106" s="767"/>
      <c r="AM106" s="767"/>
      <c r="AN106" s="767"/>
      <c r="AO106" s="767"/>
      <c r="AP106" s="767"/>
      <c r="AQ106" s="767"/>
      <c r="AR106" s="767"/>
      <c r="AS106" s="767"/>
      <c r="AT106" s="767"/>
      <c r="AU106" s="767"/>
      <c r="AV106" s="767"/>
      <c r="AW106" s="767"/>
      <c r="AX106" s="767"/>
      <c r="AY106" s="767"/>
      <c r="AZ106" s="767"/>
      <c r="BA106" s="767"/>
      <c r="BB106" s="767"/>
      <c r="BC106" s="767"/>
      <c r="BD106" s="767"/>
      <c r="BE106" s="767"/>
      <c r="BF106" s="767"/>
      <c r="BG106" s="767"/>
      <c r="BH106" s="767"/>
      <c r="BI106" s="767"/>
      <c r="BJ106" s="767"/>
      <c r="BK106" s="767"/>
      <c r="BL106" s="767"/>
      <c r="BM106" s="767"/>
      <c r="BN106" s="767"/>
      <c r="BO106" s="767"/>
      <c r="BP106" s="767"/>
      <c r="BQ106" s="767"/>
      <c r="BR106" s="767"/>
      <c r="BS106" s="767"/>
      <c r="BT106" s="767"/>
      <c r="BU106" s="767"/>
      <c r="BV106" s="767"/>
      <c r="BW106" s="768"/>
      <c r="BX106" s="319" t="e">
        <f>BX98*C107</f>
        <v>#REF!</v>
      </c>
      <c r="BY106" s="311"/>
      <c r="BZ106" s="226"/>
      <c r="CA106" s="226"/>
      <c r="CB106" s="226"/>
      <c r="CC106" s="226"/>
    </row>
    <row r="107" spans="1:81" ht="19" hidden="1">
      <c r="A107" s="226"/>
      <c r="B107" s="226"/>
      <c r="C107" s="320">
        <v>0.2</v>
      </c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  <c r="CA107" s="226"/>
      <c r="CB107" s="226"/>
      <c r="CC107" s="226"/>
    </row>
    <row r="108" spans="1:81" hidden="1">
      <c r="A108" s="226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  <c r="AY108" s="226"/>
      <c r="AZ108" s="226"/>
      <c r="BA108" s="226"/>
      <c r="BB108" s="226"/>
      <c r="BC108" s="226"/>
      <c r="BD108" s="226"/>
      <c r="BE108" s="226"/>
      <c r="BF108" s="226"/>
      <c r="BG108" s="226"/>
      <c r="BH108" s="226"/>
      <c r="BI108" s="226"/>
      <c r="BJ108" s="226"/>
      <c r="BK108" s="226"/>
      <c r="BL108" s="226"/>
      <c r="BM108" s="226"/>
      <c r="BN108" s="226"/>
      <c r="BO108" s="226"/>
      <c r="BP108" s="226"/>
      <c r="BQ108" s="226"/>
      <c r="BR108" s="226"/>
      <c r="BS108" s="226"/>
      <c r="BT108" s="226"/>
      <c r="BU108" s="226"/>
      <c r="BV108" s="226"/>
      <c r="BW108" s="226"/>
      <c r="BX108" s="226"/>
      <c r="BY108" s="311"/>
      <c r="BZ108" s="226"/>
      <c r="CA108" s="226"/>
      <c r="CB108" s="226"/>
      <c r="CC108" s="226"/>
    </row>
    <row r="109" spans="1:81" hidden="1">
      <c r="A109" s="226"/>
      <c r="B109" s="226"/>
      <c r="C109" s="321"/>
      <c r="D109" s="321"/>
      <c r="E109" s="321"/>
      <c r="F109" s="321"/>
      <c r="G109" s="321"/>
      <c r="H109" s="321"/>
      <c r="I109" s="321"/>
      <c r="J109" s="321"/>
      <c r="K109" s="321"/>
      <c r="L109" s="321"/>
      <c r="M109" s="321"/>
      <c r="N109" s="321"/>
      <c r="O109" s="321"/>
      <c r="P109" s="321"/>
      <c r="Q109" s="321"/>
      <c r="R109" s="321"/>
      <c r="S109" s="321"/>
      <c r="T109" s="321"/>
      <c r="U109" s="321"/>
      <c r="V109" s="321"/>
      <c r="W109" s="321"/>
      <c r="X109" s="321"/>
      <c r="Y109" s="321"/>
      <c r="Z109" s="321"/>
      <c r="AA109" s="321"/>
      <c r="AB109" s="321"/>
      <c r="AC109" s="321"/>
      <c r="AD109" s="321"/>
      <c r="AE109" s="321"/>
      <c r="AF109" s="321"/>
      <c r="AG109" s="321"/>
      <c r="AH109" s="321"/>
      <c r="AI109" s="321"/>
      <c r="AJ109" s="321"/>
      <c r="AK109" s="321"/>
      <c r="AL109" s="321"/>
      <c r="AM109" s="321"/>
      <c r="AN109" s="321"/>
      <c r="AO109" s="321"/>
      <c r="AP109" s="321"/>
      <c r="AQ109" s="321"/>
      <c r="AR109" s="321"/>
      <c r="AS109" s="321"/>
      <c r="AT109" s="321"/>
      <c r="AU109" s="321"/>
      <c r="AV109" s="321"/>
      <c r="AW109" s="321"/>
      <c r="AX109" s="321"/>
      <c r="AY109" s="321"/>
      <c r="AZ109" s="321"/>
      <c r="BA109" s="321"/>
      <c r="BB109" s="321"/>
      <c r="BC109" s="321"/>
      <c r="BD109" s="321"/>
      <c r="BE109" s="321"/>
      <c r="BF109" s="321"/>
      <c r="BG109" s="321"/>
      <c r="BH109" s="321"/>
      <c r="BI109" s="321"/>
      <c r="BJ109" s="321"/>
      <c r="BK109" s="321"/>
      <c r="BL109" s="321"/>
      <c r="BM109" s="226"/>
      <c r="BN109" s="226"/>
      <c r="BO109" s="226"/>
      <c r="BP109" s="226"/>
      <c r="BQ109" s="226"/>
      <c r="BR109" s="226"/>
      <c r="BS109" s="226"/>
      <c r="BT109" s="226"/>
      <c r="BU109" s="226"/>
      <c r="BV109" s="226"/>
      <c r="BW109" s="226"/>
      <c r="BX109" s="226"/>
      <c r="BY109" s="226"/>
      <c r="BZ109" s="226"/>
      <c r="CA109" s="226"/>
      <c r="CB109" s="226"/>
      <c r="CC109" s="226"/>
    </row>
    <row r="110" spans="1:81">
      <c r="A110" s="226"/>
      <c r="B110" s="322"/>
      <c r="C110" s="314" t="s">
        <v>341</v>
      </c>
      <c r="D110" s="315"/>
      <c r="E110" s="316">
        <f t="shared" ref="E110:BM110" si="33">-(E5+E6+E89+E90)</f>
        <v>0</v>
      </c>
      <c r="F110" s="316">
        <f t="shared" si="33"/>
        <v>0</v>
      </c>
      <c r="G110" s="316">
        <f t="shared" si="33"/>
        <v>0</v>
      </c>
      <c r="H110" s="316">
        <f t="shared" si="33"/>
        <v>-16365002</v>
      </c>
      <c r="I110" s="316">
        <f t="shared" si="33"/>
        <v>0</v>
      </c>
      <c r="J110" s="316">
        <f t="shared" si="33"/>
        <v>-7870667</v>
      </c>
      <c r="K110" s="316">
        <f t="shared" si="33"/>
        <v>0</v>
      </c>
      <c r="L110" s="316">
        <f t="shared" si="33"/>
        <v>0</v>
      </c>
      <c r="M110" s="316">
        <f t="shared" si="33"/>
        <v>0</v>
      </c>
      <c r="N110" s="316">
        <f t="shared" si="33"/>
        <v>0</v>
      </c>
      <c r="O110" s="316">
        <f t="shared" si="33"/>
        <v>0</v>
      </c>
      <c r="P110" s="316">
        <f t="shared" si="33"/>
        <v>0</v>
      </c>
      <c r="Q110" s="316">
        <f t="shared" si="33"/>
        <v>0</v>
      </c>
      <c r="R110" s="316">
        <f t="shared" si="33"/>
        <v>0</v>
      </c>
      <c r="S110" s="316">
        <f t="shared" si="33"/>
        <v>0</v>
      </c>
      <c r="T110" s="316">
        <f t="shared" si="33"/>
        <v>24235669</v>
      </c>
      <c r="U110" s="316">
        <f t="shared" si="33"/>
        <v>0</v>
      </c>
      <c r="V110" s="316">
        <f t="shared" si="33"/>
        <v>0</v>
      </c>
      <c r="W110" s="316">
        <f t="shared" si="33"/>
        <v>0</v>
      </c>
      <c r="X110" s="316">
        <f t="shared" si="33"/>
        <v>0</v>
      </c>
      <c r="Y110" s="316">
        <f t="shared" si="33"/>
        <v>0</v>
      </c>
      <c r="Z110" s="316">
        <f t="shared" si="33"/>
        <v>0</v>
      </c>
      <c r="AA110" s="316">
        <f t="shared" si="33"/>
        <v>0</v>
      </c>
      <c r="AB110" s="316">
        <f t="shared" si="33"/>
        <v>0</v>
      </c>
      <c r="AC110" s="316">
        <f t="shared" si="33"/>
        <v>0</v>
      </c>
      <c r="AD110" s="316">
        <f t="shared" si="33"/>
        <v>0</v>
      </c>
      <c r="AE110" s="316">
        <f t="shared" si="33"/>
        <v>0</v>
      </c>
      <c r="AF110" s="316">
        <f t="shared" si="33"/>
        <v>0</v>
      </c>
      <c r="AG110" s="316">
        <f t="shared" si="33"/>
        <v>0</v>
      </c>
      <c r="AH110" s="316">
        <f t="shared" si="33"/>
        <v>0</v>
      </c>
      <c r="AI110" s="316">
        <f t="shared" si="33"/>
        <v>0</v>
      </c>
      <c r="AJ110" s="316">
        <f t="shared" si="33"/>
        <v>0</v>
      </c>
      <c r="AK110" s="316">
        <f t="shared" si="33"/>
        <v>0</v>
      </c>
      <c r="AL110" s="316">
        <f t="shared" si="33"/>
        <v>0</v>
      </c>
      <c r="AM110" s="316">
        <f t="shared" si="33"/>
        <v>0</v>
      </c>
      <c r="AN110" s="316">
        <f t="shared" si="33"/>
        <v>0</v>
      </c>
      <c r="AO110" s="316">
        <f t="shared" si="33"/>
        <v>0</v>
      </c>
      <c r="AP110" s="316">
        <f t="shared" si="33"/>
        <v>0</v>
      </c>
      <c r="AQ110" s="316">
        <f t="shared" si="33"/>
        <v>0</v>
      </c>
      <c r="AR110" s="316">
        <f t="shared" si="33"/>
        <v>0</v>
      </c>
      <c r="AS110" s="316">
        <f t="shared" si="33"/>
        <v>0</v>
      </c>
      <c r="AT110" s="316">
        <f t="shared" si="33"/>
        <v>0</v>
      </c>
      <c r="AU110" s="316">
        <f t="shared" si="33"/>
        <v>0</v>
      </c>
      <c r="AV110" s="316">
        <f t="shared" si="33"/>
        <v>0</v>
      </c>
      <c r="AW110" s="316">
        <f t="shared" si="33"/>
        <v>0</v>
      </c>
      <c r="AX110" s="316">
        <f t="shared" si="33"/>
        <v>0</v>
      </c>
      <c r="AY110" s="316">
        <f t="shared" si="33"/>
        <v>0</v>
      </c>
      <c r="AZ110" s="316">
        <f t="shared" si="33"/>
        <v>0</v>
      </c>
      <c r="BA110" s="316">
        <f t="shared" si="33"/>
        <v>0</v>
      </c>
      <c r="BB110" s="316">
        <f t="shared" si="33"/>
        <v>0</v>
      </c>
      <c r="BC110" s="316">
        <f t="shared" si="33"/>
        <v>0</v>
      </c>
      <c r="BD110" s="316">
        <f t="shared" si="33"/>
        <v>0</v>
      </c>
      <c r="BE110" s="316">
        <f t="shared" si="33"/>
        <v>0</v>
      </c>
      <c r="BF110" s="316">
        <f t="shared" si="33"/>
        <v>0</v>
      </c>
      <c r="BG110" s="316">
        <f t="shared" si="33"/>
        <v>0</v>
      </c>
      <c r="BH110" s="316">
        <f t="shared" si="33"/>
        <v>0</v>
      </c>
      <c r="BI110" s="316">
        <f t="shared" si="33"/>
        <v>0</v>
      </c>
      <c r="BJ110" s="316">
        <f t="shared" si="33"/>
        <v>0</v>
      </c>
      <c r="BK110" s="316">
        <f t="shared" si="33"/>
        <v>0</v>
      </c>
      <c r="BL110" s="316">
        <f t="shared" si="33"/>
        <v>0</v>
      </c>
      <c r="BM110" s="316">
        <f t="shared" si="33"/>
        <v>0</v>
      </c>
      <c r="BN110" s="316">
        <f t="shared" ref="BN110:BX110" si="34">-(BN5+BN89)</f>
        <v>0</v>
      </c>
      <c r="BO110" s="316">
        <f t="shared" si="34"/>
        <v>0</v>
      </c>
      <c r="BP110" s="316">
        <f t="shared" si="34"/>
        <v>0</v>
      </c>
      <c r="BQ110" s="316">
        <f t="shared" si="34"/>
        <v>0</v>
      </c>
      <c r="BR110" s="316">
        <f t="shared" si="34"/>
        <v>0</v>
      </c>
      <c r="BS110" s="316">
        <f t="shared" si="34"/>
        <v>0</v>
      </c>
      <c r="BT110" s="316">
        <f t="shared" si="34"/>
        <v>0</v>
      </c>
      <c r="BU110" s="316">
        <f t="shared" si="34"/>
        <v>0</v>
      </c>
      <c r="BV110" s="316">
        <f t="shared" si="34"/>
        <v>0</v>
      </c>
      <c r="BW110" s="316">
        <f t="shared" si="34"/>
        <v>0</v>
      </c>
      <c r="BX110" s="316">
        <f t="shared" si="34"/>
        <v>0</v>
      </c>
      <c r="BY110" s="226"/>
      <c r="BZ110" s="226"/>
      <c r="CA110" s="226"/>
      <c r="CB110" s="226"/>
      <c r="CC110" s="226"/>
    </row>
    <row r="111" spans="1:81">
      <c r="A111" s="226"/>
      <c r="B111" s="322"/>
      <c r="C111" s="314" t="s">
        <v>342</v>
      </c>
      <c r="D111" s="323"/>
      <c r="E111" s="315"/>
      <c r="F111" s="315"/>
      <c r="G111" s="315"/>
      <c r="H111" s="315">
        <f>-8333333</f>
        <v>-8333333</v>
      </c>
      <c r="I111" s="315"/>
      <c r="J111" s="315"/>
      <c r="K111" s="315"/>
      <c r="L111" s="315"/>
      <c r="M111" s="315"/>
      <c r="N111" s="315"/>
      <c r="O111" s="315"/>
      <c r="P111" s="315"/>
      <c r="Q111" s="315"/>
      <c r="R111" s="315"/>
      <c r="S111" s="315"/>
      <c r="T111" s="315"/>
      <c r="U111" s="315"/>
      <c r="V111" s="315"/>
      <c r="W111" s="315"/>
      <c r="X111" s="315"/>
      <c r="Y111" s="315"/>
      <c r="Z111" s="315"/>
      <c r="AA111" s="315"/>
      <c r="AB111" s="315"/>
      <c r="AC111" s="315"/>
      <c r="AD111" s="315"/>
      <c r="AE111" s="315"/>
      <c r="AF111" s="315"/>
      <c r="AG111" s="315"/>
      <c r="AH111" s="315"/>
      <c r="AI111" s="315"/>
      <c r="AJ111" s="315"/>
      <c r="AK111" s="315"/>
      <c r="AL111" s="315"/>
      <c r="AM111" s="315"/>
      <c r="AN111" s="315"/>
      <c r="AO111" s="315"/>
      <c r="AP111" s="315"/>
      <c r="AQ111" s="315"/>
      <c r="AR111" s="315"/>
      <c r="AS111" s="315"/>
      <c r="AT111" s="315"/>
      <c r="AU111" s="315"/>
      <c r="AV111" s="315"/>
      <c r="AW111" s="315"/>
      <c r="AX111" s="315"/>
      <c r="AY111" s="315"/>
      <c r="AZ111" s="315"/>
      <c r="BA111" s="315"/>
      <c r="BB111" s="315"/>
      <c r="BC111" s="315"/>
      <c r="BD111" s="315"/>
      <c r="BE111" s="315"/>
      <c r="BF111" s="315"/>
      <c r="BG111" s="315"/>
      <c r="BH111" s="315"/>
      <c r="BI111" s="315"/>
      <c r="BJ111" s="315"/>
      <c r="BK111" s="315"/>
      <c r="BL111" s="315"/>
      <c r="BM111" s="315"/>
      <c r="BN111" s="315"/>
      <c r="BO111" s="315"/>
      <c r="BP111" s="315"/>
      <c r="BQ111" s="315"/>
      <c r="BR111" s="315"/>
      <c r="BS111" s="315"/>
      <c r="BT111" s="315"/>
      <c r="BU111" s="315"/>
      <c r="BV111" s="315"/>
      <c r="BW111" s="315"/>
      <c r="BX111" s="315"/>
      <c r="BY111" s="226"/>
      <c r="BZ111" s="226"/>
      <c r="CA111" s="226"/>
      <c r="CB111" s="226"/>
      <c r="CC111" s="226"/>
    </row>
    <row r="112" spans="1:81">
      <c r="A112" s="226"/>
      <c r="B112" s="322"/>
      <c r="C112" s="314" t="s">
        <v>343</v>
      </c>
      <c r="D112" s="323"/>
      <c r="E112" s="315">
        <f t="shared" ref="E112:S112" si="35">-E54</f>
        <v>0</v>
      </c>
      <c r="F112" s="315">
        <f t="shared" si="35"/>
        <v>0</v>
      </c>
      <c r="G112" s="315">
        <f t="shared" si="35"/>
        <v>0</v>
      </c>
      <c r="H112" s="315">
        <f t="shared" si="35"/>
        <v>0</v>
      </c>
      <c r="I112" s="315">
        <f t="shared" si="35"/>
        <v>0</v>
      </c>
      <c r="J112" s="315">
        <f t="shared" si="35"/>
        <v>0</v>
      </c>
      <c r="K112" s="315">
        <f t="shared" si="35"/>
        <v>0</v>
      </c>
      <c r="L112" s="315">
        <f t="shared" si="35"/>
        <v>0</v>
      </c>
      <c r="M112" s="315">
        <f t="shared" si="35"/>
        <v>0</v>
      </c>
      <c r="N112" s="315">
        <f t="shared" si="35"/>
        <v>0</v>
      </c>
      <c r="O112" s="315">
        <f t="shared" si="35"/>
        <v>0</v>
      </c>
      <c r="P112" s="315">
        <f t="shared" si="35"/>
        <v>0</v>
      </c>
      <c r="Q112" s="315">
        <f t="shared" si="35"/>
        <v>0</v>
      </c>
      <c r="R112" s="315">
        <f t="shared" si="35"/>
        <v>0</v>
      </c>
      <c r="S112" s="315">
        <f t="shared" si="35"/>
        <v>0</v>
      </c>
      <c r="T112" s="315" t="e">
        <f>-T54-T55</f>
        <v>#REF!</v>
      </c>
      <c r="U112" s="315">
        <f t="shared" ref="U112:BX112" si="36">-U54</f>
        <v>0</v>
      </c>
      <c r="V112" s="315">
        <f t="shared" si="36"/>
        <v>0</v>
      </c>
      <c r="W112" s="315">
        <f t="shared" si="36"/>
        <v>0</v>
      </c>
      <c r="X112" s="315">
        <f t="shared" si="36"/>
        <v>0</v>
      </c>
      <c r="Y112" s="315">
        <f t="shared" si="36"/>
        <v>0</v>
      </c>
      <c r="Z112" s="315">
        <f t="shared" si="36"/>
        <v>0</v>
      </c>
      <c r="AA112" s="315">
        <f t="shared" si="36"/>
        <v>0</v>
      </c>
      <c r="AB112" s="315">
        <f t="shared" si="36"/>
        <v>0</v>
      </c>
      <c r="AC112" s="315">
        <f t="shared" si="36"/>
        <v>0</v>
      </c>
      <c r="AD112" s="315">
        <f t="shared" si="36"/>
        <v>0</v>
      </c>
      <c r="AE112" s="315">
        <f t="shared" si="36"/>
        <v>0</v>
      </c>
      <c r="AF112" s="315">
        <f t="shared" si="36"/>
        <v>0</v>
      </c>
      <c r="AG112" s="315">
        <f t="shared" si="36"/>
        <v>0</v>
      </c>
      <c r="AH112" s="315">
        <f t="shared" si="36"/>
        <v>0</v>
      </c>
      <c r="AI112" s="315">
        <f t="shared" si="36"/>
        <v>0</v>
      </c>
      <c r="AJ112" s="315">
        <f t="shared" si="36"/>
        <v>0</v>
      </c>
      <c r="AK112" s="315">
        <f t="shared" si="36"/>
        <v>0</v>
      </c>
      <c r="AL112" s="315">
        <f t="shared" si="36"/>
        <v>0</v>
      </c>
      <c r="AM112" s="315">
        <f t="shared" si="36"/>
        <v>0</v>
      </c>
      <c r="AN112" s="315">
        <f t="shared" si="36"/>
        <v>0</v>
      </c>
      <c r="AO112" s="315">
        <f t="shared" si="36"/>
        <v>0</v>
      </c>
      <c r="AP112" s="315">
        <f t="shared" si="36"/>
        <v>0</v>
      </c>
      <c r="AQ112" s="315">
        <f t="shared" si="36"/>
        <v>0</v>
      </c>
      <c r="AR112" s="315">
        <f t="shared" si="36"/>
        <v>0</v>
      </c>
      <c r="AS112" s="315">
        <f t="shared" si="36"/>
        <v>0</v>
      </c>
      <c r="AT112" s="315">
        <f t="shared" si="36"/>
        <v>0</v>
      </c>
      <c r="AU112" s="315">
        <f t="shared" si="36"/>
        <v>0</v>
      </c>
      <c r="AV112" s="315">
        <f t="shared" si="36"/>
        <v>0</v>
      </c>
      <c r="AW112" s="315">
        <f t="shared" si="36"/>
        <v>0</v>
      </c>
      <c r="AX112" s="315">
        <f t="shared" si="36"/>
        <v>0</v>
      </c>
      <c r="AY112" s="315">
        <f t="shared" si="36"/>
        <v>0</v>
      </c>
      <c r="AZ112" s="315">
        <f t="shared" si="36"/>
        <v>0</v>
      </c>
      <c r="BA112" s="315">
        <f t="shared" si="36"/>
        <v>0</v>
      </c>
      <c r="BB112" s="315">
        <f t="shared" si="36"/>
        <v>0</v>
      </c>
      <c r="BC112" s="315">
        <f t="shared" si="36"/>
        <v>0</v>
      </c>
      <c r="BD112" s="315">
        <f t="shared" si="36"/>
        <v>0</v>
      </c>
      <c r="BE112" s="315">
        <f t="shared" si="36"/>
        <v>0</v>
      </c>
      <c r="BF112" s="315">
        <f t="shared" si="36"/>
        <v>0</v>
      </c>
      <c r="BG112" s="315">
        <f t="shared" si="36"/>
        <v>0</v>
      </c>
      <c r="BH112" s="315">
        <f t="shared" si="36"/>
        <v>0</v>
      </c>
      <c r="BI112" s="315">
        <f t="shared" si="36"/>
        <v>0</v>
      </c>
      <c r="BJ112" s="315">
        <f t="shared" si="36"/>
        <v>0</v>
      </c>
      <c r="BK112" s="315">
        <f t="shared" si="36"/>
        <v>0</v>
      </c>
      <c r="BL112" s="315">
        <f t="shared" si="36"/>
        <v>0</v>
      </c>
      <c r="BM112" s="315">
        <f t="shared" si="36"/>
        <v>0</v>
      </c>
      <c r="BN112" s="315">
        <f t="shared" si="36"/>
        <v>0</v>
      </c>
      <c r="BO112" s="315">
        <f t="shared" si="36"/>
        <v>0</v>
      </c>
      <c r="BP112" s="315">
        <f t="shared" si="36"/>
        <v>0</v>
      </c>
      <c r="BQ112" s="315">
        <f t="shared" si="36"/>
        <v>0</v>
      </c>
      <c r="BR112" s="315">
        <f t="shared" si="36"/>
        <v>0</v>
      </c>
      <c r="BS112" s="315">
        <f t="shared" si="36"/>
        <v>0</v>
      </c>
      <c r="BT112" s="315">
        <f t="shared" si="36"/>
        <v>0</v>
      </c>
      <c r="BU112" s="315">
        <f t="shared" si="36"/>
        <v>0</v>
      </c>
      <c r="BV112" s="315">
        <f t="shared" si="36"/>
        <v>0</v>
      </c>
      <c r="BW112" s="315">
        <f t="shared" si="36"/>
        <v>0</v>
      </c>
      <c r="BX112" s="315">
        <f t="shared" si="36"/>
        <v>0</v>
      </c>
      <c r="BY112" s="226"/>
      <c r="BZ112" s="242"/>
      <c r="CA112" s="226"/>
      <c r="CB112" s="226"/>
      <c r="CC112" s="226"/>
    </row>
    <row r="113" spans="3:76">
      <c r="C113" s="314" t="s">
        <v>344</v>
      </c>
      <c r="D113" s="323"/>
      <c r="E113" s="315"/>
      <c r="F113" s="315"/>
      <c r="G113" s="315"/>
      <c r="H113" s="315"/>
      <c r="I113" s="315"/>
      <c r="J113" s="315"/>
      <c r="K113" s="315"/>
      <c r="L113" s="315"/>
      <c r="M113" s="315"/>
      <c r="N113" s="315"/>
      <c r="O113" s="315"/>
      <c r="P113" s="315"/>
      <c r="Q113" s="315"/>
      <c r="R113" s="315"/>
      <c r="S113" s="315"/>
      <c r="T113" s="315"/>
      <c r="U113" s="315"/>
      <c r="V113" s="315"/>
      <c r="W113" s="315"/>
      <c r="X113" s="315"/>
      <c r="Y113" s="315"/>
      <c r="Z113" s="315"/>
      <c r="AA113" s="315"/>
      <c r="AB113" s="315"/>
      <c r="AC113" s="315"/>
      <c r="AD113" s="315"/>
      <c r="AE113" s="315"/>
      <c r="AF113" s="315"/>
      <c r="AG113" s="315"/>
      <c r="AH113" s="315"/>
      <c r="AI113" s="315"/>
      <c r="AJ113" s="315"/>
      <c r="AK113" s="315"/>
      <c r="AL113" s="315"/>
      <c r="AM113" s="315"/>
      <c r="AN113" s="315"/>
      <c r="AO113" s="315"/>
      <c r="AP113" s="315"/>
      <c r="AQ113" s="315"/>
      <c r="AR113" s="315"/>
      <c r="AS113" s="315"/>
      <c r="AT113" s="315"/>
      <c r="AU113" s="315"/>
      <c r="AV113" s="315"/>
      <c r="AW113" s="315"/>
      <c r="AX113" s="315"/>
      <c r="AY113" s="315"/>
      <c r="AZ113" s="315"/>
      <c r="BA113" s="315"/>
      <c r="BB113" s="315"/>
      <c r="BC113" s="315"/>
      <c r="BD113" s="315"/>
      <c r="BE113" s="315"/>
      <c r="BF113" s="315"/>
      <c r="BG113" s="315"/>
      <c r="BH113" s="315"/>
      <c r="BI113" s="315"/>
      <c r="BJ113" s="315"/>
      <c r="BK113" s="315"/>
      <c r="BL113" s="315"/>
      <c r="BM113" s="315"/>
      <c r="BN113" s="315"/>
      <c r="BO113" s="315"/>
      <c r="BP113" s="315"/>
      <c r="BQ113" s="315"/>
      <c r="BR113" s="315"/>
      <c r="BS113" s="315"/>
      <c r="BT113" s="315"/>
      <c r="BU113" s="315"/>
      <c r="BV113" s="315"/>
      <c r="BW113" s="315"/>
      <c r="BX113" s="315" t="e">
        <f>IF(D103&gt;0.25,(BX98-BX106)*D115,BX98*D115)</f>
        <v>#VALUE!</v>
      </c>
    </row>
    <row r="114" spans="3:76">
      <c r="C114" s="314" t="s">
        <v>340</v>
      </c>
      <c r="D114" s="323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15"/>
      <c r="AH114" s="315"/>
      <c r="AI114" s="315"/>
      <c r="AJ114" s="315"/>
      <c r="AK114" s="315"/>
      <c r="AL114" s="315"/>
      <c r="AM114" s="315"/>
      <c r="AN114" s="315"/>
      <c r="AO114" s="315"/>
      <c r="AP114" s="315"/>
      <c r="AQ114" s="315"/>
      <c r="AR114" s="315"/>
      <c r="AS114" s="315"/>
      <c r="AT114" s="315"/>
      <c r="AU114" s="315"/>
      <c r="AV114" s="315"/>
      <c r="AW114" s="315"/>
      <c r="AX114" s="315"/>
      <c r="AY114" s="315"/>
      <c r="AZ114" s="315"/>
      <c r="BA114" s="315"/>
      <c r="BB114" s="315"/>
      <c r="BC114" s="315"/>
      <c r="BD114" s="315"/>
      <c r="BE114" s="315"/>
      <c r="BF114" s="315"/>
      <c r="BG114" s="315"/>
      <c r="BH114" s="315"/>
      <c r="BI114" s="315"/>
      <c r="BJ114" s="315"/>
      <c r="BK114" s="315"/>
      <c r="BL114" s="315"/>
      <c r="BM114" s="315"/>
      <c r="BN114" s="315"/>
      <c r="BO114" s="315"/>
      <c r="BP114" s="315"/>
      <c r="BQ114" s="315"/>
      <c r="BR114" s="315"/>
      <c r="BS114" s="315"/>
      <c r="BT114" s="315"/>
      <c r="BU114" s="315"/>
      <c r="BV114" s="315"/>
      <c r="BW114" s="315"/>
      <c r="BX114" s="315" t="e">
        <f>IF(D103&gt;0.25,BX106,0)</f>
        <v>#VALUE!</v>
      </c>
    </row>
    <row r="115" spans="3:76">
      <c r="C115" s="317" t="s">
        <v>345</v>
      </c>
      <c r="D115" s="323">
        <v>1</v>
      </c>
      <c r="E115" s="246"/>
      <c r="F115" s="246"/>
      <c r="G115" s="246"/>
      <c r="H115" s="246"/>
      <c r="I115" s="246"/>
      <c r="J115" s="246"/>
      <c r="K115" s="246"/>
      <c r="L115" s="246"/>
      <c r="M115" s="246"/>
      <c r="N115" s="246"/>
      <c r="O115" s="246"/>
      <c r="P115" s="246"/>
      <c r="Q115" s="246"/>
      <c r="R115" s="246"/>
      <c r="S115" s="246"/>
      <c r="T115" s="246" t="e">
        <f>T98</f>
        <v>#REF!</v>
      </c>
      <c r="U115" s="246"/>
      <c r="V115" s="246"/>
      <c r="W115" s="246"/>
      <c r="X115" s="246"/>
      <c r="Y115" s="246"/>
      <c r="Z115" s="246"/>
      <c r="AA115" s="246"/>
      <c r="AB115" s="246"/>
      <c r="AC115" s="246"/>
      <c r="AD115" s="246"/>
      <c r="AE115" s="246"/>
      <c r="AF115" s="246"/>
      <c r="AG115" s="246"/>
      <c r="AH115" s="246"/>
      <c r="AI115" s="246"/>
      <c r="AJ115" s="246"/>
      <c r="AK115" s="246"/>
      <c r="AL115" s="246"/>
      <c r="AM115" s="246"/>
      <c r="AN115" s="246"/>
      <c r="AO115" s="246"/>
      <c r="AP115" s="246"/>
      <c r="AQ115" s="246"/>
      <c r="AR115" s="246"/>
      <c r="AS115" s="246"/>
      <c r="AT115" s="246"/>
      <c r="AU115" s="246"/>
      <c r="AV115" s="246"/>
      <c r="AW115" s="246"/>
      <c r="AX115" s="246"/>
      <c r="AY115" s="246"/>
      <c r="AZ115" s="246"/>
      <c r="BA115" s="246"/>
      <c r="BB115" s="246"/>
      <c r="BC115" s="324"/>
      <c r="BD115" s="246"/>
      <c r="BE115" s="246"/>
      <c r="BF115" s="246"/>
      <c r="BG115" s="246"/>
      <c r="BH115" s="246"/>
      <c r="BI115" s="246"/>
      <c r="BJ115" s="246"/>
      <c r="BK115" s="246"/>
      <c r="BL115" s="246"/>
      <c r="BM115" s="246"/>
      <c r="BN115" s="246"/>
      <c r="BO115" s="246"/>
      <c r="BP115" s="246"/>
      <c r="BQ115" s="246"/>
      <c r="BR115" s="246"/>
      <c r="BS115" s="246"/>
      <c r="BT115" s="246"/>
      <c r="BU115" s="246"/>
      <c r="BV115" s="246"/>
      <c r="BW115" s="246"/>
      <c r="BX115" s="246"/>
    </row>
    <row r="116" spans="3:76">
      <c r="C116" s="314" t="s">
        <v>346</v>
      </c>
      <c r="D116" s="318"/>
      <c r="E116" s="325">
        <f t="shared" ref="E116:BW116" si="37">E110+E111+E112+E113+E115</f>
        <v>0</v>
      </c>
      <c r="F116" s="325">
        <f t="shared" si="37"/>
        <v>0</v>
      </c>
      <c r="G116" s="325">
        <f t="shared" si="37"/>
        <v>0</v>
      </c>
      <c r="H116" s="325">
        <f t="shared" si="37"/>
        <v>-24698335</v>
      </c>
      <c r="I116" s="325">
        <f t="shared" si="37"/>
        <v>0</v>
      </c>
      <c r="J116" s="325">
        <f t="shared" si="37"/>
        <v>-7870667</v>
      </c>
      <c r="K116" s="325">
        <f t="shared" si="37"/>
        <v>0</v>
      </c>
      <c r="L116" s="325">
        <f t="shared" si="37"/>
        <v>0</v>
      </c>
      <c r="M116" s="325">
        <f t="shared" si="37"/>
        <v>0</v>
      </c>
      <c r="N116" s="325">
        <f t="shared" si="37"/>
        <v>0</v>
      </c>
      <c r="O116" s="325">
        <f t="shared" si="37"/>
        <v>0</v>
      </c>
      <c r="P116" s="325">
        <f t="shared" si="37"/>
        <v>0</v>
      </c>
      <c r="Q116" s="325">
        <f t="shared" si="37"/>
        <v>0</v>
      </c>
      <c r="R116" s="325">
        <f t="shared" si="37"/>
        <v>0</v>
      </c>
      <c r="S116" s="325">
        <f t="shared" si="37"/>
        <v>0</v>
      </c>
      <c r="T116" s="325" t="e">
        <f t="shared" si="37"/>
        <v>#REF!</v>
      </c>
      <c r="U116" s="325">
        <f t="shared" si="37"/>
        <v>0</v>
      </c>
      <c r="V116" s="325">
        <f t="shared" si="37"/>
        <v>0</v>
      </c>
      <c r="W116" s="325">
        <f t="shared" si="37"/>
        <v>0</v>
      </c>
      <c r="X116" s="325">
        <f t="shared" si="37"/>
        <v>0</v>
      </c>
      <c r="Y116" s="325">
        <f t="shared" si="37"/>
        <v>0</v>
      </c>
      <c r="Z116" s="325">
        <f t="shared" si="37"/>
        <v>0</v>
      </c>
      <c r="AA116" s="325">
        <f t="shared" si="37"/>
        <v>0</v>
      </c>
      <c r="AB116" s="325">
        <f t="shared" si="37"/>
        <v>0</v>
      </c>
      <c r="AC116" s="325">
        <f t="shared" si="37"/>
        <v>0</v>
      </c>
      <c r="AD116" s="325">
        <f t="shared" si="37"/>
        <v>0</v>
      </c>
      <c r="AE116" s="325">
        <f t="shared" si="37"/>
        <v>0</v>
      </c>
      <c r="AF116" s="325">
        <f t="shared" si="37"/>
        <v>0</v>
      </c>
      <c r="AG116" s="325">
        <f t="shared" si="37"/>
        <v>0</v>
      </c>
      <c r="AH116" s="325">
        <f t="shared" si="37"/>
        <v>0</v>
      </c>
      <c r="AI116" s="325">
        <f t="shared" si="37"/>
        <v>0</v>
      </c>
      <c r="AJ116" s="325">
        <f t="shared" si="37"/>
        <v>0</v>
      </c>
      <c r="AK116" s="325">
        <f t="shared" si="37"/>
        <v>0</v>
      </c>
      <c r="AL116" s="325">
        <f t="shared" si="37"/>
        <v>0</v>
      </c>
      <c r="AM116" s="325">
        <f t="shared" si="37"/>
        <v>0</v>
      </c>
      <c r="AN116" s="325">
        <f t="shared" si="37"/>
        <v>0</v>
      </c>
      <c r="AO116" s="325">
        <f t="shared" si="37"/>
        <v>0</v>
      </c>
      <c r="AP116" s="325">
        <f t="shared" si="37"/>
        <v>0</v>
      </c>
      <c r="AQ116" s="325">
        <f t="shared" si="37"/>
        <v>0</v>
      </c>
      <c r="AR116" s="325">
        <f t="shared" si="37"/>
        <v>0</v>
      </c>
      <c r="AS116" s="325">
        <f t="shared" si="37"/>
        <v>0</v>
      </c>
      <c r="AT116" s="325">
        <f t="shared" si="37"/>
        <v>0</v>
      </c>
      <c r="AU116" s="325">
        <f t="shared" si="37"/>
        <v>0</v>
      </c>
      <c r="AV116" s="325">
        <f t="shared" si="37"/>
        <v>0</v>
      </c>
      <c r="AW116" s="325">
        <f t="shared" si="37"/>
        <v>0</v>
      </c>
      <c r="AX116" s="325">
        <f t="shared" si="37"/>
        <v>0</v>
      </c>
      <c r="AY116" s="325">
        <f t="shared" si="37"/>
        <v>0</v>
      </c>
      <c r="AZ116" s="325">
        <f t="shared" si="37"/>
        <v>0</v>
      </c>
      <c r="BA116" s="325">
        <f t="shared" si="37"/>
        <v>0</v>
      </c>
      <c r="BB116" s="325">
        <f t="shared" si="37"/>
        <v>0</v>
      </c>
      <c r="BC116" s="325">
        <f t="shared" si="37"/>
        <v>0</v>
      </c>
      <c r="BD116" s="325">
        <f t="shared" si="37"/>
        <v>0</v>
      </c>
      <c r="BE116" s="325">
        <f t="shared" si="37"/>
        <v>0</v>
      </c>
      <c r="BF116" s="325">
        <f t="shared" si="37"/>
        <v>0</v>
      </c>
      <c r="BG116" s="325">
        <f t="shared" si="37"/>
        <v>0</v>
      </c>
      <c r="BH116" s="325">
        <f t="shared" si="37"/>
        <v>0</v>
      </c>
      <c r="BI116" s="325">
        <f t="shared" si="37"/>
        <v>0</v>
      </c>
      <c r="BJ116" s="325">
        <f t="shared" si="37"/>
        <v>0</v>
      </c>
      <c r="BK116" s="325">
        <f t="shared" si="37"/>
        <v>0</v>
      </c>
      <c r="BL116" s="325">
        <f t="shared" si="37"/>
        <v>0</v>
      </c>
      <c r="BM116" s="325">
        <f t="shared" si="37"/>
        <v>0</v>
      </c>
      <c r="BN116" s="325">
        <f t="shared" si="37"/>
        <v>0</v>
      </c>
      <c r="BO116" s="325">
        <f t="shared" si="37"/>
        <v>0</v>
      </c>
      <c r="BP116" s="325">
        <f t="shared" si="37"/>
        <v>0</v>
      </c>
      <c r="BQ116" s="325">
        <f t="shared" si="37"/>
        <v>0</v>
      </c>
      <c r="BR116" s="325">
        <f t="shared" si="37"/>
        <v>0</v>
      </c>
      <c r="BS116" s="325">
        <f t="shared" si="37"/>
        <v>0</v>
      </c>
      <c r="BT116" s="325">
        <f t="shared" si="37"/>
        <v>0</v>
      </c>
      <c r="BU116" s="325">
        <f t="shared" si="37"/>
        <v>0</v>
      </c>
      <c r="BV116" s="325">
        <f t="shared" si="37"/>
        <v>0</v>
      </c>
      <c r="BW116" s="325">
        <f t="shared" si="37"/>
        <v>0</v>
      </c>
      <c r="BX116" s="325" t="e">
        <f>BX110+BX111+BX112+BX113+BX114+BX115</f>
        <v>#VALUE!</v>
      </c>
    </row>
    <row r="117" spans="3:76">
      <c r="C117" s="317" t="s">
        <v>339</v>
      </c>
      <c r="D117" s="326" t="e">
        <f>IRR(E116:BX116)*12</f>
        <v>#VALUE!</v>
      </c>
      <c r="E117" s="226"/>
      <c r="F117" s="226"/>
      <c r="G117" s="226"/>
      <c r="H117" s="226"/>
      <c r="I117" s="226"/>
      <c r="J117" s="226"/>
      <c r="K117" s="226"/>
      <c r="L117" s="226"/>
      <c r="M117" s="226"/>
      <c r="N117" s="226"/>
      <c r="O117" s="226"/>
      <c r="P117" s="226"/>
      <c r="Q117" s="226"/>
      <c r="R117" s="226"/>
      <c r="S117" s="226"/>
      <c r="T117" s="226"/>
      <c r="U117" s="226"/>
      <c r="V117" s="226"/>
      <c r="W117" s="226"/>
      <c r="X117" s="226"/>
      <c r="Y117" s="226"/>
      <c r="Z117" s="226"/>
      <c r="AA117" s="226"/>
      <c r="AB117" s="226"/>
      <c r="AC117" s="226"/>
      <c r="AD117" s="226"/>
      <c r="AE117" s="226"/>
      <c r="AF117" s="226"/>
      <c r="AG117" s="226"/>
      <c r="AH117" s="226"/>
      <c r="AI117" s="226"/>
      <c r="AJ117" s="226"/>
      <c r="AK117" s="226"/>
      <c r="AL117" s="226"/>
      <c r="AM117" s="226"/>
      <c r="AN117" s="226"/>
      <c r="AO117" s="226"/>
      <c r="AP117" s="226"/>
      <c r="AQ117" s="226"/>
      <c r="AR117" s="226"/>
      <c r="AS117" s="226"/>
      <c r="AT117" s="226"/>
      <c r="AU117" s="226"/>
      <c r="AV117" s="226"/>
      <c r="AW117" s="226"/>
      <c r="AX117" s="226"/>
      <c r="AY117" s="226"/>
      <c r="AZ117" s="226"/>
      <c r="BA117" s="226"/>
      <c r="BB117" s="226"/>
      <c r="BC117" s="226"/>
      <c r="BD117" s="226"/>
      <c r="BE117" s="226"/>
      <c r="BF117" s="226"/>
      <c r="BG117" s="226"/>
      <c r="BH117" s="226"/>
      <c r="BI117" s="226"/>
      <c r="BJ117" s="226"/>
      <c r="BK117" s="226"/>
      <c r="BL117" s="226"/>
      <c r="BM117" s="226"/>
      <c r="BN117" s="226"/>
      <c r="BO117" s="226"/>
      <c r="BP117" s="226"/>
      <c r="BQ117" s="226"/>
      <c r="BR117" s="226"/>
      <c r="BS117" s="226"/>
      <c r="BT117" s="226"/>
      <c r="BU117" s="226"/>
      <c r="BV117" s="226"/>
      <c r="BW117" s="226"/>
      <c r="BX117" s="226"/>
    </row>
    <row r="118" spans="3:76">
      <c r="C118" s="327" t="s">
        <v>347</v>
      </c>
      <c r="D118" s="328">
        <f>SUM(BY5:BY6)</f>
        <v>24235669</v>
      </c>
      <c r="E118" s="226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26"/>
      <c r="AJ118" s="226"/>
      <c r="AK118" s="226"/>
      <c r="AL118" s="226"/>
      <c r="AM118" s="226"/>
      <c r="AN118" s="226"/>
      <c r="AO118" s="226"/>
      <c r="AP118" s="226"/>
      <c r="AQ118" s="226"/>
      <c r="AR118" s="226"/>
      <c r="AS118" s="226"/>
      <c r="AT118" s="226"/>
      <c r="AU118" s="226"/>
      <c r="AV118" s="226"/>
      <c r="AW118" s="226"/>
      <c r="AX118" s="226"/>
      <c r="AY118" s="226"/>
      <c r="AZ118" s="226"/>
      <c r="BA118" s="226"/>
      <c r="BB118" s="226"/>
      <c r="BC118" s="226"/>
      <c r="BD118" s="226"/>
      <c r="BE118" s="226"/>
      <c r="BF118" s="226"/>
      <c r="BG118" s="226"/>
      <c r="BH118" s="226"/>
      <c r="BI118" s="226"/>
      <c r="BJ118" s="226"/>
      <c r="BK118" s="226"/>
      <c r="BL118" s="226"/>
      <c r="BM118" s="226"/>
      <c r="BN118" s="226"/>
      <c r="BO118" s="226"/>
      <c r="BP118" s="226"/>
      <c r="BQ118" s="226"/>
      <c r="BR118" s="226"/>
      <c r="BS118" s="226"/>
      <c r="BT118" s="226"/>
      <c r="BU118" s="226"/>
      <c r="BV118" s="226"/>
      <c r="BW118" s="226"/>
      <c r="BX118" s="226"/>
    </row>
    <row r="119" spans="3:76">
      <c r="C119" s="327" t="s">
        <v>348</v>
      </c>
      <c r="D119" s="328">
        <f>-SUM(E111:BM111)</f>
        <v>8333333</v>
      </c>
      <c r="E119" s="226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42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  <c r="AI119" s="226"/>
      <c r="AJ119" s="226"/>
      <c r="AK119" s="226"/>
      <c r="AL119" s="226"/>
      <c r="AM119" s="226"/>
      <c r="AN119" s="226"/>
      <c r="AO119" s="226"/>
      <c r="AP119" s="226"/>
      <c r="AQ119" s="226"/>
      <c r="AR119" s="226"/>
      <c r="AS119" s="226"/>
      <c r="AT119" s="226"/>
      <c r="AU119" s="226"/>
      <c r="AV119" s="226"/>
      <c r="AW119" s="226"/>
      <c r="AX119" s="226"/>
      <c r="AY119" s="226"/>
      <c r="AZ119" s="226"/>
      <c r="BA119" s="226"/>
      <c r="BB119" s="226"/>
      <c r="BC119" s="226"/>
      <c r="BD119" s="226"/>
      <c r="BE119" s="226"/>
      <c r="BF119" s="226"/>
      <c r="BG119" s="226"/>
      <c r="BH119" s="226"/>
      <c r="BI119" s="226"/>
      <c r="BJ119" s="226"/>
      <c r="BK119" s="226"/>
      <c r="BL119" s="226"/>
      <c r="BM119" s="226"/>
      <c r="BN119" s="226"/>
      <c r="BO119" s="226"/>
      <c r="BP119" s="226"/>
      <c r="BQ119" s="226"/>
      <c r="BR119" s="226"/>
      <c r="BS119" s="226"/>
      <c r="BT119" s="226"/>
      <c r="BU119" s="226"/>
      <c r="BV119" s="226"/>
      <c r="BW119" s="226"/>
      <c r="BX119" s="226"/>
    </row>
    <row r="120" spans="3:76">
      <c r="C120" s="317" t="s">
        <v>349</v>
      </c>
      <c r="D120" s="329">
        <f>D118+D119</f>
        <v>32569002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784" t="s">
        <v>625</v>
      </c>
      <c r="T120" s="772"/>
      <c r="U120" s="226"/>
      <c r="V120" s="226">
        <f>T110+5000000+3333333</f>
        <v>32569002</v>
      </c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6"/>
      <c r="BQ120" s="226"/>
      <c r="BR120" s="226"/>
      <c r="BS120" s="226"/>
      <c r="BT120" s="226"/>
      <c r="BU120" s="226"/>
      <c r="BV120" s="226"/>
      <c r="BW120" s="226"/>
      <c r="BX120" s="226"/>
    </row>
    <row r="121" spans="3:76">
      <c r="C121" s="317" t="s">
        <v>350</v>
      </c>
      <c r="D121" s="329" t="e">
        <f>T116-D118</f>
        <v>#REF!</v>
      </c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784" t="s">
        <v>626</v>
      </c>
      <c r="T121" s="772"/>
      <c r="U121" s="226"/>
      <c r="V121" s="226">
        <f>V120+11000000</f>
        <v>43569002</v>
      </c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  <c r="BX121" s="226"/>
    </row>
    <row r="122" spans="3:76">
      <c r="C122" s="317" t="s">
        <v>351</v>
      </c>
      <c r="D122" s="326" t="e">
        <f>(D121-D119)/D120</f>
        <v>#REF!</v>
      </c>
      <c r="E122" s="226"/>
      <c r="F122" s="242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 t="s">
        <v>627</v>
      </c>
      <c r="T122" s="226"/>
      <c r="U122" s="226"/>
      <c r="V122" s="226" t="e">
        <f>T116-V121</f>
        <v>#REF!</v>
      </c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  <c r="BX122" s="226"/>
    </row>
    <row r="123" spans="3:76"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226"/>
      <c r="T123" s="226"/>
      <c r="U123" s="226"/>
      <c r="V123" s="242" t="e">
        <f>V122/-J110</f>
        <v>#REF!</v>
      </c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Y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  <c r="BX123" s="226"/>
    </row>
    <row r="124" spans="3:76"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226"/>
      <c r="T124" s="226"/>
      <c r="U124" s="226"/>
      <c r="V124" s="226"/>
      <c r="W124" s="226"/>
      <c r="X124" s="226"/>
      <c r="Y124" s="226"/>
      <c r="Z124" s="226"/>
      <c r="AA124" s="226"/>
      <c r="AB124" s="226"/>
      <c r="AC124" s="226"/>
      <c r="AD124" s="226"/>
      <c r="AE124" s="226"/>
      <c r="AF124" s="226"/>
      <c r="AG124" s="226"/>
      <c r="AH124" s="226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AY124" s="226"/>
      <c r="AZ124" s="226"/>
      <c r="BA124" s="226"/>
      <c r="BB124" s="226"/>
      <c r="BC124" s="226"/>
      <c r="BD124" s="226"/>
      <c r="BE124" s="226"/>
      <c r="BF124" s="226"/>
      <c r="BG124" s="226"/>
      <c r="BH124" s="226"/>
      <c r="BI124" s="226"/>
      <c r="BJ124" s="226"/>
      <c r="BK124" s="226"/>
      <c r="BL124" s="226"/>
      <c r="BM124" s="226"/>
      <c r="BN124" s="226"/>
      <c r="BO124" s="226"/>
      <c r="BP124" s="226"/>
      <c r="BQ124" s="226"/>
      <c r="BR124" s="226"/>
      <c r="BS124" s="226"/>
      <c r="BT124" s="226"/>
      <c r="BU124" s="226"/>
      <c r="BV124" s="226"/>
      <c r="BW124" s="226"/>
      <c r="BX124" s="226"/>
    </row>
    <row r="125" spans="3:76">
      <c r="E125" s="226"/>
      <c r="F125" s="226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/>
      <c r="T125" s="226"/>
      <c r="U125" s="226"/>
      <c r="V125" s="226"/>
      <c r="W125" s="226"/>
      <c r="X125" s="226"/>
      <c r="Y125" s="226"/>
      <c r="Z125" s="226"/>
      <c r="AA125" s="226"/>
      <c r="AB125" s="226"/>
      <c r="AC125" s="226"/>
      <c r="AD125" s="226"/>
      <c r="AE125" s="226"/>
      <c r="AF125" s="226"/>
      <c r="AG125" s="226"/>
      <c r="AH125" s="226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AY125" s="226"/>
      <c r="AZ125" s="226"/>
      <c r="BA125" s="226"/>
      <c r="BB125" s="226"/>
      <c r="BC125" s="226"/>
      <c r="BD125" s="226"/>
      <c r="BE125" s="226"/>
      <c r="BF125" s="226"/>
      <c r="BG125" s="226"/>
      <c r="BH125" s="226"/>
      <c r="BI125" s="226"/>
      <c r="BJ125" s="226"/>
      <c r="BK125" s="226"/>
      <c r="BL125" s="226"/>
      <c r="BM125" s="226"/>
      <c r="BN125" s="226"/>
      <c r="BO125" s="226"/>
      <c r="BP125" s="226"/>
      <c r="BQ125" s="226"/>
      <c r="BR125" s="226"/>
      <c r="BS125" s="226"/>
      <c r="BT125" s="226"/>
      <c r="BU125" s="226"/>
      <c r="BV125" s="226"/>
      <c r="BW125" s="226"/>
      <c r="BX125" s="226"/>
    </row>
    <row r="126" spans="3:76"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26"/>
      <c r="W126" s="226"/>
      <c r="X126" s="226"/>
      <c r="Y126" s="226"/>
      <c r="Z126" s="226"/>
      <c r="AA126" s="226"/>
      <c r="AB126" s="226"/>
      <c r="AC126" s="226"/>
      <c r="AD126" s="226"/>
      <c r="AE126" s="226"/>
      <c r="AF126" s="226"/>
      <c r="AG126" s="226"/>
      <c r="AH126" s="226"/>
      <c r="AI126" s="226"/>
      <c r="AJ126" s="226"/>
      <c r="AK126" s="226"/>
      <c r="AL126" s="226"/>
      <c r="AM126" s="226"/>
      <c r="AN126" s="226"/>
      <c r="AO126" s="226"/>
      <c r="AP126" s="226"/>
      <c r="AQ126" s="226"/>
      <c r="AR126" s="226"/>
      <c r="AS126" s="226"/>
      <c r="AT126" s="226"/>
      <c r="AU126" s="226"/>
      <c r="AV126" s="226"/>
      <c r="AW126" s="226"/>
      <c r="AX126" s="226"/>
      <c r="AY126" s="226"/>
      <c r="AZ126" s="226"/>
      <c r="BA126" s="226"/>
      <c r="BB126" s="226"/>
      <c r="BC126" s="226"/>
      <c r="BD126" s="226"/>
      <c r="BE126" s="226"/>
      <c r="BF126" s="226"/>
      <c r="BG126" s="226"/>
      <c r="BH126" s="226"/>
      <c r="BI126" s="226"/>
      <c r="BJ126" s="226"/>
      <c r="BK126" s="226"/>
      <c r="BL126" s="226"/>
      <c r="BM126" s="226"/>
      <c r="BN126" s="226"/>
      <c r="BO126" s="226"/>
      <c r="BP126" s="226"/>
      <c r="BQ126" s="226"/>
      <c r="BR126" s="226"/>
      <c r="BS126" s="226"/>
      <c r="BT126" s="226"/>
      <c r="BU126" s="226"/>
      <c r="BV126" s="226"/>
      <c r="BW126" s="226"/>
      <c r="BX126" s="226"/>
    </row>
    <row r="127" spans="3:76">
      <c r="E127" s="226"/>
      <c r="F127" s="226"/>
      <c r="G127" s="226"/>
      <c r="H127" s="226"/>
      <c r="I127" s="226"/>
      <c r="J127" s="226"/>
      <c r="K127" s="226"/>
      <c r="L127" s="22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26"/>
      <c r="X127" s="226"/>
      <c r="Y127" s="226"/>
      <c r="Z127" s="226"/>
      <c r="AA127" s="226"/>
      <c r="AB127" s="226"/>
      <c r="AC127" s="226"/>
      <c r="AD127" s="226"/>
      <c r="AE127" s="226"/>
      <c r="AF127" s="226"/>
      <c r="AG127" s="226"/>
      <c r="AH127" s="226"/>
      <c r="AI127" s="226"/>
      <c r="AJ127" s="226"/>
      <c r="AK127" s="226"/>
      <c r="AL127" s="226"/>
      <c r="AM127" s="226"/>
      <c r="AN127" s="226"/>
      <c r="AO127" s="226"/>
      <c r="AP127" s="226"/>
      <c r="AQ127" s="226"/>
      <c r="AR127" s="226"/>
      <c r="AS127" s="226"/>
      <c r="AT127" s="226"/>
      <c r="AU127" s="226"/>
      <c r="AV127" s="226"/>
      <c r="AW127" s="226"/>
      <c r="AX127" s="226"/>
      <c r="AY127" s="226"/>
      <c r="AZ127" s="226"/>
      <c r="BA127" s="226"/>
      <c r="BB127" s="226"/>
      <c r="BC127" s="226"/>
      <c r="BD127" s="226"/>
      <c r="BE127" s="226"/>
      <c r="BF127" s="226"/>
      <c r="BG127" s="226"/>
      <c r="BH127" s="226"/>
      <c r="BI127" s="226"/>
      <c r="BJ127" s="226"/>
      <c r="BK127" s="226"/>
      <c r="BL127" s="226"/>
      <c r="BM127" s="226"/>
      <c r="BN127" s="226"/>
      <c r="BO127" s="226"/>
      <c r="BP127" s="226"/>
      <c r="BQ127" s="226"/>
      <c r="BR127" s="226"/>
      <c r="BS127" s="226"/>
      <c r="BT127" s="226"/>
      <c r="BU127" s="226"/>
      <c r="BV127" s="226"/>
      <c r="BW127" s="226"/>
      <c r="BX127" s="226"/>
    </row>
    <row r="128" spans="3:76">
      <c r="C128" s="314" t="s">
        <v>352</v>
      </c>
      <c r="D128" s="315"/>
      <c r="E128" s="315">
        <f t="shared" ref="E128:BX128" si="38">-(E6+E90)</f>
        <v>0</v>
      </c>
      <c r="F128" s="315">
        <f t="shared" si="38"/>
        <v>0</v>
      </c>
      <c r="G128" s="315">
        <f t="shared" si="38"/>
        <v>0</v>
      </c>
      <c r="H128" s="315">
        <f t="shared" si="38"/>
        <v>0</v>
      </c>
      <c r="I128" s="315">
        <f t="shared" si="38"/>
        <v>0</v>
      </c>
      <c r="J128" s="315">
        <f t="shared" si="38"/>
        <v>-7870667</v>
      </c>
      <c r="K128" s="315">
        <f t="shared" si="38"/>
        <v>0</v>
      </c>
      <c r="L128" s="315">
        <f t="shared" si="38"/>
        <v>0</v>
      </c>
      <c r="M128" s="315">
        <f t="shared" si="38"/>
        <v>0</v>
      </c>
      <c r="N128" s="315">
        <f t="shared" si="38"/>
        <v>0</v>
      </c>
      <c r="O128" s="315">
        <f t="shared" si="38"/>
        <v>0</v>
      </c>
      <c r="P128" s="315">
        <f t="shared" si="38"/>
        <v>0</v>
      </c>
      <c r="Q128" s="315">
        <f t="shared" si="38"/>
        <v>0</v>
      </c>
      <c r="R128" s="315">
        <f t="shared" si="38"/>
        <v>0</v>
      </c>
      <c r="S128" s="315">
        <f t="shared" si="38"/>
        <v>0</v>
      </c>
      <c r="T128" s="315">
        <f t="shared" si="38"/>
        <v>7870667</v>
      </c>
      <c r="U128" s="315">
        <f t="shared" si="38"/>
        <v>0</v>
      </c>
      <c r="V128" s="315">
        <f t="shared" si="38"/>
        <v>0</v>
      </c>
      <c r="W128" s="315">
        <f t="shared" si="38"/>
        <v>0</v>
      </c>
      <c r="X128" s="315">
        <f t="shared" si="38"/>
        <v>0</v>
      </c>
      <c r="Y128" s="315">
        <f t="shared" si="38"/>
        <v>0</v>
      </c>
      <c r="Z128" s="315">
        <f t="shared" si="38"/>
        <v>0</v>
      </c>
      <c r="AA128" s="315">
        <f t="shared" si="38"/>
        <v>0</v>
      </c>
      <c r="AB128" s="315">
        <f t="shared" si="38"/>
        <v>0</v>
      </c>
      <c r="AC128" s="315">
        <f t="shared" si="38"/>
        <v>0</v>
      </c>
      <c r="AD128" s="315">
        <f t="shared" si="38"/>
        <v>0</v>
      </c>
      <c r="AE128" s="315">
        <f t="shared" si="38"/>
        <v>0</v>
      </c>
      <c r="AF128" s="315">
        <f t="shared" si="38"/>
        <v>0</v>
      </c>
      <c r="AG128" s="315">
        <f t="shared" si="38"/>
        <v>0</v>
      </c>
      <c r="AH128" s="315">
        <f t="shared" si="38"/>
        <v>0</v>
      </c>
      <c r="AI128" s="315">
        <f t="shared" si="38"/>
        <v>0</v>
      </c>
      <c r="AJ128" s="315">
        <f t="shared" si="38"/>
        <v>0</v>
      </c>
      <c r="AK128" s="315">
        <f t="shared" si="38"/>
        <v>0</v>
      </c>
      <c r="AL128" s="315">
        <f t="shared" si="38"/>
        <v>0</v>
      </c>
      <c r="AM128" s="315">
        <f t="shared" si="38"/>
        <v>0</v>
      </c>
      <c r="AN128" s="315">
        <f t="shared" si="38"/>
        <v>0</v>
      </c>
      <c r="AO128" s="315">
        <f t="shared" si="38"/>
        <v>0</v>
      </c>
      <c r="AP128" s="315">
        <f t="shared" si="38"/>
        <v>0</v>
      </c>
      <c r="AQ128" s="315">
        <f t="shared" si="38"/>
        <v>0</v>
      </c>
      <c r="AR128" s="315">
        <f t="shared" si="38"/>
        <v>0</v>
      </c>
      <c r="AS128" s="315">
        <f t="shared" si="38"/>
        <v>0</v>
      </c>
      <c r="AT128" s="315">
        <f t="shared" si="38"/>
        <v>0</v>
      </c>
      <c r="AU128" s="315">
        <f t="shared" si="38"/>
        <v>0</v>
      </c>
      <c r="AV128" s="315">
        <f t="shared" si="38"/>
        <v>0</v>
      </c>
      <c r="AW128" s="315">
        <f t="shared" si="38"/>
        <v>0</v>
      </c>
      <c r="AX128" s="315">
        <f t="shared" si="38"/>
        <v>0</v>
      </c>
      <c r="AY128" s="315">
        <f t="shared" si="38"/>
        <v>0</v>
      </c>
      <c r="AZ128" s="315">
        <f t="shared" si="38"/>
        <v>0</v>
      </c>
      <c r="BA128" s="315">
        <f t="shared" si="38"/>
        <v>0</v>
      </c>
      <c r="BB128" s="315">
        <f t="shared" si="38"/>
        <v>0</v>
      </c>
      <c r="BC128" s="315">
        <f t="shared" si="38"/>
        <v>0</v>
      </c>
      <c r="BD128" s="315">
        <f t="shared" si="38"/>
        <v>0</v>
      </c>
      <c r="BE128" s="315">
        <f t="shared" si="38"/>
        <v>0</v>
      </c>
      <c r="BF128" s="315">
        <f t="shared" si="38"/>
        <v>0</v>
      </c>
      <c r="BG128" s="315">
        <f t="shared" si="38"/>
        <v>0</v>
      </c>
      <c r="BH128" s="315">
        <f t="shared" si="38"/>
        <v>0</v>
      </c>
      <c r="BI128" s="315">
        <f t="shared" si="38"/>
        <v>0</v>
      </c>
      <c r="BJ128" s="315">
        <f t="shared" si="38"/>
        <v>0</v>
      </c>
      <c r="BK128" s="315">
        <f t="shared" si="38"/>
        <v>0</v>
      </c>
      <c r="BL128" s="315">
        <f t="shared" si="38"/>
        <v>0</v>
      </c>
      <c r="BM128" s="315">
        <f t="shared" si="38"/>
        <v>0</v>
      </c>
      <c r="BN128" s="315">
        <f t="shared" si="38"/>
        <v>0</v>
      </c>
      <c r="BO128" s="315">
        <f t="shared" si="38"/>
        <v>0</v>
      </c>
      <c r="BP128" s="315">
        <f t="shared" si="38"/>
        <v>0</v>
      </c>
      <c r="BQ128" s="315">
        <f t="shared" si="38"/>
        <v>0</v>
      </c>
      <c r="BR128" s="315">
        <f t="shared" si="38"/>
        <v>0</v>
      </c>
      <c r="BS128" s="315">
        <f t="shared" si="38"/>
        <v>0</v>
      </c>
      <c r="BT128" s="315">
        <f t="shared" si="38"/>
        <v>0</v>
      </c>
      <c r="BU128" s="315">
        <f t="shared" si="38"/>
        <v>0</v>
      </c>
      <c r="BV128" s="315">
        <f t="shared" si="38"/>
        <v>0</v>
      </c>
      <c r="BW128" s="315">
        <f t="shared" si="38"/>
        <v>0</v>
      </c>
      <c r="BX128" s="315">
        <f t="shared" si="38"/>
        <v>0</v>
      </c>
    </row>
    <row r="129" spans="3:76">
      <c r="C129" s="314" t="s">
        <v>353</v>
      </c>
      <c r="D129" s="323"/>
      <c r="E129" s="315"/>
      <c r="F129" s="315"/>
      <c r="G129" s="315"/>
      <c r="H129" s="315"/>
      <c r="I129" s="315"/>
      <c r="J129" s="315"/>
      <c r="K129" s="315"/>
      <c r="L129" s="315"/>
      <c r="M129" s="315"/>
      <c r="N129" s="315"/>
      <c r="O129" s="315"/>
      <c r="P129" s="315"/>
      <c r="Q129" s="315"/>
      <c r="R129" s="315"/>
      <c r="S129" s="315"/>
      <c r="T129" s="315"/>
      <c r="U129" s="315"/>
      <c r="V129" s="315"/>
      <c r="W129" s="315"/>
      <c r="X129" s="315"/>
      <c r="Y129" s="315"/>
      <c r="Z129" s="315"/>
      <c r="AA129" s="315"/>
      <c r="AB129" s="315"/>
      <c r="AC129" s="315"/>
      <c r="AD129" s="315"/>
      <c r="AE129" s="315"/>
      <c r="AF129" s="315"/>
      <c r="AG129" s="315"/>
      <c r="AH129" s="315"/>
      <c r="AI129" s="315"/>
      <c r="AJ129" s="315"/>
      <c r="AK129" s="315"/>
      <c r="AL129" s="315"/>
      <c r="AM129" s="315"/>
      <c r="AN129" s="315"/>
      <c r="AO129" s="315"/>
      <c r="AP129" s="315"/>
      <c r="AQ129" s="315"/>
      <c r="AR129" s="315"/>
      <c r="AS129" s="315"/>
      <c r="AT129" s="315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</row>
    <row r="130" spans="3:76">
      <c r="C130" s="314" t="s">
        <v>343</v>
      </c>
      <c r="D130" s="323"/>
      <c r="E130" s="315">
        <f t="shared" ref="E130:BX130" si="39">-E55</f>
        <v>0</v>
      </c>
      <c r="F130" s="315">
        <f t="shared" si="39"/>
        <v>0</v>
      </c>
      <c r="G130" s="315">
        <f t="shared" si="39"/>
        <v>0</v>
      </c>
      <c r="H130" s="315">
        <f t="shared" si="39"/>
        <v>0</v>
      </c>
      <c r="I130" s="315">
        <f t="shared" si="39"/>
        <v>0</v>
      </c>
      <c r="J130" s="315">
        <f t="shared" si="39"/>
        <v>0</v>
      </c>
      <c r="K130" s="315">
        <f t="shared" si="39"/>
        <v>0</v>
      </c>
      <c r="L130" s="315">
        <f t="shared" si="39"/>
        <v>0</v>
      </c>
      <c r="M130" s="315">
        <f t="shared" si="39"/>
        <v>0</v>
      </c>
      <c r="N130" s="315">
        <f t="shared" si="39"/>
        <v>0</v>
      </c>
      <c r="O130" s="315">
        <f t="shared" si="39"/>
        <v>0</v>
      </c>
      <c r="P130" s="315">
        <f t="shared" si="39"/>
        <v>0</v>
      </c>
      <c r="Q130" s="315">
        <f t="shared" si="39"/>
        <v>0</v>
      </c>
      <c r="R130" s="315">
        <f t="shared" si="39"/>
        <v>0</v>
      </c>
      <c r="S130" s="315">
        <f t="shared" si="39"/>
        <v>0</v>
      </c>
      <c r="T130" s="315" t="e">
        <f t="shared" si="39"/>
        <v>#REF!</v>
      </c>
      <c r="U130" s="315">
        <f t="shared" si="39"/>
        <v>0</v>
      </c>
      <c r="V130" s="315">
        <f t="shared" si="39"/>
        <v>0</v>
      </c>
      <c r="W130" s="315">
        <f t="shared" si="39"/>
        <v>0</v>
      </c>
      <c r="X130" s="315">
        <f t="shared" si="39"/>
        <v>0</v>
      </c>
      <c r="Y130" s="315">
        <f t="shared" si="39"/>
        <v>0</v>
      </c>
      <c r="Z130" s="315">
        <f t="shared" si="39"/>
        <v>0</v>
      </c>
      <c r="AA130" s="315">
        <f t="shared" si="39"/>
        <v>0</v>
      </c>
      <c r="AB130" s="315">
        <f t="shared" si="39"/>
        <v>0</v>
      </c>
      <c r="AC130" s="315">
        <f t="shared" si="39"/>
        <v>0</v>
      </c>
      <c r="AD130" s="315">
        <f t="shared" si="39"/>
        <v>0</v>
      </c>
      <c r="AE130" s="315">
        <f t="shared" si="39"/>
        <v>0</v>
      </c>
      <c r="AF130" s="315">
        <f t="shared" si="39"/>
        <v>0</v>
      </c>
      <c r="AG130" s="315">
        <f t="shared" si="39"/>
        <v>0</v>
      </c>
      <c r="AH130" s="315">
        <f t="shared" si="39"/>
        <v>0</v>
      </c>
      <c r="AI130" s="315">
        <f t="shared" si="39"/>
        <v>0</v>
      </c>
      <c r="AJ130" s="315">
        <f t="shared" si="39"/>
        <v>0</v>
      </c>
      <c r="AK130" s="315">
        <f t="shared" si="39"/>
        <v>0</v>
      </c>
      <c r="AL130" s="315">
        <f t="shared" si="39"/>
        <v>0</v>
      </c>
      <c r="AM130" s="315">
        <f t="shared" si="39"/>
        <v>0</v>
      </c>
      <c r="AN130" s="315">
        <f t="shared" si="39"/>
        <v>0</v>
      </c>
      <c r="AO130" s="315">
        <f t="shared" si="39"/>
        <v>0</v>
      </c>
      <c r="AP130" s="315">
        <f t="shared" si="39"/>
        <v>0</v>
      </c>
      <c r="AQ130" s="315">
        <f t="shared" si="39"/>
        <v>0</v>
      </c>
      <c r="AR130" s="315">
        <f t="shared" si="39"/>
        <v>0</v>
      </c>
      <c r="AS130" s="315">
        <f t="shared" si="39"/>
        <v>0</v>
      </c>
      <c r="AT130" s="315">
        <f t="shared" si="39"/>
        <v>0</v>
      </c>
      <c r="AU130" s="315">
        <f t="shared" si="39"/>
        <v>0</v>
      </c>
      <c r="AV130" s="315">
        <f t="shared" si="39"/>
        <v>0</v>
      </c>
      <c r="AW130" s="315">
        <f t="shared" si="39"/>
        <v>0</v>
      </c>
      <c r="AX130" s="315">
        <f t="shared" si="39"/>
        <v>0</v>
      </c>
      <c r="AY130" s="315">
        <f t="shared" si="39"/>
        <v>0</v>
      </c>
      <c r="AZ130" s="315">
        <f t="shared" si="39"/>
        <v>0</v>
      </c>
      <c r="BA130" s="315">
        <f t="shared" si="39"/>
        <v>0</v>
      </c>
      <c r="BB130" s="315">
        <f t="shared" si="39"/>
        <v>0</v>
      </c>
      <c r="BC130" s="315">
        <f t="shared" si="39"/>
        <v>0</v>
      </c>
      <c r="BD130" s="315">
        <f t="shared" si="39"/>
        <v>0</v>
      </c>
      <c r="BE130" s="315">
        <f t="shared" si="39"/>
        <v>0</v>
      </c>
      <c r="BF130" s="315">
        <f t="shared" si="39"/>
        <v>0</v>
      </c>
      <c r="BG130" s="315">
        <f t="shared" si="39"/>
        <v>0</v>
      </c>
      <c r="BH130" s="315">
        <f t="shared" si="39"/>
        <v>0</v>
      </c>
      <c r="BI130" s="315">
        <f t="shared" si="39"/>
        <v>0</v>
      </c>
      <c r="BJ130" s="315">
        <f t="shared" si="39"/>
        <v>0</v>
      </c>
      <c r="BK130" s="315">
        <f t="shared" si="39"/>
        <v>0</v>
      </c>
      <c r="BL130" s="315">
        <f t="shared" si="39"/>
        <v>0</v>
      </c>
      <c r="BM130" s="315">
        <f t="shared" si="39"/>
        <v>0</v>
      </c>
      <c r="BN130" s="315">
        <f t="shared" si="39"/>
        <v>0</v>
      </c>
      <c r="BO130" s="315">
        <f t="shared" si="39"/>
        <v>0</v>
      </c>
      <c r="BP130" s="315">
        <f t="shared" si="39"/>
        <v>0</v>
      </c>
      <c r="BQ130" s="315">
        <f t="shared" si="39"/>
        <v>0</v>
      </c>
      <c r="BR130" s="315">
        <f t="shared" si="39"/>
        <v>0</v>
      </c>
      <c r="BS130" s="315">
        <f t="shared" si="39"/>
        <v>0</v>
      </c>
      <c r="BT130" s="315">
        <f t="shared" si="39"/>
        <v>0</v>
      </c>
      <c r="BU130" s="315">
        <f t="shared" si="39"/>
        <v>0</v>
      </c>
      <c r="BV130" s="315">
        <f t="shared" si="39"/>
        <v>0</v>
      </c>
      <c r="BW130" s="315">
        <f t="shared" si="39"/>
        <v>0</v>
      </c>
      <c r="BX130" s="315">
        <f t="shared" si="39"/>
        <v>0</v>
      </c>
    </row>
    <row r="131" spans="3:76">
      <c r="C131" s="314" t="s">
        <v>344</v>
      </c>
      <c r="D131" s="323"/>
      <c r="E131" s="315"/>
      <c r="F131" s="315"/>
      <c r="G131" s="315"/>
      <c r="H131" s="315"/>
      <c r="I131" s="315"/>
      <c r="J131" s="315"/>
      <c r="K131" s="315"/>
      <c r="L131" s="315"/>
      <c r="M131" s="315"/>
      <c r="N131" s="315"/>
      <c r="O131" s="315"/>
      <c r="P131" s="315"/>
      <c r="Q131" s="315"/>
      <c r="R131" s="315"/>
      <c r="S131" s="315"/>
      <c r="T131" s="315" t="e">
        <f>T98-T147-T163-T179</f>
        <v>#REF!</v>
      </c>
      <c r="U131" s="315"/>
      <c r="V131" s="315"/>
      <c r="W131" s="315"/>
      <c r="X131" s="315"/>
      <c r="Y131" s="315"/>
      <c r="Z131" s="315"/>
      <c r="AA131" s="315"/>
      <c r="AB131" s="315"/>
      <c r="AC131" s="315"/>
      <c r="AD131" s="315"/>
      <c r="AE131" s="315"/>
      <c r="AF131" s="315"/>
      <c r="AG131" s="315"/>
      <c r="AH131" s="315"/>
      <c r="AI131" s="315"/>
      <c r="AJ131" s="315"/>
      <c r="AK131" s="315"/>
      <c r="AL131" s="315"/>
      <c r="AM131" s="315"/>
      <c r="AN131" s="315"/>
      <c r="AO131" s="315"/>
      <c r="AP131" s="315"/>
      <c r="AQ131" s="315"/>
      <c r="AR131" s="315"/>
      <c r="AS131" s="315"/>
      <c r="AT131" s="315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 t="e">
        <f>IF(D103&gt;0.25,(BX98-BX106)*D132,BX98*D132)</f>
        <v>#VALUE!</v>
      </c>
    </row>
    <row r="132" spans="3:76">
      <c r="C132" s="317" t="s">
        <v>345</v>
      </c>
      <c r="D132" s="323">
        <v>0</v>
      </c>
      <c r="E132" s="246"/>
      <c r="F132" s="246"/>
      <c r="G132" s="246"/>
      <c r="H132" s="246"/>
      <c r="I132" s="246"/>
      <c r="J132" s="246"/>
      <c r="K132" s="246"/>
      <c r="L132" s="246"/>
      <c r="M132" s="246"/>
      <c r="N132" s="246"/>
      <c r="O132" s="246"/>
      <c r="P132" s="246"/>
      <c r="Q132" s="246"/>
      <c r="R132" s="246"/>
      <c r="S132" s="246"/>
      <c r="T132" s="246"/>
      <c r="U132" s="246"/>
      <c r="V132" s="246"/>
      <c r="W132" s="246"/>
      <c r="X132" s="246"/>
      <c r="Y132" s="246"/>
      <c r="Z132" s="246"/>
      <c r="AA132" s="246"/>
      <c r="AB132" s="246"/>
      <c r="AC132" s="246"/>
      <c r="AD132" s="246"/>
      <c r="AE132" s="246"/>
      <c r="AF132" s="246"/>
      <c r="AG132" s="246"/>
      <c r="AH132" s="246"/>
      <c r="AI132" s="246"/>
      <c r="AJ132" s="246"/>
      <c r="AK132" s="246"/>
      <c r="AL132" s="246"/>
      <c r="AM132" s="246"/>
      <c r="AN132" s="246"/>
      <c r="AO132" s="246"/>
      <c r="AP132" s="246"/>
      <c r="AQ132" s="246"/>
      <c r="AR132" s="246"/>
      <c r="AS132" s="246"/>
      <c r="AT132" s="246"/>
      <c r="AU132" s="246"/>
      <c r="AV132" s="246"/>
      <c r="AW132" s="246"/>
      <c r="AX132" s="246"/>
      <c r="AY132" s="246"/>
      <c r="AZ132" s="246"/>
      <c r="BA132" s="246"/>
      <c r="BB132" s="246"/>
      <c r="BC132" s="246"/>
      <c r="BD132" s="246"/>
      <c r="BE132" s="246"/>
      <c r="BF132" s="246"/>
      <c r="BG132" s="246"/>
      <c r="BH132" s="246"/>
      <c r="BI132" s="246"/>
      <c r="BJ132" s="246"/>
      <c r="BK132" s="246"/>
      <c r="BL132" s="246"/>
      <c r="BM132" s="246"/>
      <c r="BN132" s="246"/>
      <c r="BO132" s="246"/>
      <c r="BP132" s="246"/>
      <c r="BQ132" s="246"/>
      <c r="BR132" s="246"/>
      <c r="BS132" s="246"/>
      <c r="BT132" s="246"/>
      <c r="BU132" s="246"/>
      <c r="BV132" s="246"/>
      <c r="BW132" s="246"/>
      <c r="BX132" s="246"/>
    </row>
    <row r="133" spans="3:76">
      <c r="C133" s="314" t="s">
        <v>346</v>
      </c>
      <c r="D133" s="315"/>
      <c r="E133" s="325">
        <f t="shared" ref="E133:BX133" si="40">E128+E129+E130+E131+E132</f>
        <v>0</v>
      </c>
      <c r="F133" s="325">
        <f t="shared" si="40"/>
        <v>0</v>
      </c>
      <c r="G133" s="325">
        <f t="shared" si="40"/>
        <v>0</v>
      </c>
      <c r="H133" s="325">
        <f t="shared" si="40"/>
        <v>0</v>
      </c>
      <c r="I133" s="325">
        <f t="shared" si="40"/>
        <v>0</v>
      </c>
      <c r="J133" s="325">
        <f t="shared" si="40"/>
        <v>-7870667</v>
      </c>
      <c r="K133" s="325">
        <f t="shared" si="40"/>
        <v>0</v>
      </c>
      <c r="L133" s="325">
        <f t="shared" si="40"/>
        <v>0</v>
      </c>
      <c r="M133" s="325">
        <f t="shared" si="40"/>
        <v>0</v>
      </c>
      <c r="N133" s="325">
        <f t="shared" si="40"/>
        <v>0</v>
      </c>
      <c r="O133" s="325">
        <f t="shared" si="40"/>
        <v>0</v>
      </c>
      <c r="P133" s="325">
        <f t="shared" si="40"/>
        <v>0</v>
      </c>
      <c r="Q133" s="325">
        <f t="shared" si="40"/>
        <v>0</v>
      </c>
      <c r="R133" s="325">
        <f t="shared" si="40"/>
        <v>0</v>
      </c>
      <c r="S133" s="325">
        <f t="shared" si="40"/>
        <v>0</v>
      </c>
      <c r="T133" s="325" t="e">
        <f t="shared" si="40"/>
        <v>#REF!</v>
      </c>
      <c r="U133" s="325">
        <f t="shared" si="40"/>
        <v>0</v>
      </c>
      <c r="V133" s="325">
        <f t="shared" si="40"/>
        <v>0</v>
      </c>
      <c r="W133" s="325">
        <f t="shared" si="40"/>
        <v>0</v>
      </c>
      <c r="X133" s="325">
        <f t="shared" si="40"/>
        <v>0</v>
      </c>
      <c r="Y133" s="325">
        <f t="shared" si="40"/>
        <v>0</v>
      </c>
      <c r="Z133" s="325">
        <f t="shared" si="40"/>
        <v>0</v>
      </c>
      <c r="AA133" s="325">
        <f t="shared" si="40"/>
        <v>0</v>
      </c>
      <c r="AB133" s="325">
        <f t="shared" si="40"/>
        <v>0</v>
      </c>
      <c r="AC133" s="325">
        <f t="shared" si="40"/>
        <v>0</v>
      </c>
      <c r="AD133" s="325">
        <f t="shared" si="40"/>
        <v>0</v>
      </c>
      <c r="AE133" s="325">
        <f t="shared" si="40"/>
        <v>0</v>
      </c>
      <c r="AF133" s="325">
        <f t="shared" si="40"/>
        <v>0</v>
      </c>
      <c r="AG133" s="325">
        <f t="shared" si="40"/>
        <v>0</v>
      </c>
      <c r="AH133" s="325">
        <f t="shared" si="40"/>
        <v>0</v>
      </c>
      <c r="AI133" s="325">
        <f t="shared" si="40"/>
        <v>0</v>
      </c>
      <c r="AJ133" s="325">
        <f t="shared" si="40"/>
        <v>0</v>
      </c>
      <c r="AK133" s="325">
        <f t="shared" si="40"/>
        <v>0</v>
      </c>
      <c r="AL133" s="325">
        <f t="shared" si="40"/>
        <v>0</v>
      </c>
      <c r="AM133" s="325">
        <f t="shared" si="40"/>
        <v>0</v>
      </c>
      <c r="AN133" s="325">
        <f t="shared" si="40"/>
        <v>0</v>
      </c>
      <c r="AO133" s="325">
        <f t="shared" si="40"/>
        <v>0</v>
      </c>
      <c r="AP133" s="325">
        <f t="shared" si="40"/>
        <v>0</v>
      </c>
      <c r="AQ133" s="325">
        <f t="shared" si="40"/>
        <v>0</v>
      </c>
      <c r="AR133" s="325">
        <f t="shared" si="40"/>
        <v>0</v>
      </c>
      <c r="AS133" s="325">
        <f t="shared" si="40"/>
        <v>0</v>
      </c>
      <c r="AT133" s="325">
        <f t="shared" si="40"/>
        <v>0</v>
      </c>
      <c r="AU133" s="325">
        <f t="shared" si="40"/>
        <v>0</v>
      </c>
      <c r="AV133" s="325">
        <f t="shared" si="40"/>
        <v>0</v>
      </c>
      <c r="AW133" s="325">
        <f t="shared" si="40"/>
        <v>0</v>
      </c>
      <c r="AX133" s="325">
        <f t="shared" si="40"/>
        <v>0</v>
      </c>
      <c r="AY133" s="325">
        <f t="shared" si="40"/>
        <v>0</v>
      </c>
      <c r="AZ133" s="325">
        <f t="shared" si="40"/>
        <v>0</v>
      </c>
      <c r="BA133" s="325">
        <f t="shared" si="40"/>
        <v>0</v>
      </c>
      <c r="BB133" s="325">
        <f t="shared" si="40"/>
        <v>0</v>
      </c>
      <c r="BC133" s="325">
        <f t="shared" si="40"/>
        <v>0</v>
      </c>
      <c r="BD133" s="325">
        <f t="shared" si="40"/>
        <v>0</v>
      </c>
      <c r="BE133" s="325">
        <f t="shared" si="40"/>
        <v>0</v>
      </c>
      <c r="BF133" s="325">
        <f t="shared" si="40"/>
        <v>0</v>
      </c>
      <c r="BG133" s="325">
        <f t="shared" si="40"/>
        <v>0</v>
      </c>
      <c r="BH133" s="325">
        <f t="shared" si="40"/>
        <v>0</v>
      </c>
      <c r="BI133" s="325">
        <f t="shared" si="40"/>
        <v>0</v>
      </c>
      <c r="BJ133" s="325">
        <f t="shared" si="40"/>
        <v>0</v>
      </c>
      <c r="BK133" s="325">
        <f t="shared" si="40"/>
        <v>0</v>
      </c>
      <c r="BL133" s="325">
        <f t="shared" si="40"/>
        <v>0</v>
      </c>
      <c r="BM133" s="325">
        <f t="shared" si="40"/>
        <v>0</v>
      </c>
      <c r="BN133" s="325">
        <f t="shared" si="40"/>
        <v>0</v>
      </c>
      <c r="BO133" s="325">
        <f t="shared" si="40"/>
        <v>0</v>
      </c>
      <c r="BP133" s="325">
        <f t="shared" si="40"/>
        <v>0</v>
      </c>
      <c r="BQ133" s="325">
        <f t="shared" si="40"/>
        <v>0</v>
      </c>
      <c r="BR133" s="325">
        <f t="shared" si="40"/>
        <v>0</v>
      </c>
      <c r="BS133" s="325">
        <f t="shared" si="40"/>
        <v>0</v>
      </c>
      <c r="BT133" s="325">
        <f t="shared" si="40"/>
        <v>0</v>
      </c>
      <c r="BU133" s="325">
        <f t="shared" si="40"/>
        <v>0</v>
      </c>
      <c r="BV133" s="325">
        <f t="shared" si="40"/>
        <v>0</v>
      </c>
      <c r="BW133" s="325">
        <f t="shared" si="40"/>
        <v>0</v>
      </c>
      <c r="BX133" s="325" t="e">
        <f t="shared" si="40"/>
        <v>#VALUE!</v>
      </c>
    </row>
    <row r="134" spans="3:76">
      <c r="C134" s="318"/>
      <c r="D134" s="326" t="s">
        <v>354</v>
      </c>
      <c r="E134" s="330">
        <f>E133</f>
        <v>0</v>
      </c>
      <c r="F134" s="330">
        <f t="shared" ref="F134:BX134" si="41">E134+F133</f>
        <v>0</v>
      </c>
      <c r="G134" s="330">
        <f t="shared" si="41"/>
        <v>0</v>
      </c>
      <c r="H134" s="330">
        <f t="shared" si="41"/>
        <v>0</v>
      </c>
      <c r="I134" s="330">
        <f t="shared" si="41"/>
        <v>0</v>
      </c>
      <c r="J134" s="330">
        <f t="shared" si="41"/>
        <v>-7870667</v>
      </c>
      <c r="K134" s="330">
        <f t="shared" si="41"/>
        <v>-7870667</v>
      </c>
      <c r="L134" s="330">
        <f t="shared" si="41"/>
        <v>-7870667</v>
      </c>
      <c r="M134" s="330">
        <f t="shared" si="41"/>
        <v>-7870667</v>
      </c>
      <c r="N134" s="330">
        <f t="shared" si="41"/>
        <v>-7870667</v>
      </c>
      <c r="O134" s="330">
        <f t="shared" si="41"/>
        <v>-7870667</v>
      </c>
      <c r="P134" s="330">
        <f t="shared" si="41"/>
        <v>-7870667</v>
      </c>
      <c r="Q134" s="330">
        <f t="shared" si="41"/>
        <v>-7870667</v>
      </c>
      <c r="R134" s="330">
        <f t="shared" si="41"/>
        <v>-7870667</v>
      </c>
      <c r="S134" s="330">
        <f t="shared" si="41"/>
        <v>-7870667</v>
      </c>
      <c r="T134" s="330" t="e">
        <f t="shared" si="41"/>
        <v>#REF!</v>
      </c>
      <c r="U134" s="330" t="e">
        <f t="shared" si="41"/>
        <v>#REF!</v>
      </c>
      <c r="V134" s="330" t="e">
        <f t="shared" si="41"/>
        <v>#REF!</v>
      </c>
      <c r="W134" s="330" t="e">
        <f t="shared" si="41"/>
        <v>#REF!</v>
      </c>
      <c r="X134" s="330" t="e">
        <f t="shared" si="41"/>
        <v>#REF!</v>
      </c>
      <c r="Y134" s="330" t="e">
        <f t="shared" si="41"/>
        <v>#REF!</v>
      </c>
      <c r="Z134" s="330" t="e">
        <f t="shared" si="41"/>
        <v>#REF!</v>
      </c>
      <c r="AA134" s="330" t="e">
        <f t="shared" si="41"/>
        <v>#REF!</v>
      </c>
      <c r="AB134" s="330" t="e">
        <f t="shared" si="41"/>
        <v>#REF!</v>
      </c>
      <c r="AC134" s="330" t="e">
        <f t="shared" si="41"/>
        <v>#REF!</v>
      </c>
      <c r="AD134" s="330" t="e">
        <f t="shared" si="41"/>
        <v>#REF!</v>
      </c>
      <c r="AE134" s="330" t="e">
        <f t="shared" si="41"/>
        <v>#REF!</v>
      </c>
      <c r="AF134" s="330" t="e">
        <f t="shared" si="41"/>
        <v>#REF!</v>
      </c>
      <c r="AG134" s="330" t="e">
        <f t="shared" si="41"/>
        <v>#REF!</v>
      </c>
      <c r="AH134" s="330" t="e">
        <f t="shared" si="41"/>
        <v>#REF!</v>
      </c>
      <c r="AI134" s="330" t="e">
        <f t="shared" si="41"/>
        <v>#REF!</v>
      </c>
      <c r="AJ134" s="330" t="e">
        <f t="shared" si="41"/>
        <v>#REF!</v>
      </c>
      <c r="AK134" s="330" t="e">
        <f t="shared" si="41"/>
        <v>#REF!</v>
      </c>
      <c r="AL134" s="330" t="e">
        <f t="shared" si="41"/>
        <v>#REF!</v>
      </c>
      <c r="AM134" s="330" t="e">
        <f t="shared" si="41"/>
        <v>#REF!</v>
      </c>
      <c r="AN134" s="330" t="e">
        <f t="shared" si="41"/>
        <v>#REF!</v>
      </c>
      <c r="AO134" s="330" t="e">
        <f t="shared" si="41"/>
        <v>#REF!</v>
      </c>
      <c r="AP134" s="330" t="e">
        <f t="shared" si="41"/>
        <v>#REF!</v>
      </c>
      <c r="AQ134" s="330" t="e">
        <f t="shared" si="41"/>
        <v>#REF!</v>
      </c>
      <c r="AR134" s="330" t="e">
        <f t="shared" si="41"/>
        <v>#REF!</v>
      </c>
      <c r="AS134" s="330" t="e">
        <f t="shared" si="41"/>
        <v>#REF!</v>
      </c>
      <c r="AT134" s="330" t="e">
        <f t="shared" si="41"/>
        <v>#REF!</v>
      </c>
      <c r="AU134" s="330" t="e">
        <f t="shared" si="41"/>
        <v>#REF!</v>
      </c>
      <c r="AV134" s="330" t="e">
        <f t="shared" si="41"/>
        <v>#REF!</v>
      </c>
      <c r="AW134" s="330" t="e">
        <f t="shared" si="41"/>
        <v>#REF!</v>
      </c>
      <c r="AX134" s="330" t="e">
        <f t="shared" si="41"/>
        <v>#REF!</v>
      </c>
      <c r="AY134" s="330" t="e">
        <f t="shared" si="41"/>
        <v>#REF!</v>
      </c>
      <c r="AZ134" s="330" t="e">
        <f t="shared" si="41"/>
        <v>#REF!</v>
      </c>
      <c r="BA134" s="330" t="e">
        <f t="shared" si="41"/>
        <v>#REF!</v>
      </c>
      <c r="BB134" s="330" t="e">
        <f t="shared" si="41"/>
        <v>#REF!</v>
      </c>
      <c r="BC134" s="330" t="e">
        <f t="shared" si="41"/>
        <v>#REF!</v>
      </c>
      <c r="BD134" s="330" t="e">
        <f t="shared" si="41"/>
        <v>#REF!</v>
      </c>
      <c r="BE134" s="330" t="e">
        <f t="shared" si="41"/>
        <v>#REF!</v>
      </c>
      <c r="BF134" s="330" t="e">
        <f t="shared" si="41"/>
        <v>#REF!</v>
      </c>
      <c r="BG134" s="330" t="e">
        <f t="shared" si="41"/>
        <v>#REF!</v>
      </c>
      <c r="BH134" s="330" t="e">
        <f t="shared" si="41"/>
        <v>#REF!</v>
      </c>
      <c r="BI134" s="330" t="e">
        <f t="shared" si="41"/>
        <v>#REF!</v>
      </c>
      <c r="BJ134" s="330" t="e">
        <f t="shared" si="41"/>
        <v>#REF!</v>
      </c>
      <c r="BK134" s="330" t="e">
        <f t="shared" si="41"/>
        <v>#REF!</v>
      </c>
      <c r="BL134" s="330" t="e">
        <f t="shared" si="41"/>
        <v>#REF!</v>
      </c>
      <c r="BM134" s="330" t="e">
        <f t="shared" si="41"/>
        <v>#REF!</v>
      </c>
      <c r="BN134" s="330" t="e">
        <f t="shared" si="41"/>
        <v>#REF!</v>
      </c>
      <c r="BO134" s="330" t="e">
        <f t="shared" si="41"/>
        <v>#REF!</v>
      </c>
      <c r="BP134" s="330" t="e">
        <f t="shared" si="41"/>
        <v>#REF!</v>
      </c>
      <c r="BQ134" s="330" t="e">
        <f t="shared" si="41"/>
        <v>#REF!</v>
      </c>
      <c r="BR134" s="330" t="e">
        <f t="shared" si="41"/>
        <v>#REF!</v>
      </c>
      <c r="BS134" s="330" t="e">
        <f t="shared" si="41"/>
        <v>#REF!</v>
      </c>
      <c r="BT134" s="330" t="e">
        <f t="shared" si="41"/>
        <v>#REF!</v>
      </c>
      <c r="BU134" s="330" t="e">
        <f t="shared" si="41"/>
        <v>#REF!</v>
      </c>
      <c r="BV134" s="330" t="e">
        <f t="shared" si="41"/>
        <v>#REF!</v>
      </c>
      <c r="BW134" s="330" t="e">
        <f t="shared" si="41"/>
        <v>#REF!</v>
      </c>
      <c r="BX134" s="330" t="e">
        <f t="shared" si="41"/>
        <v>#REF!</v>
      </c>
    </row>
    <row r="135" spans="3:76">
      <c r="C135" s="317" t="s">
        <v>339</v>
      </c>
      <c r="D135" s="326" t="e">
        <f>IRR(E133:BX133)*12</f>
        <v>#VALUE!</v>
      </c>
      <c r="E135" s="226"/>
      <c r="F135" s="226"/>
      <c r="G135" s="226"/>
      <c r="H135" s="226"/>
      <c r="I135" s="226"/>
      <c r="J135" s="226"/>
      <c r="K135" s="226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226"/>
      <c r="AB135" s="226"/>
      <c r="AC135" s="226"/>
      <c r="AD135" s="226"/>
      <c r="AE135" s="226"/>
      <c r="AF135" s="226"/>
      <c r="AG135" s="226"/>
      <c r="AH135" s="226"/>
      <c r="AI135" s="226"/>
      <c r="AJ135" s="226"/>
      <c r="AK135" s="226"/>
      <c r="AL135" s="226"/>
      <c r="AM135" s="226"/>
      <c r="AN135" s="226"/>
      <c r="AO135" s="226"/>
      <c r="AP135" s="226"/>
      <c r="AQ135" s="226"/>
      <c r="AR135" s="226"/>
      <c r="AS135" s="226"/>
      <c r="AT135" s="226"/>
      <c r="AU135" s="226"/>
      <c r="AV135" s="226"/>
      <c r="AW135" s="226"/>
      <c r="AX135" s="226"/>
      <c r="AY135" s="226"/>
      <c r="AZ135" s="226"/>
      <c r="BA135" s="226"/>
      <c r="BB135" s="226"/>
      <c r="BC135" s="226"/>
      <c r="BD135" s="226"/>
      <c r="BE135" s="226"/>
      <c r="BF135" s="226"/>
      <c r="BG135" s="226"/>
      <c r="BH135" s="226"/>
      <c r="BI135" s="226"/>
      <c r="BJ135" s="226"/>
      <c r="BK135" s="226"/>
      <c r="BL135" s="226"/>
      <c r="BM135" s="226"/>
      <c r="BN135" s="226"/>
      <c r="BO135" s="226"/>
      <c r="BP135" s="226"/>
      <c r="BQ135" s="226"/>
      <c r="BR135" s="226"/>
      <c r="BS135" s="226"/>
      <c r="BT135" s="226"/>
      <c r="BU135" s="226"/>
      <c r="BV135" s="226"/>
      <c r="BW135" s="226"/>
      <c r="BX135" s="226"/>
    </row>
    <row r="136" spans="3:76">
      <c r="C136" s="327" t="s">
        <v>347</v>
      </c>
      <c r="D136" s="328">
        <f>-MIN(E128:BL128)</f>
        <v>7870667</v>
      </c>
      <c r="E136" s="226"/>
      <c r="F136" s="226"/>
      <c r="G136" s="226"/>
      <c r="H136" s="226"/>
      <c r="I136" s="226"/>
      <c r="J136" s="226"/>
      <c r="K136" s="226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6"/>
      <c r="AA136" s="226"/>
      <c r="AB136" s="226"/>
      <c r="AC136" s="226"/>
      <c r="AD136" s="226"/>
      <c r="AE136" s="226"/>
      <c r="AF136" s="226"/>
      <c r="AG136" s="226"/>
      <c r="AH136" s="226"/>
      <c r="AI136" s="226"/>
      <c r="AJ136" s="226"/>
      <c r="AK136" s="226"/>
      <c r="AL136" s="226"/>
      <c r="AM136" s="226"/>
      <c r="AN136" s="226"/>
      <c r="AO136" s="226"/>
      <c r="AP136" s="226"/>
      <c r="AQ136" s="226"/>
      <c r="AR136" s="226"/>
      <c r="AS136" s="226"/>
      <c r="AT136" s="226"/>
      <c r="AU136" s="226"/>
      <c r="AV136" s="226"/>
      <c r="AW136" s="226"/>
      <c r="AX136" s="226"/>
      <c r="AY136" s="226"/>
      <c r="AZ136" s="226"/>
      <c r="BA136" s="226"/>
      <c r="BB136" s="226"/>
      <c r="BC136" s="226"/>
      <c r="BD136" s="226"/>
      <c r="BE136" s="226"/>
      <c r="BF136" s="226"/>
      <c r="BG136" s="226"/>
      <c r="BH136" s="226"/>
      <c r="BI136" s="226"/>
      <c r="BJ136" s="226"/>
      <c r="BK136" s="226"/>
      <c r="BL136" s="226"/>
      <c r="BM136" s="226"/>
      <c r="BN136" s="226"/>
      <c r="BO136" s="226"/>
      <c r="BP136" s="226"/>
      <c r="BQ136" s="226"/>
      <c r="BR136" s="226"/>
      <c r="BS136" s="226"/>
      <c r="BT136" s="226"/>
      <c r="BU136" s="226"/>
      <c r="BV136" s="226"/>
      <c r="BW136" s="226"/>
      <c r="BX136" s="226"/>
    </row>
    <row r="137" spans="3:76">
      <c r="C137" s="327" t="s">
        <v>348</v>
      </c>
      <c r="D137" s="328">
        <f>-SUM(M132:BB132)</f>
        <v>0</v>
      </c>
      <c r="E137" s="226"/>
      <c r="F137" s="226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  <c r="AD137" s="226"/>
      <c r="AE137" s="226"/>
      <c r="AF137" s="226"/>
      <c r="AG137" s="226"/>
      <c r="AH137" s="226"/>
      <c r="AI137" s="226"/>
      <c r="AJ137" s="226"/>
      <c r="AK137" s="226"/>
      <c r="AL137" s="226"/>
      <c r="AM137" s="226"/>
      <c r="AN137" s="226"/>
      <c r="AO137" s="226"/>
      <c r="AP137" s="226"/>
      <c r="AQ137" s="226"/>
      <c r="AR137" s="226"/>
      <c r="AS137" s="226"/>
      <c r="AT137" s="226"/>
      <c r="AU137" s="226"/>
      <c r="AV137" s="226"/>
      <c r="AW137" s="226"/>
      <c r="AX137" s="226"/>
      <c r="AY137" s="226"/>
      <c r="AZ137" s="226"/>
      <c r="BA137" s="226"/>
      <c r="BB137" s="226"/>
      <c r="BC137" s="226"/>
      <c r="BD137" s="226"/>
      <c r="BE137" s="226"/>
      <c r="BF137" s="226"/>
      <c r="BG137" s="226"/>
      <c r="BH137" s="226"/>
      <c r="BI137" s="226"/>
      <c r="BJ137" s="226"/>
      <c r="BK137" s="226"/>
      <c r="BL137" s="226"/>
      <c r="BM137" s="226"/>
      <c r="BN137" s="226"/>
      <c r="BO137" s="226"/>
      <c r="BP137" s="226"/>
      <c r="BQ137" s="226"/>
      <c r="BR137" s="226"/>
      <c r="BS137" s="226"/>
      <c r="BT137" s="226"/>
      <c r="BU137" s="226"/>
      <c r="BV137" s="226"/>
      <c r="BW137" s="226"/>
      <c r="BX137" s="226"/>
    </row>
    <row r="138" spans="3:76">
      <c r="C138" s="317" t="s">
        <v>349</v>
      </c>
      <c r="D138" s="329">
        <f>D137+D136</f>
        <v>7870667</v>
      </c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  <c r="BU138" s="226"/>
      <c r="BV138" s="226"/>
      <c r="BW138" s="226"/>
      <c r="BX138" s="226"/>
    </row>
    <row r="139" spans="3:76">
      <c r="C139" s="317" t="s">
        <v>350</v>
      </c>
      <c r="D139" s="329" t="e">
        <f>BX130+BX131</f>
        <v>#VALUE!</v>
      </c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6"/>
      <c r="BN139" s="226"/>
      <c r="BO139" s="226"/>
      <c r="BP139" s="226"/>
      <c r="BQ139" s="226"/>
      <c r="BR139" s="226"/>
      <c r="BS139" s="226"/>
      <c r="BT139" s="226"/>
      <c r="BU139" s="226"/>
      <c r="BV139" s="226"/>
      <c r="BW139" s="226"/>
      <c r="BX139" s="226"/>
    </row>
    <row r="140" spans="3:76">
      <c r="C140" s="317" t="s">
        <v>351</v>
      </c>
      <c r="D140" s="326" t="e">
        <f>(D139-D137)/D138</f>
        <v>#VALUE!</v>
      </c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  <c r="BU140" s="226"/>
      <c r="BV140" s="226"/>
      <c r="BW140" s="226"/>
      <c r="BX140" s="226"/>
    </row>
    <row r="141" spans="3:76"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AY141" s="226"/>
      <c r="AZ141" s="226"/>
      <c r="BA141" s="226"/>
      <c r="BB141" s="226"/>
      <c r="BC141" s="226"/>
      <c r="BD141" s="226"/>
      <c r="BE141" s="226"/>
      <c r="BF141" s="226"/>
      <c r="BG141" s="226"/>
      <c r="BH141" s="226"/>
      <c r="BI141" s="226"/>
      <c r="BJ141" s="226"/>
      <c r="BK141" s="226"/>
      <c r="BL141" s="226"/>
      <c r="BM141" s="226"/>
      <c r="BN141" s="226"/>
      <c r="BO141" s="226"/>
      <c r="BP141" s="226"/>
      <c r="BQ141" s="226"/>
      <c r="BR141" s="226"/>
      <c r="BS141" s="226"/>
      <c r="BT141" s="226"/>
      <c r="BU141" s="226"/>
      <c r="BV141" s="226"/>
      <c r="BW141" s="226"/>
      <c r="BX141" s="226"/>
    </row>
    <row r="142" spans="3:76"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  <c r="AY142" s="226"/>
      <c r="AZ142" s="226"/>
      <c r="BA142" s="226"/>
      <c r="BB142" s="226"/>
      <c r="BC142" s="226"/>
      <c r="BD142" s="226"/>
      <c r="BE142" s="226"/>
      <c r="BF142" s="226"/>
      <c r="BG142" s="226"/>
      <c r="BH142" s="226"/>
      <c r="BI142" s="226"/>
      <c r="BJ142" s="226"/>
      <c r="BK142" s="226"/>
      <c r="BL142" s="226"/>
      <c r="BM142" s="226"/>
      <c r="BN142" s="226"/>
      <c r="BO142" s="226"/>
      <c r="BP142" s="226"/>
      <c r="BQ142" s="226"/>
      <c r="BR142" s="226"/>
      <c r="BS142" s="226"/>
      <c r="BT142" s="226"/>
      <c r="BU142" s="226"/>
      <c r="BV142" s="226"/>
      <c r="BW142" s="226"/>
      <c r="BX142" s="226"/>
    </row>
    <row r="143" spans="3:76"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6"/>
      <c r="AT143" s="226"/>
      <c r="AU143" s="226"/>
      <c r="AV143" s="226"/>
      <c r="AW143" s="226"/>
      <c r="AX143" s="226"/>
      <c r="AY143" s="226"/>
      <c r="AZ143" s="226"/>
      <c r="BA143" s="226"/>
      <c r="BB143" s="226"/>
      <c r="BC143" s="226"/>
      <c r="BD143" s="226"/>
      <c r="BE143" s="226"/>
      <c r="BF143" s="226"/>
      <c r="BG143" s="226"/>
      <c r="BH143" s="226"/>
      <c r="BI143" s="226"/>
      <c r="BJ143" s="226"/>
      <c r="BK143" s="226"/>
      <c r="BL143" s="226"/>
      <c r="BM143" s="226"/>
      <c r="BN143" s="226"/>
      <c r="BO143" s="226"/>
      <c r="BP143" s="226"/>
      <c r="BQ143" s="226"/>
      <c r="BR143" s="226"/>
      <c r="BS143" s="226"/>
      <c r="BT143" s="226"/>
      <c r="BU143" s="226"/>
      <c r="BV143" s="226"/>
      <c r="BW143" s="226"/>
      <c r="BX143" s="226"/>
    </row>
    <row r="144" spans="3:76">
      <c r="C144" s="314" t="s">
        <v>355</v>
      </c>
      <c r="D144" s="315"/>
      <c r="E144" s="316">
        <f t="shared" ref="E144:G144" si="42">-(E24+E108)</f>
        <v>0</v>
      </c>
      <c r="F144" s="316">
        <f t="shared" si="42"/>
        <v>0</v>
      </c>
      <c r="G144" s="316">
        <f t="shared" si="42"/>
        <v>0</v>
      </c>
      <c r="H144" s="316">
        <f>-10682501</f>
        <v>-10682501</v>
      </c>
      <c r="I144" s="316">
        <v>0</v>
      </c>
      <c r="J144" s="316">
        <f>-(J24+J108)</f>
        <v>0</v>
      </c>
      <c r="K144" s="316">
        <v>0</v>
      </c>
      <c r="L144" s="316">
        <f t="shared" ref="L144:S144" si="43">-(L24+L108)</f>
        <v>0</v>
      </c>
      <c r="M144" s="316">
        <f t="shared" si="43"/>
        <v>0</v>
      </c>
      <c r="N144" s="316">
        <f t="shared" si="43"/>
        <v>0</v>
      </c>
      <c r="O144" s="316">
        <f t="shared" si="43"/>
        <v>0</v>
      </c>
      <c r="P144" s="316">
        <f t="shared" si="43"/>
        <v>0</v>
      </c>
      <c r="Q144" s="316">
        <f t="shared" si="43"/>
        <v>0</v>
      </c>
      <c r="R144" s="316">
        <f t="shared" si="43"/>
        <v>0</v>
      </c>
      <c r="S144" s="316">
        <f t="shared" si="43"/>
        <v>0</v>
      </c>
      <c r="T144" s="316">
        <f>-H144</f>
        <v>10682501</v>
      </c>
      <c r="U144" s="316">
        <f t="shared" ref="U144:BX144" si="44">-(U24+U108)</f>
        <v>0</v>
      </c>
      <c r="V144" s="316">
        <f t="shared" si="44"/>
        <v>0</v>
      </c>
      <c r="W144" s="316">
        <f t="shared" si="44"/>
        <v>0</v>
      </c>
      <c r="X144" s="316">
        <f t="shared" si="44"/>
        <v>0</v>
      </c>
      <c r="Y144" s="316">
        <f t="shared" si="44"/>
        <v>0</v>
      </c>
      <c r="Z144" s="316">
        <f t="shared" si="44"/>
        <v>0</v>
      </c>
      <c r="AA144" s="316">
        <f t="shared" si="44"/>
        <v>0</v>
      </c>
      <c r="AB144" s="316">
        <f t="shared" si="44"/>
        <v>0</v>
      </c>
      <c r="AC144" s="316">
        <f t="shared" si="44"/>
        <v>0</v>
      </c>
      <c r="AD144" s="316">
        <f t="shared" si="44"/>
        <v>0</v>
      </c>
      <c r="AE144" s="316">
        <f t="shared" si="44"/>
        <v>0</v>
      </c>
      <c r="AF144" s="316">
        <f t="shared" si="44"/>
        <v>0</v>
      </c>
      <c r="AG144" s="316">
        <f t="shared" si="44"/>
        <v>0</v>
      </c>
      <c r="AH144" s="316">
        <f t="shared" si="44"/>
        <v>0</v>
      </c>
      <c r="AI144" s="316">
        <f t="shared" si="44"/>
        <v>0</v>
      </c>
      <c r="AJ144" s="316">
        <f t="shared" si="44"/>
        <v>0</v>
      </c>
      <c r="AK144" s="316">
        <f t="shared" si="44"/>
        <v>0</v>
      </c>
      <c r="AL144" s="316">
        <f t="shared" si="44"/>
        <v>0</v>
      </c>
      <c r="AM144" s="316">
        <f t="shared" si="44"/>
        <v>0</v>
      </c>
      <c r="AN144" s="316">
        <f t="shared" si="44"/>
        <v>0</v>
      </c>
      <c r="AO144" s="316">
        <f t="shared" si="44"/>
        <v>0</v>
      </c>
      <c r="AP144" s="316">
        <f t="shared" si="44"/>
        <v>0</v>
      </c>
      <c r="AQ144" s="316">
        <f t="shared" si="44"/>
        <v>0</v>
      </c>
      <c r="AR144" s="316">
        <f t="shared" si="44"/>
        <v>0</v>
      </c>
      <c r="AS144" s="316">
        <f t="shared" si="44"/>
        <v>0</v>
      </c>
      <c r="AT144" s="316">
        <f t="shared" si="44"/>
        <v>0</v>
      </c>
      <c r="AU144" s="316">
        <f t="shared" si="44"/>
        <v>0</v>
      </c>
      <c r="AV144" s="316">
        <f t="shared" si="44"/>
        <v>0</v>
      </c>
      <c r="AW144" s="316">
        <f t="shared" si="44"/>
        <v>0</v>
      </c>
      <c r="AX144" s="316">
        <f t="shared" si="44"/>
        <v>0</v>
      </c>
      <c r="AY144" s="316">
        <f t="shared" si="44"/>
        <v>0</v>
      </c>
      <c r="AZ144" s="316">
        <f t="shared" si="44"/>
        <v>0</v>
      </c>
      <c r="BA144" s="316">
        <f t="shared" si="44"/>
        <v>0</v>
      </c>
      <c r="BB144" s="316">
        <f t="shared" si="44"/>
        <v>0</v>
      </c>
      <c r="BC144" s="316">
        <f t="shared" si="44"/>
        <v>0</v>
      </c>
      <c r="BD144" s="316">
        <f t="shared" si="44"/>
        <v>0</v>
      </c>
      <c r="BE144" s="316">
        <f t="shared" si="44"/>
        <v>0</v>
      </c>
      <c r="BF144" s="316">
        <f t="shared" si="44"/>
        <v>0</v>
      </c>
      <c r="BG144" s="316">
        <f t="shared" si="44"/>
        <v>0</v>
      </c>
      <c r="BH144" s="316">
        <f t="shared" si="44"/>
        <v>0</v>
      </c>
      <c r="BI144" s="316">
        <f t="shared" si="44"/>
        <v>0</v>
      </c>
      <c r="BJ144" s="316">
        <f t="shared" si="44"/>
        <v>0</v>
      </c>
      <c r="BK144" s="316">
        <f t="shared" si="44"/>
        <v>0</v>
      </c>
      <c r="BL144" s="316">
        <f t="shared" si="44"/>
        <v>0</v>
      </c>
      <c r="BM144" s="316">
        <f t="shared" si="44"/>
        <v>0</v>
      </c>
      <c r="BN144" s="316">
        <f t="shared" si="44"/>
        <v>0</v>
      </c>
      <c r="BO144" s="316">
        <f t="shared" si="44"/>
        <v>0</v>
      </c>
      <c r="BP144" s="316">
        <f t="shared" si="44"/>
        <v>0</v>
      </c>
      <c r="BQ144" s="316">
        <f t="shared" si="44"/>
        <v>0</v>
      </c>
      <c r="BR144" s="316">
        <f t="shared" si="44"/>
        <v>0</v>
      </c>
      <c r="BS144" s="316">
        <f t="shared" si="44"/>
        <v>0</v>
      </c>
      <c r="BT144" s="316">
        <f t="shared" si="44"/>
        <v>0</v>
      </c>
      <c r="BU144" s="316">
        <f t="shared" si="44"/>
        <v>0</v>
      </c>
      <c r="BV144" s="316">
        <f t="shared" si="44"/>
        <v>0</v>
      </c>
      <c r="BW144" s="316">
        <f t="shared" si="44"/>
        <v>0</v>
      </c>
      <c r="BX144" s="316">
        <f t="shared" si="44"/>
        <v>0</v>
      </c>
    </row>
    <row r="145" spans="3:76">
      <c r="C145" s="314" t="s">
        <v>353</v>
      </c>
      <c r="D145" s="323"/>
      <c r="E145" s="315"/>
      <c r="F145" s="315"/>
      <c r="G145" s="315"/>
      <c r="H145" s="315"/>
      <c r="I145" s="315"/>
      <c r="J145" s="315"/>
      <c r="K145" s="315"/>
      <c r="L145" s="315"/>
      <c r="M145" s="315"/>
      <c r="N145" s="315"/>
      <c r="O145" s="315"/>
      <c r="P145" s="315"/>
      <c r="Q145" s="315"/>
      <c r="R145" s="315"/>
      <c r="S145" s="315"/>
      <c r="T145" s="315"/>
      <c r="U145" s="315"/>
      <c r="V145" s="315"/>
      <c r="W145" s="315"/>
      <c r="X145" s="315"/>
      <c r="Y145" s="315"/>
      <c r="Z145" s="315"/>
      <c r="AA145" s="315"/>
      <c r="AB145" s="315"/>
      <c r="AC145" s="315"/>
      <c r="AD145" s="315"/>
      <c r="AE145" s="315"/>
      <c r="AF145" s="315"/>
      <c r="AG145" s="315"/>
      <c r="AH145" s="315"/>
      <c r="AI145" s="315"/>
      <c r="AJ145" s="315"/>
      <c r="AK145" s="315"/>
      <c r="AL145" s="315"/>
      <c r="AM145" s="315"/>
      <c r="AN145" s="315"/>
      <c r="AO145" s="315"/>
      <c r="AP145" s="315"/>
      <c r="AQ145" s="315"/>
      <c r="AR145" s="315"/>
      <c r="AS145" s="315"/>
      <c r="AT145" s="315"/>
      <c r="AU145" s="315"/>
      <c r="AV145" s="315"/>
      <c r="AW145" s="315"/>
      <c r="AX145" s="315"/>
      <c r="AY145" s="315"/>
      <c r="AZ145" s="315"/>
      <c r="BA145" s="315"/>
      <c r="BB145" s="315"/>
      <c r="BC145" s="316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</row>
    <row r="146" spans="3:76">
      <c r="C146" s="314" t="s">
        <v>343</v>
      </c>
      <c r="D146" s="323"/>
      <c r="E146" s="315">
        <f t="shared" ref="E146:BX146" si="45">-E73</f>
        <v>0</v>
      </c>
      <c r="F146" s="315">
        <f t="shared" si="45"/>
        <v>0</v>
      </c>
      <c r="G146" s="315">
        <f t="shared" si="45"/>
        <v>0</v>
      </c>
      <c r="H146" s="315">
        <f t="shared" si="45"/>
        <v>0</v>
      </c>
      <c r="I146" s="315">
        <f t="shared" si="45"/>
        <v>0</v>
      </c>
      <c r="J146" s="315">
        <f t="shared" si="45"/>
        <v>0</v>
      </c>
      <c r="K146" s="315">
        <f t="shared" si="45"/>
        <v>0</v>
      </c>
      <c r="L146" s="315">
        <f t="shared" si="45"/>
        <v>0</v>
      </c>
      <c r="M146" s="315">
        <f t="shared" si="45"/>
        <v>0</v>
      </c>
      <c r="N146" s="315">
        <f t="shared" si="45"/>
        <v>0</v>
      </c>
      <c r="O146" s="315">
        <f t="shared" si="45"/>
        <v>0</v>
      </c>
      <c r="P146" s="315">
        <f t="shared" si="45"/>
        <v>0</v>
      </c>
      <c r="Q146" s="315">
        <f t="shared" si="45"/>
        <v>0</v>
      </c>
      <c r="R146" s="315">
        <f t="shared" si="45"/>
        <v>0</v>
      </c>
      <c r="S146" s="315">
        <f t="shared" si="45"/>
        <v>0</v>
      </c>
      <c r="T146" s="315">
        <f t="shared" si="45"/>
        <v>0</v>
      </c>
      <c r="U146" s="315">
        <f t="shared" si="45"/>
        <v>0</v>
      </c>
      <c r="V146" s="315">
        <f t="shared" si="45"/>
        <v>0</v>
      </c>
      <c r="W146" s="315">
        <f t="shared" si="45"/>
        <v>0</v>
      </c>
      <c r="X146" s="315">
        <f t="shared" si="45"/>
        <v>0</v>
      </c>
      <c r="Y146" s="315">
        <f t="shared" si="45"/>
        <v>0</v>
      </c>
      <c r="Z146" s="315">
        <f t="shared" si="45"/>
        <v>0</v>
      </c>
      <c r="AA146" s="315">
        <f t="shared" si="45"/>
        <v>0</v>
      </c>
      <c r="AB146" s="315">
        <f t="shared" si="45"/>
        <v>0</v>
      </c>
      <c r="AC146" s="315">
        <f t="shared" si="45"/>
        <v>0</v>
      </c>
      <c r="AD146" s="315">
        <f t="shared" si="45"/>
        <v>0</v>
      </c>
      <c r="AE146" s="315">
        <f t="shared" si="45"/>
        <v>0</v>
      </c>
      <c r="AF146" s="315">
        <f t="shared" si="45"/>
        <v>0</v>
      </c>
      <c r="AG146" s="315">
        <f t="shared" si="45"/>
        <v>0</v>
      </c>
      <c r="AH146" s="315">
        <f t="shared" si="45"/>
        <v>0</v>
      </c>
      <c r="AI146" s="315">
        <f t="shared" si="45"/>
        <v>0</v>
      </c>
      <c r="AJ146" s="315">
        <f t="shared" si="45"/>
        <v>0</v>
      </c>
      <c r="AK146" s="315">
        <f t="shared" si="45"/>
        <v>0</v>
      </c>
      <c r="AL146" s="315">
        <f t="shared" si="45"/>
        <v>0</v>
      </c>
      <c r="AM146" s="315">
        <f t="shared" si="45"/>
        <v>0</v>
      </c>
      <c r="AN146" s="315">
        <f t="shared" si="45"/>
        <v>0</v>
      </c>
      <c r="AO146" s="315">
        <f t="shared" si="45"/>
        <v>0</v>
      </c>
      <c r="AP146" s="315">
        <f t="shared" si="45"/>
        <v>0</v>
      </c>
      <c r="AQ146" s="315">
        <f t="shared" si="45"/>
        <v>0</v>
      </c>
      <c r="AR146" s="315">
        <f t="shared" si="45"/>
        <v>0</v>
      </c>
      <c r="AS146" s="315">
        <f t="shared" si="45"/>
        <v>0</v>
      </c>
      <c r="AT146" s="315">
        <f t="shared" si="45"/>
        <v>0</v>
      </c>
      <c r="AU146" s="315">
        <f t="shared" si="45"/>
        <v>0</v>
      </c>
      <c r="AV146" s="315">
        <f t="shared" si="45"/>
        <v>0</v>
      </c>
      <c r="AW146" s="315">
        <f t="shared" si="45"/>
        <v>0</v>
      </c>
      <c r="AX146" s="315">
        <f t="shared" si="45"/>
        <v>0</v>
      </c>
      <c r="AY146" s="315">
        <f t="shared" si="45"/>
        <v>0</v>
      </c>
      <c r="AZ146" s="315">
        <f t="shared" si="45"/>
        <v>0</v>
      </c>
      <c r="BA146" s="315">
        <f t="shared" si="45"/>
        <v>0</v>
      </c>
      <c r="BB146" s="315">
        <f t="shared" si="45"/>
        <v>0</v>
      </c>
      <c r="BC146" s="315">
        <f t="shared" si="45"/>
        <v>0</v>
      </c>
      <c r="BD146" s="315">
        <f t="shared" si="45"/>
        <v>0</v>
      </c>
      <c r="BE146" s="315">
        <f t="shared" si="45"/>
        <v>0</v>
      </c>
      <c r="BF146" s="315">
        <f t="shared" si="45"/>
        <v>0</v>
      </c>
      <c r="BG146" s="315">
        <f t="shared" si="45"/>
        <v>0</v>
      </c>
      <c r="BH146" s="315">
        <f t="shared" si="45"/>
        <v>0</v>
      </c>
      <c r="BI146" s="315">
        <f t="shared" si="45"/>
        <v>0</v>
      </c>
      <c r="BJ146" s="315">
        <f t="shared" si="45"/>
        <v>0</v>
      </c>
      <c r="BK146" s="315">
        <f t="shared" si="45"/>
        <v>0</v>
      </c>
      <c r="BL146" s="315">
        <f t="shared" si="45"/>
        <v>0</v>
      </c>
      <c r="BM146" s="315">
        <f t="shared" si="45"/>
        <v>0</v>
      </c>
      <c r="BN146" s="315">
        <f t="shared" si="45"/>
        <v>0</v>
      </c>
      <c r="BO146" s="315">
        <f t="shared" si="45"/>
        <v>0</v>
      </c>
      <c r="BP146" s="315">
        <f t="shared" si="45"/>
        <v>0</v>
      </c>
      <c r="BQ146" s="315">
        <f t="shared" si="45"/>
        <v>0</v>
      </c>
      <c r="BR146" s="315">
        <f t="shared" si="45"/>
        <v>0</v>
      </c>
      <c r="BS146" s="315">
        <f t="shared" si="45"/>
        <v>0</v>
      </c>
      <c r="BT146" s="315">
        <f t="shared" si="45"/>
        <v>0</v>
      </c>
      <c r="BU146" s="315">
        <f t="shared" si="45"/>
        <v>0</v>
      </c>
      <c r="BV146" s="315">
        <f t="shared" si="45"/>
        <v>0</v>
      </c>
      <c r="BW146" s="315">
        <f t="shared" si="45"/>
        <v>0</v>
      </c>
      <c r="BX146" s="315">
        <f t="shared" si="45"/>
        <v>0</v>
      </c>
    </row>
    <row r="147" spans="3:76">
      <c r="C147" s="314" t="s">
        <v>344</v>
      </c>
      <c r="D147" s="323"/>
      <c r="E147" s="315"/>
      <c r="F147" s="315"/>
      <c r="G147" s="315"/>
      <c r="H147" s="315"/>
      <c r="I147" s="315"/>
      <c r="J147" s="315"/>
      <c r="K147" s="315"/>
      <c r="L147" s="315"/>
      <c r="M147" s="315"/>
      <c r="N147" s="315"/>
      <c r="O147" s="315"/>
      <c r="P147" s="315"/>
      <c r="Q147" s="315"/>
      <c r="R147" s="315"/>
      <c r="S147" s="315"/>
      <c r="T147" s="315">
        <f>5500000</f>
        <v>5500000</v>
      </c>
      <c r="U147" s="315"/>
      <c r="V147" s="315"/>
      <c r="W147" s="315"/>
      <c r="X147" s="315"/>
      <c r="Y147" s="315"/>
      <c r="Z147" s="315"/>
      <c r="AA147" s="315"/>
      <c r="AB147" s="315"/>
      <c r="AC147" s="315"/>
      <c r="AD147" s="315"/>
      <c r="AE147" s="315"/>
      <c r="AF147" s="315"/>
      <c r="AG147" s="315"/>
      <c r="AH147" s="315"/>
      <c r="AI147" s="315"/>
      <c r="AJ147" s="315"/>
      <c r="AK147" s="315"/>
      <c r="AL147" s="315"/>
      <c r="AM147" s="315"/>
      <c r="AN147" s="315"/>
      <c r="AO147" s="315"/>
      <c r="AP147" s="315"/>
      <c r="AQ147" s="315"/>
      <c r="AR147" s="315"/>
      <c r="AS147" s="315"/>
      <c r="AT147" s="315"/>
      <c r="AU147" s="315"/>
      <c r="AV147" s="315"/>
      <c r="AW147" s="315"/>
      <c r="AX147" s="315"/>
      <c r="AY147" s="315"/>
      <c r="AZ147" s="315"/>
      <c r="BA147" s="315"/>
      <c r="BB147" s="315"/>
      <c r="BC147" s="316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 t="e">
        <f>IF(D119&gt;0.25,(BX114-BX122)*D148,BX114*D148)</f>
        <v>#VALUE!</v>
      </c>
    </row>
    <row r="148" spans="3:76">
      <c r="C148" s="317" t="s">
        <v>345</v>
      </c>
      <c r="D148" s="323">
        <v>0</v>
      </c>
      <c r="E148" s="315"/>
      <c r="F148" s="315"/>
      <c r="G148" s="315"/>
      <c r="H148" s="315"/>
      <c r="I148" s="315"/>
      <c r="J148" s="315"/>
      <c r="K148" s="315"/>
      <c r="L148" s="315"/>
      <c r="M148" s="315"/>
      <c r="N148" s="315"/>
      <c r="O148" s="315"/>
      <c r="P148" s="315"/>
      <c r="Q148" s="315"/>
      <c r="R148" s="315"/>
      <c r="S148" s="315"/>
      <c r="T148" s="315"/>
      <c r="U148" s="315"/>
      <c r="V148" s="315"/>
      <c r="W148" s="315"/>
      <c r="X148" s="315"/>
      <c r="Y148" s="315"/>
      <c r="Z148" s="315"/>
      <c r="AA148" s="315"/>
      <c r="AB148" s="315"/>
      <c r="AC148" s="315"/>
      <c r="AD148" s="315"/>
      <c r="AE148" s="315"/>
      <c r="AF148" s="315"/>
      <c r="AG148" s="315"/>
      <c r="AH148" s="315"/>
      <c r="AI148" s="315"/>
      <c r="AJ148" s="315"/>
      <c r="AK148" s="315"/>
      <c r="AL148" s="315"/>
      <c r="AM148" s="315"/>
      <c r="AN148" s="315"/>
      <c r="AO148" s="315"/>
      <c r="AP148" s="315"/>
      <c r="AQ148" s="315"/>
      <c r="AR148" s="315"/>
      <c r="AS148" s="315"/>
      <c r="AT148" s="315"/>
      <c r="AU148" s="315"/>
      <c r="AV148" s="315"/>
      <c r="AW148" s="315"/>
      <c r="AX148" s="315"/>
      <c r="AY148" s="315"/>
      <c r="AZ148" s="315"/>
      <c r="BA148" s="315"/>
      <c r="BB148" s="315"/>
      <c r="BC148" s="316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</row>
    <row r="149" spans="3:76">
      <c r="C149" s="314" t="s">
        <v>346</v>
      </c>
      <c r="D149" s="315"/>
      <c r="E149" s="325">
        <f t="shared" ref="E149:BX149" si="46">E144+E145+E146+E147+E148</f>
        <v>0</v>
      </c>
      <c r="F149" s="325">
        <f t="shared" si="46"/>
        <v>0</v>
      </c>
      <c r="G149" s="325">
        <f t="shared" si="46"/>
        <v>0</v>
      </c>
      <c r="H149" s="325">
        <f t="shared" si="46"/>
        <v>-10682501</v>
      </c>
      <c r="I149" s="325">
        <f t="shared" si="46"/>
        <v>0</v>
      </c>
      <c r="J149" s="325">
        <f t="shared" si="46"/>
        <v>0</v>
      </c>
      <c r="K149" s="325">
        <f t="shared" si="46"/>
        <v>0</v>
      </c>
      <c r="L149" s="325">
        <f t="shared" si="46"/>
        <v>0</v>
      </c>
      <c r="M149" s="325">
        <f t="shared" si="46"/>
        <v>0</v>
      </c>
      <c r="N149" s="325">
        <f t="shared" si="46"/>
        <v>0</v>
      </c>
      <c r="O149" s="325">
        <f t="shared" si="46"/>
        <v>0</v>
      </c>
      <c r="P149" s="325">
        <f t="shared" si="46"/>
        <v>0</v>
      </c>
      <c r="Q149" s="325">
        <f t="shared" si="46"/>
        <v>0</v>
      </c>
      <c r="R149" s="325">
        <f t="shared" si="46"/>
        <v>0</v>
      </c>
      <c r="S149" s="325">
        <f t="shared" si="46"/>
        <v>0</v>
      </c>
      <c r="T149" s="325">
        <f t="shared" si="46"/>
        <v>16182501</v>
      </c>
      <c r="U149" s="325">
        <f t="shared" si="46"/>
        <v>0</v>
      </c>
      <c r="V149" s="325">
        <f t="shared" si="46"/>
        <v>0</v>
      </c>
      <c r="W149" s="325">
        <f t="shared" si="46"/>
        <v>0</v>
      </c>
      <c r="X149" s="325">
        <f t="shared" si="46"/>
        <v>0</v>
      </c>
      <c r="Y149" s="325">
        <f t="shared" si="46"/>
        <v>0</v>
      </c>
      <c r="Z149" s="325">
        <f t="shared" si="46"/>
        <v>0</v>
      </c>
      <c r="AA149" s="325">
        <f t="shared" si="46"/>
        <v>0</v>
      </c>
      <c r="AB149" s="325">
        <f t="shared" si="46"/>
        <v>0</v>
      </c>
      <c r="AC149" s="325">
        <f t="shared" si="46"/>
        <v>0</v>
      </c>
      <c r="AD149" s="325">
        <f t="shared" si="46"/>
        <v>0</v>
      </c>
      <c r="AE149" s="325">
        <f t="shared" si="46"/>
        <v>0</v>
      </c>
      <c r="AF149" s="325">
        <f t="shared" si="46"/>
        <v>0</v>
      </c>
      <c r="AG149" s="325">
        <f t="shared" si="46"/>
        <v>0</v>
      </c>
      <c r="AH149" s="325">
        <f t="shared" si="46"/>
        <v>0</v>
      </c>
      <c r="AI149" s="325">
        <f t="shared" si="46"/>
        <v>0</v>
      </c>
      <c r="AJ149" s="325">
        <f t="shared" si="46"/>
        <v>0</v>
      </c>
      <c r="AK149" s="325">
        <f t="shared" si="46"/>
        <v>0</v>
      </c>
      <c r="AL149" s="325">
        <f t="shared" si="46"/>
        <v>0</v>
      </c>
      <c r="AM149" s="325">
        <f t="shared" si="46"/>
        <v>0</v>
      </c>
      <c r="AN149" s="325">
        <f t="shared" si="46"/>
        <v>0</v>
      </c>
      <c r="AO149" s="325">
        <f t="shared" si="46"/>
        <v>0</v>
      </c>
      <c r="AP149" s="325">
        <f t="shared" si="46"/>
        <v>0</v>
      </c>
      <c r="AQ149" s="325">
        <f t="shared" si="46"/>
        <v>0</v>
      </c>
      <c r="AR149" s="325">
        <f t="shared" si="46"/>
        <v>0</v>
      </c>
      <c r="AS149" s="325">
        <f t="shared" si="46"/>
        <v>0</v>
      </c>
      <c r="AT149" s="325">
        <f t="shared" si="46"/>
        <v>0</v>
      </c>
      <c r="AU149" s="325">
        <f t="shared" si="46"/>
        <v>0</v>
      </c>
      <c r="AV149" s="325">
        <f t="shared" si="46"/>
        <v>0</v>
      </c>
      <c r="AW149" s="325">
        <f t="shared" si="46"/>
        <v>0</v>
      </c>
      <c r="AX149" s="325">
        <f t="shared" si="46"/>
        <v>0</v>
      </c>
      <c r="AY149" s="325">
        <f t="shared" si="46"/>
        <v>0</v>
      </c>
      <c r="AZ149" s="325">
        <f t="shared" si="46"/>
        <v>0</v>
      </c>
      <c r="BA149" s="325">
        <f t="shared" si="46"/>
        <v>0</v>
      </c>
      <c r="BB149" s="325">
        <f t="shared" si="46"/>
        <v>0</v>
      </c>
      <c r="BC149" s="325">
        <f t="shared" si="46"/>
        <v>0</v>
      </c>
      <c r="BD149" s="325">
        <f t="shared" si="46"/>
        <v>0</v>
      </c>
      <c r="BE149" s="325">
        <f t="shared" si="46"/>
        <v>0</v>
      </c>
      <c r="BF149" s="325">
        <f t="shared" si="46"/>
        <v>0</v>
      </c>
      <c r="BG149" s="325">
        <f t="shared" si="46"/>
        <v>0</v>
      </c>
      <c r="BH149" s="325">
        <f t="shared" si="46"/>
        <v>0</v>
      </c>
      <c r="BI149" s="325">
        <f t="shared" si="46"/>
        <v>0</v>
      </c>
      <c r="BJ149" s="325">
        <f t="shared" si="46"/>
        <v>0</v>
      </c>
      <c r="BK149" s="325">
        <f t="shared" si="46"/>
        <v>0</v>
      </c>
      <c r="BL149" s="325">
        <f t="shared" si="46"/>
        <v>0</v>
      </c>
      <c r="BM149" s="325">
        <f t="shared" si="46"/>
        <v>0</v>
      </c>
      <c r="BN149" s="325">
        <f t="shared" si="46"/>
        <v>0</v>
      </c>
      <c r="BO149" s="325">
        <f t="shared" si="46"/>
        <v>0</v>
      </c>
      <c r="BP149" s="325">
        <f t="shared" si="46"/>
        <v>0</v>
      </c>
      <c r="BQ149" s="325">
        <f t="shared" si="46"/>
        <v>0</v>
      </c>
      <c r="BR149" s="325">
        <f t="shared" si="46"/>
        <v>0</v>
      </c>
      <c r="BS149" s="325">
        <f t="shared" si="46"/>
        <v>0</v>
      </c>
      <c r="BT149" s="325">
        <f t="shared" si="46"/>
        <v>0</v>
      </c>
      <c r="BU149" s="325">
        <f t="shared" si="46"/>
        <v>0</v>
      </c>
      <c r="BV149" s="325">
        <f t="shared" si="46"/>
        <v>0</v>
      </c>
      <c r="BW149" s="325">
        <f t="shared" si="46"/>
        <v>0</v>
      </c>
      <c r="BX149" s="325" t="e">
        <f t="shared" si="46"/>
        <v>#VALUE!</v>
      </c>
    </row>
    <row r="150" spans="3:76">
      <c r="C150" s="318"/>
      <c r="D150" s="326" t="s">
        <v>354</v>
      </c>
      <c r="E150" s="330">
        <f>E149</f>
        <v>0</v>
      </c>
      <c r="F150" s="330">
        <f t="shared" ref="F150:BX150" si="47">E150+F149</f>
        <v>0</v>
      </c>
      <c r="G150" s="330">
        <f t="shared" si="47"/>
        <v>0</v>
      </c>
      <c r="H150" s="330">
        <f t="shared" si="47"/>
        <v>-10682501</v>
      </c>
      <c r="I150" s="330">
        <f t="shared" si="47"/>
        <v>-10682501</v>
      </c>
      <c r="J150" s="330">
        <f t="shared" si="47"/>
        <v>-10682501</v>
      </c>
      <c r="K150" s="330">
        <f t="shared" si="47"/>
        <v>-10682501</v>
      </c>
      <c r="L150" s="330">
        <f t="shared" si="47"/>
        <v>-10682501</v>
      </c>
      <c r="M150" s="330">
        <f t="shared" si="47"/>
        <v>-10682501</v>
      </c>
      <c r="N150" s="330">
        <f t="shared" si="47"/>
        <v>-10682501</v>
      </c>
      <c r="O150" s="330">
        <f t="shared" si="47"/>
        <v>-10682501</v>
      </c>
      <c r="P150" s="330">
        <f t="shared" si="47"/>
        <v>-10682501</v>
      </c>
      <c r="Q150" s="330">
        <f t="shared" si="47"/>
        <v>-10682501</v>
      </c>
      <c r="R150" s="330">
        <f t="shared" si="47"/>
        <v>-10682501</v>
      </c>
      <c r="S150" s="330">
        <f t="shared" si="47"/>
        <v>-10682501</v>
      </c>
      <c r="T150" s="330">
        <f t="shared" si="47"/>
        <v>5500000</v>
      </c>
      <c r="U150" s="330">
        <f t="shared" si="47"/>
        <v>5500000</v>
      </c>
      <c r="V150" s="331">
        <f t="shared" si="47"/>
        <v>5500000</v>
      </c>
      <c r="W150" s="331">
        <f t="shared" si="47"/>
        <v>5500000</v>
      </c>
      <c r="X150" s="331">
        <f t="shared" si="47"/>
        <v>5500000</v>
      </c>
      <c r="Y150" s="331">
        <f t="shared" si="47"/>
        <v>5500000</v>
      </c>
      <c r="Z150" s="331">
        <f t="shared" si="47"/>
        <v>5500000</v>
      </c>
      <c r="AA150" s="331">
        <f t="shared" si="47"/>
        <v>5500000</v>
      </c>
      <c r="AB150" s="331">
        <f t="shared" si="47"/>
        <v>5500000</v>
      </c>
      <c r="AC150" s="331">
        <f t="shared" si="47"/>
        <v>5500000</v>
      </c>
      <c r="AD150" s="331">
        <f t="shared" si="47"/>
        <v>5500000</v>
      </c>
      <c r="AE150" s="331">
        <f t="shared" si="47"/>
        <v>5500000</v>
      </c>
      <c r="AF150" s="331">
        <f t="shared" si="47"/>
        <v>5500000</v>
      </c>
      <c r="AG150" s="331">
        <f t="shared" si="47"/>
        <v>5500000</v>
      </c>
      <c r="AH150" s="331">
        <f t="shared" si="47"/>
        <v>5500000</v>
      </c>
      <c r="AI150" s="331">
        <f t="shared" si="47"/>
        <v>5500000</v>
      </c>
      <c r="AJ150" s="331">
        <f t="shared" si="47"/>
        <v>5500000</v>
      </c>
      <c r="AK150" s="331">
        <f t="shared" si="47"/>
        <v>5500000</v>
      </c>
      <c r="AL150" s="331">
        <f t="shared" si="47"/>
        <v>5500000</v>
      </c>
      <c r="AM150" s="331">
        <f t="shared" si="47"/>
        <v>5500000</v>
      </c>
      <c r="AN150" s="331">
        <f t="shared" si="47"/>
        <v>5500000</v>
      </c>
      <c r="AO150" s="331">
        <f t="shared" si="47"/>
        <v>5500000</v>
      </c>
      <c r="AP150" s="331">
        <f t="shared" si="47"/>
        <v>5500000</v>
      </c>
      <c r="AQ150" s="331">
        <f t="shared" si="47"/>
        <v>5500000</v>
      </c>
      <c r="AR150" s="331">
        <f t="shared" si="47"/>
        <v>5500000</v>
      </c>
      <c r="AS150" s="331">
        <f t="shared" si="47"/>
        <v>5500000</v>
      </c>
      <c r="AT150" s="331">
        <f t="shared" si="47"/>
        <v>5500000</v>
      </c>
      <c r="AU150" s="331">
        <f t="shared" si="47"/>
        <v>5500000</v>
      </c>
      <c r="AV150" s="331">
        <f t="shared" si="47"/>
        <v>5500000</v>
      </c>
      <c r="AW150" s="331">
        <f t="shared" si="47"/>
        <v>5500000</v>
      </c>
      <c r="AX150" s="331">
        <f t="shared" si="47"/>
        <v>5500000</v>
      </c>
      <c r="AY150" s="331">
        <f t="shared" si="47"/>
        <v>5500000</v>
      </c>
      <c r="AZ150" s="331">
        <f t="shared" si="47"/>
        <v>5500000</v>
      </c>
      <c r="BA150" s="331">
        <f t="shared" si="47"/>
        <v>5500000</v>
      </c>
      <c r="BB150" s="331">
        <f t="shared" si="47"/>
        <v>5500000</v>
      </c>
      <c r="BC150" s="330">
        <f t="shared" si="47"/>
        <v>5500000</v>
      </c>
      <c r="BD150" s="330">
        <f t="shared" si="47"/>
        <v>5500000</v>
      </c>
      <c r="BE150" s="330">
        <f t="shared" si="47"/>
        <v>5500000</v>
      </c>
      <c r="BF150" s="330">
        <f t="shared" si="47"/>
        <v>5500000</v>
      </c>
      <c r="BG150" s="330">
        <f t="shared" si="47"/>
        <v>5500000</v>
      </c>
      <c r="BH150" s="330">
        <f t="shared" si="47"/>
        <v>5500000</v>
      </c>
      <c r="BI150" s="330">
        <f t="shared" si="47"/>
        <v>5500000</v>
      </c>
      <c r="BJ150" s="330">
        <f t="shared" si="47"/>
        <v>5500000</v>
      </c>
      <c r="BK150" s="330">
        <f t="shared" si="47"/>
        <v>5500000</v>
      </c>
      <c r="BL150" s="330">
        <f t="shared" si="47"/>
        <v>5500000</v>
      </c>
      <c r="BM150" s="330">
        <f t="shared" si="47"/>
        <v>5500000</v>
      </c>
      <c r="BN150" s="330">
        <f t="shared" si="47"/>
        <v>5500000</v>
      </c>
      <c r="BO150" s="330">
        <f t="shared" si="47"/>
        <v>5500000</v>
      </c>
      <c r="BP150" s="330">
        <f t="shared" si="47"/>
        <v>5500000</v>
      </c>
      <c r="BQ150" s="330">
        <f t="shared" si="47"/>
        <v>5500000</v>
      </c>
      <c r="BR150" s="330">
        <f t="shared" si="47"/>
        <v>5500000</v>
      </c>
      <c r="BS150" s="330">
        <f t="shared" si="47"/>
        <v>5500000</v>
      </c>
      <c r="BT150" s="330">
        <f t="shared" si="47"/>
        <v>5500000</v>
      </c>
      <c r="BU150" s="330">
        <f t="shared" si="47"/>
        <v>5500000</v>
      </c>
      <c r="BV150" s="330">
        <f t="shared" si="47"/>
        <v>5500000</v>
      </c>
      <c r="BW150" s="330">
        <f t="shared" si="47"/>
        <v>5500000</v>
      </c>
      <c r="BX150" s="330" t="e">
        <f t="shared" si="47"/>
        <v>#VALUE!</v>
      </c>
    </row>
    <row r="151" spans="3:76">
      <c r="C151" s="317" t="s">
        <v>339</v>
      </c>
      <c r="D151" s="326">
        <f>IRR(H149:T149)*12</f>
        <v>0.4225943643698109</v>
      </c>
      <c r="E151" s="226"/>
      <c r="F151" s="226"/>
      <c r="G151" s="226"/>
      <c r="H151" s="226"/>
      <c r="I151" s="226"/>
      <c r="J151" s="226"/>
      <c r="K151" s="226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6"/>
      <c r="AA151" s="226"/>
      <c r="AB151" s="226"/>
      <c r="AC151" s="226"/>
      <c r="AD151" s="226"/>
      <c r="AE151" s="226"/>
      <c r="AF151" s="226"/>
      <c r="AG151" s="226"/>
      <c r="AH151" s="226"/>
      <c r="AI151" s="226"/>
      <c r="AJ151" s="226"/>
      <c r="AK151" s="226"/>
      <c r="AL151" s="226"/>
      <c r="AM151" s="226"/>
      <c r="AN151" s="226"/>
      <c r="AO151" s="226"/>
      <c r="AP151" s="226"/>
      <c r="AQ151" s="226"/>
      <c r="AR151" s="226"/>
      <c r="AS151" s="226"/>
      <c r="AT151" s="226"/>
      <c r="AU151" s="226"/>
      <c r="AV151" s="226"/>
      <c r="AW151" s="226"/>
      <c r="AX151" s="226"/>
      <c r="AY151" s="226"/>
      <c r="AZ151" s="226"/>
      <c r="BA151" s="226"/>
      <c r="BB151" s="226"/>
      <c r="BC151" s="226"/>
      <c r="BD151" s="226"/>
      <c r="BE151" s="226"/>
      <c r="BF151" s="226"/>
      <c r="BG151" s="226"/>
      <c r="BH151" s="226"/>
      <c r="BI151" s="226"/>
      <c r="BJ151" s="226"/>
      <c r="BK151" s="226"/>
      <c r="BL151" s="226"/>
      <c r="BM151" s="226"/>
      <c r="BN151" s="226"/>
      <c r="BO151" s="226"/>
      <c r="BP151" s="226"/>
      <c r="BQ151" s="226"/>
      <c r="BR151" s="226"/>
      <c r="BS151" s="226"/>
      <c r="BT151" s="226"/>
      <c r="BU151" s="226"/>
      <c r="BV151" s="226"/>
      <c r="BW151" s="226"/>
      <c r="BX151" s="226"/>
    </row>
    <row r="152" spans="3:76">
      <c r="C152" s="327" t="s">
        <v>347</v>
      </c>
      <c r="D152" s="328">
        <f>-MIN(M150:BL150)-D153</f>
        <v>10682501</v>
      </c>
      <c r="E152" s="226"/>
      <c r="F152" s="226"/>
      <c r="G152" s="226"/>
      <c r="H152" s="226"/>
      <c r="I152" s="226"/>
      <c r="J152" s="226"/>
      <c r="K152" s="226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6"/>
      <c r="AA152" s="226"/>
      <c r="AB152" s="226"/>
      <c r="AC152" s="226"/>
      <c r="AD152" s="226"/>
      <c r="AE152" s="226"/>
      <c r="AF152" s="226"/>
      <c r="AG152" s="226"/>
      <c r="AH152" s="226"/>
      <c r="AI152" s="226"/>
      <c r="AJ152" s="226"/>
      <c r="AK152" s="226"/>
      <c r="AL152" s="226"/>
      <c r="AM152" s="226"/>
      <c r="AN152" s="226"/>
      <c r="AO152" s="226"/>
      <c r="AP152" s="226"/>
      <c r="AQ152" s="226"/>
      <c r="AR152" s="226"/>
      <c r="AS152" s="226"/>
      <c r="AT152" s="226"/>
      <c r="AU152" s="226"/>
      <c r="AV152" s="226"/>
      <c r="AW152" s="226"/>
      <c r="AX152" s="226"/>
      <c r="AY152" s="226"/>
      <c r="AZ152" s="226"/>
      <c r="BA152" s="226"/>
      <c r="BB152" s="226"/>
      <c r="BC152" s="226"/>
      <c r="BD152" s="226"/>
      <c r="BE152" s="226"/>
      <c r="BF152" s="226"/>
      <c r="BG152" s="226"/>
      <c r="BH152" s="226"/>
      <c r="BI152" s="226"/>
      <c r="BJ152" s="226"/>
      <c r="BK152" s="226"/>
      <c r="BL152" s="226"/>
      <c r="BM152" s="226"/>
      <c r="BN152" s="226"/>
      <c r="BO152" s="226"/>
      <c r="BP152" s="226"/>
      <c r="BQ152" s="226"/>
      <c r="BR152" s="226"/>
      <c r="BS152" s="226"/>
      <c r="BT152" s="226"/>
      <c r="BU152" s="226"/>
      <c r="BV152" s="226"/>
      <c r="BW152" s="226"/>
      <c r="BX152" s="226"/>
    </row>
    <row r="153" spans="3:76">
      <c r="C153" s="327" t="s">
        <v>348</v>
      </c>
      <c r="D153" s="328">
        <f>-SUM(M148:BB148)</f>
        <v>0</v>
      </c>
      <c r="E153" s="226"/>
      <c r="F153" s="226"/>
      <c r="G153" s="226"/>
      <c r="H153" s="226"/>
      <c r="I153" s="226"/>
      <c r="J153" s="226"/>
      <c r="K153" s="226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6"/>
      <c r="AA153" s="226"/>
      <c r="AB153" s="226"/>
      <c r="AC153" s="226"/>
      <c r="AD153" s="226"/>
      <c r="AE153" s="226"/>
      <c r="AF153" s="226"/>
      <c r="AG153" s="226"/>
      <c r="AH153" s="226"/>
      <c r="AI153" s="226"/>
      <c r="AJ153" s="226"/>
      <c r="AK153" s="226"/>
      <c r="AL153" s="226"/>
      <c r="AM153" s="226"/>
      <c r="AN153" s="226"/>
      <c r="AO153" s="226"/>
      <c r="AP153" s="226"/>
      <c r="AQ153" s="226"/>
      <c r="AR153" s="226"/>
      <c r="AS153" s="226"/>
      <c r="AT153" s="226"/>
      <c r="AU153" s="226"/>
      <c r="AV153" s="226"/>
      <c r="AW153" s="226"/>
      <c r="AX153" s="226"/>
      <c r="AY153" s="226"/>
      <c r="AZ153" s="226"/>
      <c r="BA153" s="226"/>
      <c r="BB153" s="226"/>
      <c r="BC153" s="226"/>
      <c r="BD153" s="226"/>
      <c r="BE153" s="226"/>
      <c r="BF153" s="226"/>
      <c r="BG153" s="226"/>
      <c r="BH153" s="226"/>
      <c r="BI153" s="226"/>
      <c r="BJ153" s="226"/>
      <c r="BK153" s="226"/>
      <c r="BL153" s="226"/>
      <c r="BM153" s="226"/>
      <c r="BN153" s="226"/>
      <c r="BO153" s="226"/>
      <c r="BP153" s="226"/>
      <c r="BQ153" s="226"/>
      <c r="BR153" s="226"/>
      <c r="BS153" s="226"/>
      <c r="BT153" s="226"/>
      <c r="BU153" s="226"/>
      <c r="BV153" s="226"/>
      <c r="BW153" s="226"/>
      <c r="BX153" s="226"/>
    </row>
    <row r="154" spans="3:76">
      <c r="C154" s="317" t="s">
        <v>349</v>
      </c>
      <c r="D154" s="329">
        <f>D153+D152</f>
        <v>10682501</v>
      </c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  <c r="AG154" s="226"/>
      <c r="AH154" s="226"/>
      <c r="AI154" s="226"/>
      <c r="AJ154" s="226"/>
      <c r="AK154" s="226"/>
      <c r="AL154" s="226"/>
      <c r="AM154" s="226"/>
      <c r="AN154" s="226"/>
      <c r="AO154" s="226"/>
      <c r="AP154" s="226"/>
      <c r="AQ154" s="226"/>
      <c r="AR154" s="226"/>
      <c r="AS154" s="226"/>
      <c r="AT154" s="226"/>
      <c r="AU154" s="226"/>
      <c r="AV154" s="226"/>
      <c r="AW154" s="226"/>
      <c r="AX154" s="226"/>
      <c r="AY154" s="226"/>
      <c r="AZ154" s="226"/>
      <c r="BA154" s="226"/>
      <c r="BB154" s="226"/>
      <c r="BC154" s="226"/>
      <c r="BD154" s="226"/>
      <c r="BE154" s="226"/>
      <c r="BF154" s="226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6"/>
      <c r="BQ154" s="226"/>
      <c r="BR154" s="226"/>
      <c r="BS154" s="226"/>
      <c r="BT154" s="226"/>
      <c r="BU154" s="226"/>
      <c r="BV154" s="226"/>
      <c r="BW154" s="226"/>
      <c r="BX154" s="226"/>
    </row>
    <row r="155" spans="3:76">
      <c r="C155" s="317" t="s">
        <v>350</v>
      </c>
      <c r="D155" s="329" t="e">
        <f>BX146+BX147</f>
        <v>#VALUE!</v>
      </c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  <c r="BX155" s="226"/>
    </row>
    <row r="156" spans="3:76">
      <c r="C156" s="317" t="s">
        <v>351</v>
      </c>
      <c r="D156" s="326">
        <f>T147/T144</f>
        <v>0.51486070537227191</v>
      </c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  <c r="BX156" s="226"/>
    </row>
    <row r="159" spans="3:76"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  <c r="AG159" s="226"/>
      <c r="AH159" s="226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AY159" s="226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  <c r="BX159" s="226"/>
    </row>
    <row r="160" spans="3:76">
      <c r="C160" s="314" t="s">
        <v>356</v>
      </c>
      <c r="D160" s="315"/>
      <c r="E160" s="315">
        <f t="shared" ref="E160:G160" si="48">-(E7+E91)</f>
        <v>0</v>
      </c>
      <c r="F160" s="315">
        <f t="shared" si="48"/>
        <v>0</v>
      </c>
      <c r="G160" s="315">
        <f t="shared" si="48"/>
        <v>0</v>
      </c>
      <c r="H160" s="315">
        <f>-5341205.5</f>
        <v>-5341205.5</v>
      </c>
      <c r="I160" s="315">
        <f t="shared" ref="I160:S160" si="49">-(I7+I91)</f>
        <v>0</v>
      </c>
      <c r="J160" s="315">
        <f t="shared" si="49"/>
        <v>0</v>
      </c>
      <c r="K160" s="315">
        <f t="shared" si="49"/>
        <v>0</v>
      </c>
      <c r="L160" s="315">
        <f t="shared" si="49"/>
        <v>0</v>
      </c>
      <c r="M160" s="315">
        <f t="shared" si="49"/>
        <v>0</v>
      </c>
      <c r="N160" s="315">
        <f t="shared" si="49"/>
        <v>0</v>
      </c>
      <c r="O160" s="315">
        <f t="shared" si="49"/>
        <v>0</v>
      </c>
      <c r="P160" s="315">
        <f t="shared" si="49"/>
        <v>0</v>
      </c>
      <c r="Q160" s="315">
        <f t="shared" si="49"/>
        <v>0</v>
      </c>
      <c r="R160" s="315">
        <f t="shared" si="49"/>
        <v>0</v>
      </c>
      <c r="S160" s="315">
        <f t="shared" si="49"/>
        <v>0</v>
      </c>
      <c r="T160" s="315">
        <f>5341205.5</f>
        <v>5341205.5</v>
      </c>
      <c r="U160" s="315">
        <f t="shared" ref="U160:BX160" si="50">-(U7+U91)</f>
        <v>0</v>
      </c>
      <c r="V160" s="315">
        <f t="shared" si="50"/>
        <v>0</v>
      </c>
      <c r="W160" s="315">
        <f t="shared" si="50"/>
        <v>0</v>
      </c>
      <c r="X160" s="315">
        <f t="shared" si="50"/>
        <v>0</v>
      </c>
      <c r="Y160" s="315">
        <f t="shared" si="50"/>
        <v>0</v>
      </c>
      <c r="Z160" s="315">
        <f t="shared" si="50"/>
        <v>0</v>
      </c>
      <c r="AA160" s="315">
        <f t="shared" si="50"/>
        <v>0</v>
      </c>
      <c r="AB160" s="315">
        <f t="shared" si="50"/>
        <v>0</v>
      </c>
      <c r="AC160" s="315">
        <f t="shared" si="50"/>
        <v>0</v>
      </c>
      <c r="AD160" s="315">
        <f t="shared" si="50"/>
        <v>0</v>
      </c>
      <c r="AE160" s="315">
        <f t="shared" si="50"/>
        <v>0</v>
      </c>
      <c r="AF160" s="315">
        <f t="shared" si="50"/>
        <v>0</v>
      </c>
      <c r="AG160" s="315">
        <f t="shared" si="50"/>
        <v>0</v>
      </c>
      <c r="AH160" s="315">
        <f t="shared" si="50"/>
        <v>0</v>
      </c>
      <c r="AI160" s="315">
        <f t="shared" si="50"/>
        <v>0</v>
      </c>
      <c r="AJ160" s="315">
        <f t="shared" si="50"/>
        <v>0</v>
      </c>
      <c r="AK160" s="315">
        <f t="shared" si="50"/>
        <v>0</v>
      </c>
      <c r="AL160" s="315">
        <f t="shared" si="50"/>
        <v>0</v>
      </c>
      <c r="AM160" s="315">
        <f t="shared" si="50"/>
        <v>0</v>
      </c>
      <c r="AN160" s="315">
        <f t="shared" si="50"/>
        <v>0</v>
      </c>
      <c r="AO160" s="315">
        <f t="shared" si="50"/>
        <v>0</v>
      </c>
      <c r="AP160" s="315">
        <f t="shared" si="50"/>
        <v>0</v>
      </c>
      <c r="AQ160" s="315">
        <f t="shared" si="50"/>
        <v>0</v>
      </c>
      <c r="AR160" s="315">
        <f t="shared" si="50"/>
        <v>0</v>
      </c>
      <c r="AS160" s="315">
        <f t="shared" si="50"/>
        <v>0</v>
      </c>
      <c r="AT160" s="315">
        <f t="shared" si="50"/>
        <v>0</v>
      </c>
      <c r="AU160" s="315">
        <f t="shared" si="50"/>
        <v>0</v>
      </c>
      <c r="AV160" s="315">
        <f t="shared" si="50"/>
        <v>0</v>
      </c>
      <c r="AW160" s="315">
        <f t="shared" si="50"/>
        <v>0</v>
      </c>
      <c r="AX160" s="315">
        <f t="shared" si="50"/>
        <v>0</v>
      </c>
      <c r="AY160" s="315">
        <f t="shared" si="50"/>
        <v>0</v>
      </c>
      <c r="AZ160" s="315">
        <f t="shared" si="50"/>
        <v>0</v>
      </c>
      <c r="BA160" s="315">
        <f t="shared" si="50"/>
        <v>0</v>
      </c>
      <c r="BB160" s="315">
        <f t="shared" si="50"/>
        <v>0</v>
      </c>
      <c r="BC160" s="315">
        <f t="shared" si="50"/>
        <v>0</v>
      </c>
      <c r="BD160" s="315">
        <f t="shared" si="50"/>
        <v>0</v>
      </c>
      <c r="BE160" s="315">
        <f t="shared" si="50"/>
        <v>0</v>
      </c>
      <c r="BF160" s="315">
        <f t="shared" si="50"/>
        <v>0</v>
      </c>
      <c r="BG160" s="315">
        <f t="shared" si="50"/>
        <v>0</v>
      </c>
      <c r="BH160" s="315">
        <f t="shared" si="50"/>
        <v>0</v>
      </c>
      <c r="BI160" s="315">
        <f t="shared" si="50"/>
        <v>0</v>
      </c>
      <c r="BJ160" s="315">
        <f t="shared" si="50"/>
        <v>0</v>
      </c>
      <c r="BK160" s="315">
        <f t="shared" si="50"/>
        <v>0</v>
      </c>
      <c r="BL160" s="315">
        <f t="shared" si="50"/>
        <v>0</v>
      </c>
      <c r="BM160" s="315">
        <f t="shared" si="50"/>
        <v>0</v>
      </c>
      <c r="BN160" s="315">
        <f t="shared" si="50"/>
        <v>0</v>
      </c>
      <c r="BO160" s="315">
        <f t="shared" si="50"/>
        <v>0</v>
      </c>
      <c r="BP160" s="315">
        <f t="shared" si="50"/>
        <v>0</v>
      </c>
      <c r="BQ160" s="315">
        <f t="shared" si="50"/>
        <v>0</v>
      </c>
      <c r="BR160" s="315">
        <f t="shared" si="50"/>
        <v>0</v>
      </c>
      <c r="BS160" s="315">
        <f t="shared" si="50"/>
        <v>0</v>
      </c>
      <c r="BT160" s="315">
        <f t="shared" si="50"/>
        <v>0</v>
      </c>
      <c r="BU160" s="315">
        <f t="shared" si="50"/>
        <v>0</v>
      </c>
      <c r="BV160" s="315">
        <f t="shared" si="50"/>
        <v>0</v>
      </c>
      <c r="BW160" s="315">
        <f t="shared" si="50"/>
        <v>0</v>
      </c>
      <c r="BX160" s="315">
        <f t="shared" si="50"/>
        <v>0</v>
      </c>
    </row>
    <row r="161" spans="3:76">
      <c r="C161" s="314" t="s">
        <v>353</v>
      </c>
      <c r="D161" s="323"/>
      <c r="E161" s="315"/>
      <c r="F161" s="315"/>
      <c r="G161" s="315"/>
      <c r="H161" s="315"/>
      <c r="I161" s="315"/>
      <c r="J161" s="315"/>
      <c r="K161" s="315"/>
      <c r="L161" s="315"/>
      <c r="M161" s="315"/>
      <c r="N161" s="315"/>
      <c r="O161" s="315"/>
      <c r="P161" s="315"/>
      <c r="Q161" s="315"/>
      <c r="R161" s="315"/>
      <c r="S161" s="315"/>
      <c r="T161" s="315"/>
      <c r="U161" s="315"/>
      <c r="V161" s="315"/>
      <c r="W161" s="315"/>
      <c r="X161" s="315"/>
      <c r="Y161" s="315"/>
      <c r="Z161" s="315"/>
      <c r="AA161" s="315"/>
      <c r="AB161" s="315"/>
      <c r="AC161" s="315"/>
      <c r="AD161" s="315"/>
      <c r="AE161" s="315"/>
      <c r="AF161" s="315"/>
      <c r="AG161" s="315"/>
      <c r="AH161" s="315"/>
      <c r="AI161" s="315"/>
      <c r="AJ161" s="315"/>
      <c r="AK161" s="315"/>
      <c r="AL161" s="315"/>
      <c r="AM161" s="315"/>
      <c r="AN161" s="315"/>
      <c r="AO161" s="315"/>
      <c r="AP161" s="315"/>
      <c r="AQ161" s="315"/>
      <c r="AR161" s="315"/>
      <c r="AS161" s="315"/>
      <c r="AT161" s="315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</row>
    <row r="162" spans="3:76">
      <c r="C162" s="314" t="s">
        <v>343</v>
      </c>
      <c r="D162" s="323"/>
      <c r="E162" s="315">
        <f t="shared" ref="E162:BX162" si="51">-E56</f>
        <v>0</v>
      </c>
      <c r="F162" s="315">
        <f t="shared" si="51"/>
        <v>0</v>
      </c>
      <c r="G162" s="315">
        <f t="shared" si="51"/>
        <v>0</v>
      </c>
      <c r="H162" s="315">
        <f t="shared" si="51"/>
        <v>0</v>
      </c>
      <c r="I162" s="315">
        <f t="shared" si="51"/>
        <v>0</v>
      </c>
      <c r="J162" s="315">
        <f t="shared" si="51"/>
        <v>0</v>
      </c>
      <c r="K162" s="315">
        <f t="shared" si="51"/>
        <v>0</v>
      </c>
      <c r="L162" s="315">
        <f t="shared" si="51"/>
        <v>0</v>
      </c>
      <c r="M162" s="315">
        <f t="shared" si="51"/>
        <v>0</v>
      </c>
      <c r="N162" s="315">
        <f t="shared" si="51"/>
        <v>0</v>
      </c>
      <c r="O162" s="315">
        <f t="shared" si="51"/>
        <v>0</v>
      </c>
      <c r="P162" s="315">
        <f t="shared" si="51"/>
        <v>0</v>
      </c>
      <c r="Q162" s="315">
        <f t="shared" si="51"/>
        <v>0</v>
      </c>
      <c r="R162" s="315">
        <f t="shared" si="51"/>
        <v>0</v>
      </c>
      <c r="S162" s="315">
        <f t="shared" si="51"/>
        <v>0</v>
      </c>
      <c r="T162" s="315">
        <f t="shared" si="51"/>
        <v>0</v>
      </c>
      <c r="U162" s="315">
        <f t="shared" si="51"/>
        <v>0</v>
      </c>
      <c r="V162" s="315">
        <f t="shared" si="51"/>
        <v>0</v>
      </c>
      <c r="W162" s="315">
        <f t="shared" si="51"/>
        <v>0</v>
      </c>
      <c r="X162" s="315">
        <f t="shared" si="51"/>
        <v>0</v>
      </c>
      <c r="Y162" s="315">
        <f t="shared" si="51"/>
        <v>0</v>
      </c>
      <c r="Z162" s="315">
        <f t="shared" si="51"/>
        <v>0</v>
      </c>
      <c r="AA162" s="315">
        <f t="shared" si="51"/>
        <v>0</v>
      </c>
      <c r="AB162" s="315">
        <f t="shared" si="51"/>
        <v>0</v>
      </c>
      <c r="AC162" s="315">
        <f t="shared" si="51"/>
        <v>0</v>
      </c>
      <c r="AD162" s="315">
        <f t="shared" si="51"/>
        <v>0</v>
      </c>
      <c r="AE162" s="315">
        <f t="shared" si="51"/>
        <v>0</v>
      </c>
      <c r="AF162" s="315">
        <f t="shared" si="51"/>
        <v>0</v>
      </c>
      <c r="AG162" s="315">
        <f t="shared" si="51"/>
        <v>0</v>
      </c>
      <c r="AH162" s="315">
        <f t="shared" si="51"/>
        <v>0</v>
      </c>
      <c r="AI162" s="315">
        <f t="shared" si="51"/>
        <v>0</v>
      </c>
      <c r="AJ162" s="315">
        <f t="shared" si="51"/>
        <v>0</v>
      </c>
      <c r="AK162" s="315">
        <f t="shared" si="51"/>
        <v>0</v>
      </c>
      <c r="AL162" s="315">
        <f t="shared" si="51"/>
        <v>0</v>
      </c>
      <c r="AM162" s="315">
        <f t="shared" si="51"/>
        <v>0</v>
      </c>
      <c r="AN162" s="315">
        <f t="shared" si="51"/>
        <v>0</v>
      </c>
      <c r="AO162" s="315">
        <f t="shared" si="51"/>
        <v>0</v>
      </c>
      <c r="AP162" s="315">
        <f t="shared" si="51"/>
        <v>0</v>
      </c>
      <c r="AQ162" s="315">
        <f t="shared" si="51"/>
        <v>0</v>
      </c>
      <c r="AR162" s="315">
        <f t="shared" si="51"/>
        <v>0</v>
      </c>
      <c r="AS162" s="315">
        <f t="shared" si="51"/>
        <v>0</v>
      </c>
      <c r="AT162" s="315">
        <f t="shared" si="51"/>
        <v>0</v>
      </c>
      <c r="AU162" s="315">
        <f t="shared" si="51"/>
        <v>0</v>
      </c>
      <c r="AV162" s="315">
        <f t="shared" si="51"/>
        <v>0</v>
      </c>
      <c r="AW162" s="315">
        <f t="shared" si="51"/>
        <v>0</v>
      </c>
      <c r="AX162" s="315">
        <f t="shared" si="51"/>
        <v>0</v>
      </c>
      <c r="AY162" s="315">
        <f t="shared" si="51"/>
        <v>0</v>
      </c>
      <c r="AZ162" s="315">
        <f t="shared" si="51"/>
        <v>0</v>
      </c>
      <c r="BA162" s="315">
        <f t="shared" si="51"/>
        <v>0</v>
      </c>
      <c r="BB162" s="315">
        <f t="shared" si="51"/>
        <v>0</v>
      </c>
      <c r="BC162" s="315">
        <f t="shared" si="51"/>
        <v>0</v>
      </c>
      <c r="BD162" s="315">
        <f t="shared" si="51"/>
        <v>0</v>
      </c>
      <c r="BE162" s="315">
        <f t="shared" si="51"/>
        <v>0</v>
      </c>
      <c r="BF162" s="315">
        <f t="shared" si="51"/>
        <v>0</v>
      </c>
      <c r="BG162" s="315">
        <f t="shared" si="51"/>
        <v>0</v>
      </c>
      <c r="BH162" s="315">
        <f t="shared" si="51"/>
        <v>0</v>
      </c>
      <c r="BI162" s="315">
        <f t="shared" si="51"/>
        <v>0</v>
      </c>
      <c r="BJ162" s="315">
        <f t="shared" si="51"/>
        <v>0</v>
      </c>
      <c r="BK162" s="315">
        <f t="shared" si="51"/>
        <v>0</v>
      </c>
      <c r="BL162" s="315">
        <f t="shared" si="51"/>
        <v>0</v>
      </c>
      <c r="BM162" s="315">
        <f t="shared" si="51"/>
        <v>0</v>
      </c>
      <c r="BN162" s="315">
        <f t="shared" si="51"/>
        <v>0</v>
      </c>
      <c r="BO162" s="315">
        <f t="shared" si="51"/>
        <v>0</v>
      </c>
      <c r="BP162" s="315">
        <f t="shared" si="51"/>
        <v>0</v>
      </c>
      <c r="BQ162" s="315">
        <f t="shared" si="51"/>
        <v>0</v>
      </c>
      <c r="BR162" s="315">
        <f t="shared" si="51"/>
        <v>0</v>
      </c>
      <c r="BS162" s="315">
        <f t="shared" si="51"/>
        <v>0</v>
      </c>
      <c r="BT162" s="315">
        <f t="shared" si="51"/>
        <v>0</v>
      </c>
      <c r="BU162" s="315">
        <f t="shared" si="51"/>
        <v>0</v>
      </c>
      <c r="BV162" s="315">
        <f t="shared" si="51"/>
        <v>0</v>
      </c>
      <c r="BW162" s="315">
        <f t="shared" si="51"/>
        <v>0</v>
      </c>
      <c r="BX162" s="315">
        <f t="shared" si="51"/>
        <v>0</v>
      </c>
    </row>
    <row r="163" spans="3:76">
      <c r="C163" s="314" t="s">
        <v>344</v>
      </c>
      <c r="D163" s="323"/>
      <c r="E163" s="315"/>
      <c r="F163" s="315"/>
      <c r="G163" s="315"/>
      <c r="H163" s="315"/>
      <c r="I163" s="315"/>
      <c r="J163" s="315"/>
      <c r="K163" s="315"/>
      <c r="L163" s="315"/>
      <c r="M163" s="315"/>
      <c r="N163" s="315"/>
      <c r="O163" s="315"/>
      <c r="P163" s="315"/>
      <c r="Q163" s="315"/>
      <c r="R163" s="315"/>
      <c r="S163" s="315"/>
      <c r="T163" s="315">
        <v>2750000</v>
      </c>
      <c r="U163" s="315"/>
      <c r="V163" s="315"/>
      <c r="W163" s="315"/>
      <c r="X163" s="315"/>
      <c r="Y163" s="315"/>
      <c r="Z163" s="315"/>
      <c r="AA163" s="315"/>
      <c r="AB163" s="315"/>
      <c r="AC163" s="315"/>
      <c r="AD163" s="315"/>
      <c r="AE163" s="315"/>
      <c r="AF163" s="315"/>
      <c r="AG163" s="315"/>
      <c r="AH163" s="315"/>
      <c r="AI163" s="315"/>
      <c r="AJ163" s="315"/>
      <c r="AK163" s="315"/>
      <c r="AL163" s="315"/>
      <c r="AM163" s="315"/>
      <c r="AN163" s="315"/>
      <c r="AO163" s="315"/>
      <c r="AP163" s="315"/>
      <c r="AQ163" s="315"/>
      <c r="AR163" s="315"/>
      <c r="AS163" s="315"/>
      <c r="AT163" s="315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 t="e">
        <f>IF(D103&gt;0.25,(BX98-BX106)*D164,BX98*D164)</f>
        <v>#VALUE!</v>
      </c>
    </row>
    <row r="164" spans="3:76">
      <c r="C164" s="317" t="s">
        <v>345</v>
      </c>
      <c r="D164" s="323">
        <v>0</v>
      </c>
      <c r="E164" s="246"/>
      <c r="F164" s="246"/>
      <c r="G164" s="246"/>
      <c r="H164" s="246"/>
      <c r="I164" s="246"/>
      <c r="J164" s="246"/>
      <c r="K164" s="246"/>
      <c r="L164" s="246"/>
      <c r="M164" s="246"/>
      <c r="N164" s="246"/>
      <c r="O164" s="246"/>
      <c r="P164" s="246"/>
      <c r="Q164" s="246"/>
      <c r="R164" s="246"/>
      <c r="S164" s="246"/>
      <c r="T164" s="246"/>
      <c r="U164" s="246"/>
      <c r="V164" s="246"/>
      <c r="W164" s="246"/>
      <c r="X164" s="246"/>
      <c r="Y164" s="246"/>
      <c r="Z164" s="246"/>
      <c r="AA164" s="246"/>
      <c r="AB164" s="246"/>
      <c r="AC164" s="246"/>
      <c r="AD164" s="246"/>
      <c r="AE164" s="246"/>
      <c r="AF164" s="246"/>
      <c r="AG164" s="246"/>
      <c r="AH164" s="246"/>
      <c r="AI164" s="246"/>
      <c r="AJ164" s="246"/>
      <c r="AK164" s="246"/>
      <c r="AL164" s="246"/>
      <c r="AM164" s="246"/>
      <c r="AN164" s="246"/>
      <c r="AO164" s="246"/>
      <c r="AP164" s="246"/>
      <c r="AQ164" s="246"/>
      <c r="AR164" s="246"/>
      <c r="AS164" s="246"/>
      <c r="AT164" s="246"/>
      <c r="AU164" s="246"/>
      <c r="AV164" s="246"/>
      <c r="AW164" s="246"/>
      <c r="AX164" s="246"/>
      <c r="AY164" s="246"/>
      <c r="AZ164" s="246"/>
      <c r="BA164" s="246"/>
      <c r="BB164" s="246"/>
      <c r="BC164" s="246"/>
      <c r="BD164" s="246"/>
      <c r="BE164" s="246"/>
      <c r="BF164" s="246"/>
      <c r="BG164" s="246"/>
      <c r="BH164" s="246"/>
      <c r="BI164" s="246"/>
      <c r="BJ164" s="246"/>
      <c r="BK164" s="246"/>
      <c r="BL164" s="246"/>
      <c r="BM164" s="246"/>
      <c r="BN164" s="246"/>
      <c r="BO164" s="246"/>
      <c r="BP164" s="246"/>
      <c r="BQ164" s="246"/>
      <c r="BR164" s="246"/>
      <c r="BS164" s="246"/>
      <c r="BT164" s="246"/>
      <c r="BU164" s="246"/>
      <c r="BV164" s="246"/>
      <c r="BW164" s="246"/>
      <c r="BX164" s="246"/>
    </row>
    <row r="165" spans="3:76">
      <c r="C165" s="314" t="s">
        <v>346</v>
      </c>
      <c r="D165" s="315"/>
      <c r="E165" s="325">
        <f t="shared" ref="E165:BX165" si="52">E160+E161+E162+E163+E164</f>
        <v>0</v>
      </c>
      <c r="F165" s="325">
        <f t="shared" si="52"/>
        <v>0</v>
      </c>
      <c r="G165" s="325">
        <f t="shared" si="52"/>
        <v>0</v>
      </c>
      <c r="H165" s="325">
        <f t="shared" si="52"/>
        <v>-5341205.5</v>
      </c>
      <c r="I165" s="325">
        <f t="shared" si="52"/>
        <v>0</v>
      </c>
      <c r="J165" s="325">
        <f t="shared" si="52"/>
        <v>0</v>
      </c>
      <c r="K165" s="325">
        <f t="shared" si="52"/>
        <v>0</v>
      </c>
      <c r="L165" s="325">
        <f t="shared" si="52"/>
        <v>0</v>
      </c>
      <c r="M165" s="325">
        <f t="shared" si="52"/>
        <v>0</v>
      </c>
      <c r="N165" s="325">
        <f t="shared" si="52"/>
        <v>0</v>
      </c>
      <c r="O165" s="325">
        <f t="shared" si="52"/>
        <v>0</v>
      </c>
      <c r="P165" s="325">
        <f t="shared" si="52"/>
        <v>0</v>
      </c>
      <c r="Q165" s="325">
        <f t="shared" si="52"/>
        <v>0</v>
      </c>
      <c r="R165" s="325">
        <f t="shared" si="52"/>
        <v>0</v>
      </c>
      <c r="S165" s="325">
        <f t="shared" si="52"/>
        <v>0</v>
      </c>
      <c r="T165" s="325">
        <f t="shared" si="52"/>
        <v>8091205.5</v>
      </c>
      <c r="U165" s="325">
        <f t="shared" si="52"/>
        <v>0</v>
      </c>
      <c r="V165" s="325">
        <f t="shared" si="52"/>
        <v>0</v>
      </c>
      <c r="W165" s="325">
        <f t="shared" si="52"/>
        <v>0</v>
      </c>
      <c r="X165" s="325">
        <f t="shared" si="52"/>
        <v>0</v>
      </c>
      <c r="Y165" s="325">
        <f t="shared" si="52"/>
        <v>0</v>
      </c>
      <c r="Z165" s="325">
        <f t="shared" si="52"/>
        <v>0</v>
      </c>
      <c r="AA165" s="325">
        <f t="shared" si="52"/>
        <v>0</v>
      </c>
      <c r="AB165" s="325">
        <f t="shared" si="52"/>
        <v>0</v>
      </c>
      <c r="AC165" s="325">
        <f t="shared" si="52"/>
        <v>0</v>
      </c>
      <c r="AD165" s="325">
        <f t="shared" si="52"/>
        <v>0</v>
      </c>
      <c r="AE165" s="325">
        <f t="shared" si="52"/>
        <v>0</v>
      </c>
      <c r="AF165" s="325">
        <f t="shared" si="52"/>
        <v>0</v>
      </c>
      <c r="AG165" s="325">
        <f t="shared" si="52"/>
        <v>0</v>
      </c>
      <c r="AH165" s="325">
        <f t="shared" si="52"/>
        <v>0</v>
      </c>
      <c r="AI165" s="325">
        <f t="shared" si="52"/>
        <v>0</v>
      </c>
      <c r="AJ165" s="325">
        <f t="shared" si="52"/>
        <v>0</v>
      </c>
      <c r="AK165" s="325">
        <f t="shared" si="52"/>
        <v>0</v>
      </c>
      <c r="AL165" s="325">
        <f t="shared" si="52"/>
        <v>0</v>
      </c>
      <c r="AM165" s="325">
        <f t="shared" si="52"/>
        <v>0</v>
      </c>
      <c r="AN165" s="325">
        <f t="shared" si="52"/>
        <v>0</v>
      </c>
      <c r="AO165" s="325">
        <f t="shared" si="52"/>
        <v>0</v>
      </c>
      <c r="AP165" s="325">
        <f t="shared" si="52"/>
        <v>0</v>
      </c>
      <c r="AQ165" s="325">
        <f t="shared" si="52"/>
        <v>0</v>
      </c>
      <c r="AR165" s="325">
        <f t="shared" si="52"/>
        <v>0</v>
      </c>
      <c r="AS165" s="325">
        <f t="shared" si="52"/>
        <v>0</v>
      </c>
      <c r="AT165" s="325">
        <f t="shared" si="52"/>
        <v>0</v>
      </c>
      <c r="AU165" s="325">
        <f t="shared" si="52"/>
        <v>0</v>
      </c>
      <c r="AV165" s="325">
        <f t="shared" si="52"/>
        <v>0</v>
      </c>
      <c r="AW165" s="325">
        <f t="shared" si="52"/>
        <v>0</v>
      </c>
      <c r="AX165" s="325">
        <f t="shared" si="52"/>
        <v>0</v>
      </c>
      <c r="AY165" s="325">
        <f t="shared" si="52"/>
        <v>0</v>
      </c>
      <c r="AZ165" s="325">
        <f t="shared" si="52"/>
        <v>0</v>
      </c>
      <c r="BA165" s="325">
        <f t="shared" si="52"/>
        <v>0</v>
      </c>
      <c r="BB165" s="325">
        <f t="shared" si="52"/>
        <v>0</v>
      </c>
      <c r="BC165" s="325">
        <f t="shared" si="52"/>
        <v>0</v>
      </c>
      <c r="BD165" s="325">
        <f t="shared" si="52"/>
        <v>0</v>
      </c>
      <c r="BE165" s="325">
        <f t="shared" si="52"/>
        <v>0</v>
      </c>
      <c r="BF165" s="325">
        <f t="shared" si="52"/>
        <v>0</v>
      </c>
      <c r="BG165" s="325">
        <f t="shared" si="52"/>
        <v>0</v>
      </c>
      <c r="BH165" s="325">
        <f t="shared" si="52"/>
        <v>0</v>
      </c>
      <c r="BI165" s="325">
        <f t="shared" si="52"/>
        <v>0</v>
      </c>
      <c r="BJ165" s="325">
        <f t="shared" si="52"/>
        <v>0</v>
      </c>
      <c r="BK165" s="325">
        <f t="shared" si="52"/>
        <v>0</v>
      </c>
      <c r="BL165" s="325">
        <f t="shared" si="52"/>
        <v>0</v>
      </c>
      <c r="BM165" s="325">
        <f t="shared" si="52"/>
        <v>0</v>
      </c>
      <c r="BN165" s="325">
        <f t="shared" si="52"/>
        <v>0</v>
      </c>
      <c r="BO165" s="325">
        <f t="shared" si="52"/>
        <v>0</v>
      </c>
      <c r="BP165" s="325">
        <f t="shared" si="52"/>
        <v>0</v>
      </c>
      <c r="BQ165" s="325">
        <f t="shared" si="52"/>
        <v>0</v>
      </c>
      <c r="BR165" s="325">
        <f t="shared" si="52"/>
        <v>0</v>
      </c>
      <c r="BS165" s="325">
        <f t="shared" si="52"/>
        <v>0</v>
      </c>
      <c r="BT165" s="325">
        <f t="shared" si="52"/>
        <v>0</v>
      </c>
      <c r="BU165" s="325">
        <f t="shared" si="52"/>
        <v>0</v>
      </c>
      <c r="BV165" s="325">
        <f t="shared" si="52"/>
        <v>0</v>
      </c>
      <c r="BW165" s="325">
        <f t="shared" si="52"/>
        <v>0</v>
      </c>
      <c r="BX165" s="325" t="e">
        <f t="shared" si="52"/>
        <v>#VALUE!</v>
      </c>
    </row>
    <row r="166" spans="3:76">
      <c r="C166" s="318"/>
      <c r="D166" s="326" t="s">
        <v>354</v>
      </c>
      <c r="E166" s="330">
        <f>E165</f>
        <v>0</v>
      </c>
      <c r="F166" s="330">
        <f t="shared" ref="F166:BX166" si="53">E166+F165</f>
        <v>0</v>
      </c>
      <c r="G166" s="330">
        <f t="shared" si="53"/>
        <v>0</v>
      </c>
      <c r="H166" s="330">
        <f t="shared" si="53"/>
        <v>-5341205.5</v>
      </c>
      <c r="I166" s="330">
        <f t="shared" si="53"/>
        <v>-5341205.5</v>
      </c>
      <c r="J166" s="330">
        <f t="shared" si="53"/>
        <v>-5341205.5</v>
      </c>
      <c r="K166" s="330">
        <f t="shared" si="53"/>
        <v>-5341205.5</v>
      </c>
      <c r="L166" s="330">
        <f t="shared" si="53"/>
        <v>-5341205.5</v>
      </c>
      <c r="M166" s="330">
        <f t="shared" si="53"/>
        <v>-5341205.5</v>
      </c>
      <c r="N166" s="330">
        <f t="shared" si="53"/>
        <v>-5341205.5</v>
      </c>
      <c r="O166" s="330">
        <f t="shared" si="53"/>
        <v>-5341205.5</v>
      </c>
      <c r="P166" s="330">
        <f t="shared" si="53"/>
        <v>-5341205.5</v>
      </c>
      <c r="Q166" s="330">
        <f t="shared" si="53"/>
        <v>-5341205.5</v>
      </c>
      <c r="R166" s="330">
        <f t="shared" si="53"/>
        <v>-5341205.5</v>
      </c>
      <c r="S166" s="330">
        <f t="shared" si="53"/>
        <v>-5341205.5</v>
      </c>
      <c r="T166" s="330">
        <f t="shared" si="53"/>
        <v>2750000</v>
      </c>
      <c r="U166" s="330">
        <f t="shared" si="53"/>
        <v>2750000</v>
      </c>
      <c r="V166" s="330">
        <f t="shared" si="53"/>
        <v>2750000</v>
      </c>
      <c r="W166" s="330">
        <f t="shared" si="53"/>
        <v>2750000</v>
      </c>
      <c r="X166" s="330">
        <f t="shared" si="53"/>
        <v>2750000</v>
      </c>
      <c r="Y166" s="330">
        <f t="shared" si="53"/>
        <v>2750000</v>
      </c>
      <c r="Z166" s="330">
        <f t="shared" si="53"/>
        <v>2750000</v>
      </c>
      <c r="AA166" s="330">
        <f t="shared" si="53"/>
        <v>2750000</v>
      </c>
      <c r="AB166" s="330">
        <f t="shared" si="53"/>
        <v>2750000</v>
      </c>
      <c r="AC166" s="330">
        <f t="shared" si="53"/>
        <v>2750000</v>
      </c>
      <c r="AD166" s="330">
        <f t="shared" si="53"/>
        <v>2750000</v>
      </c>
      <c r="AE166" s="330">
        <f t="shared" si="53"/>
        <v>2750000</v>
      </c>
      <c r="AF166" s="330">
        <f t="shared" si="53"/>
        <v>2750000</v>
      </c>
      <c r="AG166" s="330">
        <f t="shared" si="53"/>
        <v>2750000</v>
      </c>
      <c r="AH166" s="330">
        <f t="shared" si="53"/>
        <v>2750000</v>
      </c>
      <c r="AI166" s="330">
        <f t="shared" si="53"/>
        <v>2750000</v>
      </c>
      <c r="AJ166" s="330">
        <f t="shared" si="53"/>
        <v>2750000</v>
      </c>
      <c r="AK166" s="330">
        <f t="shared" si="53"/>
        <v>2750000</v>
      </c>
      <c r="AL166" s="330">
        <f t="shared" si="53"/>
        <v>2750000</v>
      </c>
      <c r="AM166" s="330">
        <f t="shared" si="53"/>
        <v>2750000</v>
      </c>
      <c r="AN166" s="330">
        <f t="shared" si="53"/>
        <v>2750000</v>
      </c>
      <c r="AO166" s="330">
        <f t="shared" si="53"/>
        <v>2750000</v>
      </c>
      <c r="AP166" s="330">
        <f t="shared" si="53"/>
        <v>2750000</v>
      </c>
      <c r="AQ166" s="330">
        <f t="shared" si="53"/>
        <v>2750000</v>
      </c>
      <c r="AR166" s="330">
        <f t="shared" si="53"/>
        <v>2750000</v>
      </c>
      <c r="AS166" s="330">
        <f t="shared" si="53"/>
        <v>2750000</v>
      </c>
      <c r="AT166" s="330">
        <f t="shared" si="53"/>
        <v>2750000</v>
      </c>
      <c r="AU166" s="330">
        <f t="shared" si="53"/>
        <v>2750000</v>
      </c>
      <c r="AV166" s="330">
        <f t="shared" si="53"/>
        <v>2750000</v>
      </c>
      <c r="AW166" s="330">
        <f t="shared" si="53"/>
        <v>2750000</v>
      </c>
      <c r="AX166" s="330">
        <f t="shared" si="53"/>
        <v>2750000</v>
      </c>
      <c r="AY166" s="330">
        <f t="shared" si="53"/>
        <v>2750000</v>
      </c>
      <c r="AZ166" s="330">
        <f t="shared" si="53"/>
        <v>2750000</v>
      </c>
      <c r="BA166" s="330">
        <f t="shared" si="53"/>
        <v>2750000</v>
      </c>
      <c r="BB166" s="330">
        <f t="shared" si="53"/>
        <v>2750000</v>
      </c>
      <c r="BC166" s="330">
        <f t="shared" si="53"/>
        <v>2750000</v>
      </c>
      <c r="BD166" s="330">
        <f t="shared" si="53"/>
        <v>2750000</v>
      </c>
      <c r="BE166" s="330">
        <f t="shared" si="53"/>
        <v>2750000</v>
      </c>
      <c r="BF166" s="330">
        <f t="shared" si="53"/>
        <v>2750000</v>
      </c>
      <c r="BG166" s="330">
        <f t="shared" si="53"/>
        <v>2750000</v>
      </c>
      <c r="BH166" s="330">
        <f t="shared" si="53"/>
        <v>2750000</v>
      </c>
      <c r="BI166" s="330">
        <f t="shared" si="53"/>
        <v>2750000</v>
      </c>
      <c r="BJ166" s="330">
        <f t="shared" si="53"/>
        <v>2750000</v>
      </c>
      <c r="BK166" s="330">
        <f t="shared" si="53"/>
        <v>2750000</v>
      </c>
      <c r="BL166" s="330">
        <f t="shared" si="53"/>
        <v>2750000</v>
      </c>
      <c r="BM166" s="330">
        <f t="shared" si="53"/>
        <v>2750000</v>
      </c>
      <c r="BN166" s="330">
        <f t="shared" si="53"/>
        <v>2750000</v>
      </c>
      <c r="BO166" s="330">
        <f t="shared" si="53"/>
        <v>2750000</v>
      </c>
      <c r="BP166" s="330">
        <f t="shared" si="53"/>
        <v>2750000</v>
      </c>
      <c r="BQ166" s="330">
        <f t="shared" si="53"/>
        <v>2750000</v>
      </c>
      <c r="BR166" s="330">
        <f t="shared" si="53"/>
        <v>2750000</v>
      </c>
      <c r="BS166" s="330">
        <f t="shared" si="53"/>
        <v>2750000</v>
      </c>
      <c r="BT166" s="330">
        <f t="shared" si="53"/>
        <v>2750000</v>
      </c>
      <c r="BU166" s="330">
        <f t="shared" si="53"/>
        <v>2750000</v>
      </c>
      <c r="BV166" s="330">
        <f t="shared" si="53"/>
        <v>2750000</v>
      </c>
      <c r="BW166" s="330">
        <f t="shared" si="53"/>
        <v>2750000</v>
      </c>
      <c r="BX166" s="330" t="e">
        <f t="shared" si="53"/>
        <v>#VALUE!</v>
      </c>
    </row>
    <row r="167" spans="3:76">
      <c r="C167" s="317" t="s">
        <v>339</v>
      </c>
      <c r="D167" s="326" t="e">
        <f>IRR(E165:BX165)*12</f>
        <v>#VALUE!</v>
      </c>
      <c r="E167" s="226"/>
      <c r="F167" s="226"/>
      <c r="G167" s="226"/>
      <c r="H167" s="226"/>
      <c r="I167" s="226"/>
      <c r="J167" s="226"/>
      <c r="K167" s="226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6"/>
      <c r="AA167" s="226"/>
      <c r="AB167" s="226"/>
      <c r="AC167" s="226"/>
      <c r="AD167" s="226"/>
      <c r="AE167" s="226"/>
      <c r="AF167" s="226"/>
      <c r="AG167" s="226"/>
      <c r="AH167" s="226"/>
      <c r="AI167" s="226"/>
      <c r="AJ167" s="226"/>
      <c r="AK167" s="226"/>
      <c r="AL167" s="226"/>
      <c r="AM167" s="226"/>
      <c r="AN167" s="226"/>
      <c r="AO167" s="226"/>
      <c r="AP167" s="226"/>
      <c r="AQ167" s="226"/>
      <c r="AR167" s="226"/>
      <c r="AS167" s="226"/>
      <c r="AT167" s="226"/>
      <c r="AU167" s="226"/>
      <c r="AV167" s="226"/>
      <c r="AW167" s="226"/>
      <c r="AX167" s="226"/>
      <c r="AY167" s="226"/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  <c r="BX167" s="226"/>
    </row>
    <row r="168" spans="3:76">
      <c r="C168" s="327" t="s">
        <v>347</v>
      </c>
      <c r="D168" s="328">
        <f>-MIN(M166:BL166)-D169</f>
        <v>5341205.5</v>
      </c>
      <c r="E168" s="226"/>
      <c r="F168" s="226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6"/>
      <c r="AA168" s="226"/>
      <c r="AB168" s="226"/>
      <c r="AC168" s="226"/>
      <c r="AD168" s="226"/>
      <c r="AE168" s="226"/>
      <c r="AF168" s="226"/>
      <c r="AG168" s="226"/>
      <c r="AH168" s="226"/>
      <c r="AI168" s="226"/>
      <c r="AJ168" s="226"/>
      <c r="AK168" s="226"/>
      <c r="AL168" s="226"/>
      <c r="AM168" s="226"/>
      <c r="AN168" s="226"/>
      <c r="AO168" s="226"/>
      <c r="AP168" s="226"/>
      <c r="AQ168" s="226"/>
      <c r="AR168" s="226"/>
      <c r="AS168" s="226"/>
      <c r="AT168" s="226"/>
      <c r="AU168" s="226"/>
      <c r="AV168" s="226"/>
      <c r="AW168" s="226"/>
      <c r="AX168" s="226"/>
      <c r="AY168" s="226"/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  <c r="BX168" s="226"/>
    </row>
    <row r="169" spans="3:76">
      <c r="C169" s="327" t="s">
        <v>348</v>
      </c>
      <c r="D169" s="328">
        <f>-SUM(M164:BB164)</f>
        <v>0</v>
      </c>
      <c r="E169" s="226"/>
      <c r="F169" s="226"/>
      <c r="G169" s="226"/>
      <c r="H169" s="226"/>
      <c r="I169" s="226"/>
      <c r="J169" s="226"/>
      <c r="K169" s="226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6"/>
      <c r="AA169" s="226"/>
      <c r="AB169" s="226"/>
      <c r="AC169" s="226"/>
      <c r="AD169" s="226"/>
      <c r="AE169" s="226"/>
      <c r="AF169" s="226"/>
      <c r="AG169" s="226"/>
      <c r="AH169" s="226"/>
      <c r="AI169" s="226"/>
      <c r="AJ169" s="226"/>
      <c r="AK169" s="226"/>
      <c r="AL169" s="226"/>
      <c r="AM169" s="226"/>
      <c r="AN169" s="226"/>
      <c r="AO169" s="226"/>
      <c r="AP169" s="226"/>
      <c r="AQ169" s="226"/>
      <c r="AR169" s="226"/>
      <c r="AS169" s="226"/>
      <c r="AT169" s="226"/>
      <c r="AU169" s="226"/>
      <c r="AV169" s="226"/>
      <c r="AW169" s="226"/>
      <c r="AX169" s="226"/>
      <c r="AY169" s="226"/>
      <c r="AZ169" s="226"/>
      <c r="BA169" s="226"/>
      <c r="BB169" s="226"/>
      <c r="BC169" s="226"/>
      <c r="BD169" s="226"/>
      <c r="BE169" s="226"/>
      <c r="BF169" s="226"/>
      <c r="BG169" s="226"/>
      <c r="BH169" s="226"/>
      <c r="BI169" s="226"/>
      <c r="BJ169" s="226"/>
      <c r="BK169" s="226"/>
      <c r="BL169" s="226"/>
      <c r="BM169" s="226"/>
      <c r="BN169" s="226"/>
      <c r="BO169" s="226"/>
      <c r="BP169" s="226"/>
      <c r="BQ169" s="226"/>
      <c r="BR169" s="226"/>
      <c r="BS169" s="226"/>
      <c r="BT169" s="226"/>
      <c r="BU169" s="226"/>
      <c r="BV169" s="226"/>
      <c r="BW169" s="226"/>
      <c r="BX169" s="226"/>
    </row>
    <row r="170" spans="3:76">
      <c r="C170" s="317" t="s">
        <v>349</v>
      </c>
      <c r="D170" s="329">
        <f>D169+D168</f>
        <v>5341205.5</v>
      </c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6"/>
      <c r="AZ170" s="226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6"/>
      <c r="BM170" s="226"/>
      <c r="BN170" s="226"/>
      <c r="BO170" s="226"/>
      <c r="BP170" s="226"/>
      <c r="BQ170" s="226"/>
      <c r="BR170" s="226"/>
      <c r="BS170" s="226"/>
      <c r="BT170" s="226"/>
      <c r="BU170" s="226"/>
      <c r="BV170" s="226"/>
      <c r="BW170" s="226"/>
      <c r="BX170" s="226"/>
    </row>
    <row r="171" spans="3:76">
      <c r="C171" s="317" t="s">
        <v>350</v>
      </c>
      <c r="D171" s="329" t="e">
        <f>BX162+BX163</f>
        <v>#VALUE!</v>
      </c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6"/>
      <c r="AZ171" s="226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6"/>
      <c r="BM171" s="226"/>
      <c r="BN171" s="226"/>
      <c r="BO171" s="226"/>
      <c r="BP171" s="226"/>
      <c r="BQ171" s="226"/>
      <c r="BR171" s="226"/>
      <c r="BS171" s="226"/>
      <c r="BT171" s="226"/>
      <c r="BU171" s="226"/>
      <c r="BV171" s="226"/>
      <c r="BW171" s="226"/>
      <c r="BX171" s="226"/>
    </row>
    <row r="172" spans="3:76">
      <c r="C172" s="317" t="s">
        <v>351</v>
      </c>
      <c r="D172" s="326">
        <f>T163/T160</f>
        <v>0.51486504310684167</v>
      </c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6"/>
      <c r="BN172" s="226"/>
      <c r="BO172" s="226"/>
      <c r="BP172" s="226"/>
      <c r="BQ172" s="226"/>
      <c r="BR172" s="226"/>
      <c r="BS172" s="226"/>
      <c r="BT172" s="226"/>
      <c r="BU172" s="226"/>
      <c r="BV172" s="226"/>
      <c r="BW172" s="226"/>
      <c r="BX172" s="226"/>
    </row>
    <row r="173" spans="3:76"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6"/>
      <c r="BN173" s="226"/>
      <c r="BO173" s="226"/>
      <c r="BP173" s="226"/>
      <c r="BQ173" s="226"/>
      <c r="BR173" s="226"/>
      <c r="BS173" s="226"/>
      <c r="BT173" s="226"/>
      <c r="BU173" s="226"/>
      <c r="BV173" s="226"/>
      <c r="BW173" s="226"/>
      <c r="BX173" s="226"/>
    </row>
    <row r="174" spans="3:76"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26"/>
      <c r="BN174" s="226"/>
      <c r="BO174" s="226"/>
      <c r="BP174" s="226"/>
      <c r="BQ174" s="226"/>
      <c r="BR174" s="226"/>
      <c r="BS174" s="226"/>
      <c r="BT174" s="226"/>
      <c r="BU174" s="226"/>
      <c r="BV174" s="226"/>
      <c r="BW174" s="226"/>
      <c r="BX174" s="226"/>
    </row>
    <row r="175" spans="3:76"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26"/>
      <c r="BN175" s="226"/>
      <c r="BO175" s="226"/>
      <c r="BP175" s="226"/>
      <c r="BQ175" s="226"/>
      <c r="BR175" s="226"/>
      <c r="BS175" s="226"/>
      <c r="BT175" s="226"/>
      <c r="BU175" s="226"/>
      <c r="BV175" s="226"/>
      <c r="BW175" s="226"/>
      <c r="BX175" s="226"/>
    </row>
    <row r="176" spans="3:76">
      <c r="C176" s="314" t="s">
        <v>357</v>
      </c>
      <c r="D176" s="315"/>
      <c r="E176" s="316">
        <f t="shared" ref="E176:G176" si="54">-(E8+E92)</f>
        <v>0</v>
      </c>
      <c r="F176" s="316">
        <f t="shared" si="54"/>
        <v>0</v>
      </c>
      <c r="G176" s="316">
        <f t="shared" si="54"/>
        <v>0</v>
      </c>
      <c r="H176" s="315">
        <f>-5341205.5</f>
        <v>-5341205.5</v>
      </c>
      <c r="I176" s="315">
        <v>0</v>
      </c>
      <c r="J176" s="315">
        <v>0</v>
      </c>
      <c r="K176" s="315">
        <v>0</v>
      </c>
      <c r="L176" s="315">
        <v>0</v>
      </c>
      <c r="M176" s="315">
        <v>0</v>
      </c>
      <c r="N176" s="315">
        <v>0</v>
      </c>
      <c r="O176" s="315">
        <v>0</v>
      </c>
      <c r="P176" s="315">
        <v>0</v>
      </c>
      <c r="Q176" s="315">
        <v>0</v>
      </c>
      <c r="R176" s="315">
        <v>0</v>
      </c>
      <c r="S176" s="315">
        <v>0</v>
      </c>
      <c r="T176" s="315">
        <f>5341205.5</f>
        <v>5341205.5</v>
      </c>
      <c r="U176" s="316">
        <f t="shared" ref="U176:BX176" si="55">-(U8+U92)</f>
        <v>0</v>
      </c>
      <c r="V176" s="316">
        <f t="shared" si="55"/>
        <v>0</v>
      </c>
      <c r="W176" s="316">
        <f t="shared" si="55"/>
        <v>0</v>
      </c>
      <c r="X176" s="316">
        <f t="shared" si="55"/>
        <v>0</v>
      </c>
      <c r="Y176" s="316">
        <f t="shared" si="55"/>
        <v>0</v>
      </c>
      <c r="Z176" s="316">
        <f t="shared" si="55"/>
        <v>0</v>
      </c>
      <c r="AA176" s="316">
        <f t="shared" si="55"/>
        <v>0</v>
      </c>
      <c r="AB176" s="316">
        <f t="shared" si="55"/>
        <v>0</v>
      </c>
      <c r="AC176" s="316">
        <f t="shared" si="55"/>
        <v>0</v>
      </c>
      <c r="AD176" s="316">
        <f t="shared" si="55"/>
        <v>0</v>
      </c>
      <c r="AE176" s="316">
        <f t="shared" si="55"/>
        <v>0</v>
      </c>
      <c r="AF176" s="316">
        <f t="shared" si="55"/>
        <v>0</v>
      </c>
      <c r="AG176" s="316">
        <f t="shared" si="55"/>
        <v>0</v>
      </c>
      <c r="AH176" s="316">
        <f t="shared" si="55"/>
        <v>0</v>
      </c>
      <c r="AI176" s="316">
        <f t="shared" si="55"/>
        <v>0</v>
      </c>
      <c r="AJ176" s="316">
        <f t="shared" si="55"/>
        <v>0</v>
      </c>
      <c r="AK176" s="316">
        <f t="shared" si="55"/>
        <v>0</v>
      </c>
      <c r="AL176" s="316">
        <f t="shared" si="55"/>
        <v>0</v>
      </c>
      <c r="AM176" s="316">
        <f t="shared" si="55"/>
        <v>0</v>
      </c>
      <c r="AN176" s="316">
        <f t="shared" si="55"/>
        <v>0</v>
      </c>
      <c r="AO176" s="316">
        <f t="shared" si="55"/>
        <v>0</v>
      </c>
      <c r="AP176" s="316">
        <f t="shared" si="55"/>
        <v>0</v>
      </c>
      <c r="AQ176" s="316">
        <f t="shared" si="55"/>
        <v>0</v>
      </c>
      <c r="AR176" s="316">
        <f t="shared" si="55"/>
        <v>0</v>
      </c>
      <c r="AS176" s="316">
        <f t="shared" si="55"/>
        <v>0</v>
      </c>
      <c r="AT176" s="316">
        <f t="shared" si="55"/>
        <v>0</v>
      </c>
      <c r="AU176" s="316">
        <f t="shared" si="55"/>
        <v>0</v>
      </c>
      <c r="AV176" s="316">
        <f t="shared" si="55"/>
        <v>0</v>
      </c>
      <c r="AW176" s="316">
        <f t="shared" si="55"/>
        <v>0</v>
      </c>
      <c r="AX176" s="316">
        <f t="shared" si="55"/>
        <v>0</v>
      </c>
      <c r="AY176" s="316">
        <f t="shared" si="55"/>
        <v>0</v>
      </c>
      <c r="AZ176" s="316">
        <f t="shared" si="55"/>
        <v>0</v>
      </c>
      <c r="BA176" s="316">
        <f t="shared" si="55"/>
        <v>0</v>
      </c>
      <c r="BB176" s="316">
        <f t="shared" si="55"/>
        <v>0</v>
      </c>
      <c r="BC176" s="316">
        <f t="shared" si="55"/>
        <v>0</v>
      </c>
      <c r="BD176" s="316">
        <f t="shared" si="55"/>
        <v>0</v>
      </c>
      <c r="BE176" s="316">
        <f t="shared" si="55"/>
        <v>0</v>
      </c>
      <c r="BF176" s="316">
        <f t="shared" si="55"/>
        <v>0</v>
      </c>
      <c r="BG176" s="316">
        <f t="shared" si="55"/>
        <v>0</v>
      </c>
      <c r="BH176" s="316">
        <f t="shared" si="55"/>
        <v>0</v>
      </c>
      <c r="BI176" s="316">
        <f t="shared" si="55"/>
        <v>0</v>
      </c>
      <c r="BJ176" s="316">
        <f t="shared" si="55"/>
        <v>0</v>
      </c>
      <c r="BK176" s="316">
        <f t="shared" si="55"/>
        <v>0</v>
      </c>
      <c r="BL176" s="316">
        <f t="shared" si="55"/>
        <v>0</v>
      </c>
      <c r="BM176" s="316">
        <f t="shared" si="55"/>
        <v>0</v>
      </c>
      <c r="BN176" s="316">
        <f t="shared" si="55"/>
        <v>0</v>
      </c>
      <c r="BO176" s="316">
        <f t="shared" si="55"/>
        <v>0</v>
      </c>
      <c r="BP176" s="316">
        <f t="shared" si="55"/>
        <v>0</v>
      </c>
      <c r="BQ176" s="316">
        <f t="shared" si="55"/>
        <v>0</v>
      </c>
      <c r="BR176" s="316">
        <f t="shared" si="55"/>
        <v>0</v>
      </c>
      <c r="BS176" s="316">
        <f t="shared" si="55"/>
        <v>0</v>
      </c>
      <c r="BT176" s="316">
        <f t="shared" si="55"/>
        <v>0</v>
      </c>
      <c r="BU176" s="316">
        <f t="shared" si="55"/>
        <v>0</v>
      </c>
      <c r="BV176" s="316">
        <f t="shared" si="55"/>
        <v>0</v>
      </c>
      <c r="BW176" s="316">
        <f t="shared" si="55"/>
        <v>0</v>
      </c>
      <c r="BX176" s="316">
        <f t="shared" si="55"/>
        <v>0</v>
      </c>
    </row>
    <row r="177" spans="3:76">
      <c r="C177" s="314" t="s">
        <v>353</v>
      </c>
      <c r="D177" s="323"/>
      <c r="E177" s="315"/>
      <c r="F177" s="315"/>
      <c r="G177" s="315"/>
      <c r="H177" s="315"/>
      <c r="I177" s="315"/>
      <c r="J177" s="315"/>
      <c r="K177" s="315"/>
      <c r="L177" s="315"/>
      <c r="M177" s="315"/>
      <c r="N177" s="315"/>
      <c r="O177" s="315"/>
      <c r="P177" s="315"/>
      <c r="Q177" s="315"/>
      <c r="R177" s="315"/>
      <c r="S177" s="315"/>
      <c r="T177" s="315"/>
      <c r="U177" s="315"/>
      <c r="V177" s="315"/>
      <c r="W177" s="315"/>
      <c r="X177" s="315"/>
      <c r="Y177" s="315"/>
      <c r="Z177" s="315"/>
      <c r="AA177" s="315"/>
      <c r="AB177" s="315"/>
      <c r="AC177" s="315"/>
      <c r="AD177" s="315"/>
      <c r="AE177" s="315"/>
      <c r="AF177" s="315"/>
      <c r="AG177" s="315"/>
      <c r="AH177" s="315"/>
      <c r="AI177" s="315"/>
      <c r="AJ177" s="315"/>
      <c r="AK177" s="315"/>
      <c r="AL177" s="315"/>
      <c r="AM177" s="315"/>
      <c r="AN177" s="315"/>
      <c r="AO177" s="315"/>
      <c r="AP177" s="315"/>
      <c r="AQ177" s="315"/>
      <c r="AR177" s="315"/>
      <c r="AS177" s="315"/>
      <c r="AT177" s="315"/>
      <c r="AU177" s="315"/>
      <c r="AV177" s="315"/>
      <c r="AW177" s="315"/>
      <c r="AX177" s="315"/>
      <c r="AY177" s="315"/>
      <c r="AZ177" s="315"/>
      <c r="BA177" s="315"/>
      <c r="BB177" s="315"/>
      <c r="BC177" s="316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</row>
    <row r="178" spans="3:76">
      <c r="C178" s="314" t="s">
        <v>343</v>
      </c>
      <c r="D178" s="323"/>
      <c r="E178" s="315">
        <f t="shared" ref="E178:G178" si="56">-E57</f>
        <v>0</v>
      </c>
      <c r="F178" s="315">
        <f t="shared" si="56"/>
        <v>0</v>
      </c>
      <c r="G178" s="315">
        <f t="shared" si="56"/>
        <v>0</v>
      </c>
      <c r="H178" s="315">
        <f t="shared" ref="H178:T178" si="57">-H72</f>
        <v>0</v>
      </c>
      <c r="I178" s="315">
        <f t="shared" si="57"/>
        <v>0</v>
      </c>
      <c r="J178" s="315">
        <f t="shared" si="57"/>
        <v>0</v>
      </c>
      <c r="K178" s="315">
        <f t="shared" si="57"/>
        <v>0</v>
      </c>
      <c r="L178" s="315">
        <f t="shared" si="57"/>
        <v>0</v>
      </c>
      <c r="M178" s="315">
        <f t="shared" si="57"/>
        <v>0</v>
      </c>
      <c r="N178" s="315">
        <f t="shared" si="57"/>
        <v>0</v>
      </c>
      <c r="O178" s="315">
        <f t="shared" si="57"/>
        <v>0</v>
      </c>
      <c r="P178" s="315">
        <f t="shared" si="57"/>
        <v>0</v>
      </c>
      <c r="Q178" s="315">
        <f t="shared" si="57"/>
        <v>0</v>
      </c>
      <c r="R178" s="315">
        <f t="shared" si="57"/>
        <v>0</v>
      </c>
      <c r="S178" s="315">
        <f t="shared" si="57"/>
        <v>0</v>
      </c>
      <c r="T178" s="315">
        <f t="shared" si="57"/>
        <v>0</v>
      </c>
      <c r="U178" s="315">
        <f t="shared" ref="U178:BX178" si="58">-U57</f>
        <v>0</v>
      </c>
      <c r="V178" s="315">
        <f t="shared" si="58"/>
        <v>0</v>
      </c>
      <c r="W178" s="315">
        <f t="shared" si="58"/>
        <v>0</v>
      </c>
      <c r="X178" s="315">
        <f t="shared" si="58"/>
        <v>0</v>
      </c>
      <c r="Y178" s="315">
        <f t="shared" si="58"/>
        <v>0</v>
      </c>
      <c r="Z178" s="315">
        <f t="shared" si="58"/>
        <v>0</v>
      </c>
      <c r="AA178" s="315">
        <f t="shared" si="58"/>
        <v>0</v>
      </c>
      <c r="AB178" s="315">
        <f t="shared" si="58"/>
        <v>0</v>
      </c>
      <c r="AC178" s="315">
        <f t="shared" si="58"/>
        <v>0</v>
      </c>
      <c r="AD178" s="315">
        <f t="shared" si="58"/>
        <v>0</v>
      </c>
      <c r="AE178" s="315">
        <f t="shared" si="58"/>
        <v>0</v>
      </c>
      <c r="AF178" s="315">
        <f t="shared" si="58"/>
        <v>0</v>
      </c>
      <c r="AG178" s="315">
        <f t="shared" si="58"/>
        <v>0</v>
      </c>
      <c r="AH178" s="315">
        <f t="shared" si="58"/>
        <v>0</v>
      </c>
      <c r="AI178" s="315">
        <f t="shared" si="58"/>
        <v>0</v>
      </c>
      <c r="AJ178" s="315">
        <f t="shared" si="58"/>
        <v>0</v>
      </c>
      <c r="AK178" s="315">
        <f t="shared" si="58"/>
        <v>0</v>
      </c>
      <c r="AL178" s="315">
        <f t="shared" si="58"/>
        <v>0</v>
      </c>
      <c r="AM178" s="315">
        <f t="shared" si="58"/>
        <v>0</v>
      </c>
      <c r="AN178" s="315">
        <f t="shared" si="58"/>
        <v>0</v>
      </c>
      <c r="AO178" s="315">
        <f t="shared" si="58"/>
        <v>0</v>
      </c>
      <c r="AP178" s="315">
        <f t="shared" si="58"/>
        <v>0</v>
      </c>
      <c r="AQ178" s="315">
        <f t="shared" si="58"/>
        <v>0</v>
      </c>
      <c r="AR178" s="315">
        <f t="shared" si="58"/>
        <v>0</v>
      </c>
      <c r="AS178" s="315">
        <f t="shared" si="58"/>
        <v>0</v>
      </c>
      <c r="AT178" s="315">
        <f t="shared" si="58"/>
        <v>0</v>
      </c>
      <c r="AU178" s="315">
        <f t="shared" si="58"/>
        <v>0</v>
      </c>
      <c r="AV178" s="315">
        <f t="shared" si="58"/>
        <v>0</v>
      </c>
      <c r="AW178" s="315">
        <f t="shared" si="58"/>
        <v>0</v>
      </c>
      <c r="AX178" s="315">
        <f t="shared" si="58"/>
        <v>0</v>
      </c>
      <c r="AY178" s="315">
        <f t="shared" si="58"/>
        <v>0</v>
      </c>
      <c r="AZ178" s="315">
        <f t="shared" si="58"/>
        <v>0</v>
      </c>
      <c r="BA178" s="315">
        <f t="shared" si="58"/>
        <v>0</v>
      </c>
      <c r="BB178" s="315">
        <f t="shared" si="58"/>
        <v>0</v>
      </c>
      <c r="BC178" s="315">
        <f t="shared" si="58"/>
        <v>0</v>
      </c>
      <c r="BD178" s="315">
        <f t="shared" si="58"/>
        <v>0</v>
      </c>
      <c r="BE178" s="315">
        <f t="shared" si="58"/>
        <v>0</v>
      </c>
      <c r="BF178" s="315">
        <f t="shared" si="58"/>
        <v>0</v>
      </c>
      <c r="BG178" s="315">
        <f t="shared" si="58"/>
        <v>0</v>
      </c>
      <c r="BH178" s="315">
        <f t="shared" si="58"/>
        <v>0</v>
      </c>
      <c r="BI178" s="315">
        <f t="shared" si="58"/>
        <v>0</v>
      </c>
      <c r="BJ178" s="315">
        <f t="shared" si="58"/>
        <v>0</v>
      </c>
      <c r="BK178" s="315">
        <f t="shared" si="58"/>
        <v>0</v>
      </c>
      <c r="BL178" s="315">
        <f t="shared" si="58"/>
        <v>0</v>
      </c>
      <c r="BM178" s="315">
        <f t="shared" si="58"/>
        <v>0</v>
      </c>
      <c r="BN178" s="315">
        <f t="shared" si="58"/>
        <v>0</v>
      </c>
      <c r="BO178" s="315">
        <f t="shared" si="58"/>
        <v>0</v>
      </c>
      <c r="BP178" s="315">
        <f t="shared" si="58"/>
        <v>0</v>
      </c>
      <c r="BQ178" s="315">
        <f t="shared" si="58"/>
        <v>0</v>
      </c>
      <c r="BR178" s="315">
        <f t="shared" si="58"/>
        <v>0</v>
      </c>
      <c r="BS178" s="315">
        <f t="shared" si="58"/>
        <v>0</v>
      </c>
      <c r="BT178" s="315">
        <f t="shared" si="58"/>
        <v>0</v>
      </c>
      <c r="BU178" s="315">
        <f t="shared" si="58"/>
        <v>0</v>
      </c>
      <c r="BV178" s="315">
        <f t="shared" si="58"/>
        <v>0</v>
      </c>
      <c r="BW178" s="315">
        <f t="shared" si="58"/>
        <v>0</v>
      </c>
      <c r="BX178" s="315">
        <f t="shared" si="58"/>
        <v>0</v>
      </c>
    </row>
    <row r="179" spans="3:76">
      <c r="C179" s="314" t="s">
        <v>344</v>
      </c>
      <c r="D179" s="323"/>
      <c r="E179" s="315"/>
      <c r="F179" s="315"/>
      <c r="G179" s="315"/>
      <c r="H179" s="315"/>
      <c r="I179" s="315"/>
      <c r="J179" s="315"/>
      <c r="K179" s="315"/>
      <c r="L179" s="315"/>
      <c r="M179" s="315"/>
      <c r="N179" s="315"/>
      <c r="O179" s="315"/>
      <c r="P179" s="315"/>
      <c r="Q179" s="315"/>
      <c r="R179" s="315"/>
      <c r="S179" s="315"/>
      <c r="T179" s="315">
        <v>2750000</v>
      </c>
      <c r="U179" s="315"/>
      <c r="V179" s="315"/>
      <c r="W179" s="315"/>
      <c r="X179" s="315"/>
      <c r="Y179" s="315"/>
      <c r="Z179" s="315"/>
      <c r="AA179" s="315"/>
      <c r="AB179" s="315"/>
      <c r="AC179" s="315"/>
      <c r="AD179" s="315"/>
      <c r="AE179" s="315"/>
      <c r="AF179" s="315"/>
      <c r="AG179" s="315"/>
      <c r="AH179" s="315"/>
      <c r="AI179" s="315"/>
      <c r="AJ179" s="315"/>
      <c r="AK179" s="315"/>
      <c r="AL179" s="315"/>
      <c r="AM179" s="315"/>
      <c r="AN179" s="315"/>
      <c r="AO179" s="315"/>
      <c r="AP179" s="315"/>
      <c r="AQ179" s="315"/>
      <c r="AR179" s="315"/>
      <c r="AS179" s="315"/>
      <c r="AT179" s="315"/>
      <c r="AU179" s="315"/>
      <c r="AV179" s="315"/>
      <c r="AW179" s="315"/>
      <c r="AX179" s="315"/>
      <c r="AY179" s="315"/>
      <c r="AZ179" s="315"/>
      <c r="BA179" s="315"/>
      <c r="BB179" s="315"/>
      <c r="BC179" s="316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 t="e">
        <f>IF(D103&gt;0.25,(BX98-BX106)*D180,BX98*D180)</f>
        <v>#VALUE!</v>
      </c>
    </row>
    <row r="180" spans="3:76">
      <c r="C180" s="317" t="s">
        <v>345</v>
      </c>
      <c r="D180" s="323">
        <v>0</v>
      </c>
      <c r="E180" s="315"/>
      <c r="F180" s="315"/>
      <c r="G180" s="315"/>
      <c r="H180" s="246"/>
      <c r="I180" s="246"/>
      <c r="J180" s="246"/>
      <c r="K180" s="246"/>
      <c r="L180" s="246"/>
      <c r="M180" s="246"/>
      <c r="N180" s="246"/>
      <c r="O180" s="246"/>
      <c r="P180" s="246"/>
      <c r="Q180" s="246"/>
      <c r="R180" s="246"/>
      <c r="S180" s="246"/>
      <c r="T180" s="246"/>
      <c r="U180" s="315"/>
      <c r="V180" s="315"/>
      <c r="W180" s="315"/>
      <c r="X180" s="315"/>
      <c r="Y180" s="315"/>
      <c r="Z180" s="315"/>
      <c r="AA180" s="315"/>
      <c r="AB180" s="315"/>
      <c r="AC180" s="315"/>
      <c r="AD180" s="315"/>
      <c r="AE180" s="315"/>
      <c r="AF180" s="315"/>
      <c r="AG180" s="315"/>
      <c r="AH180" s="315"/>
      <c r="AI180" s="315"/>
      <c r="AJ180" s="315"/>
      <c r="AK180" s="315"/>
      <c r="AL180" s="315"/>
      <c r="AM180" s="315"/>
      <c r="AN180" s="315"/>
      <c r="AO180" s="315"/>
      <c r="AP180" s="315"/>
      <c r="AQ180" s="315"/>
      <c r="AR180" s="315"/>
      <c r="AS180" s="315"/>
      <c r="AT180" s="315"/>
      <c r="AU180" s="315"/>
      <c r="AV180" s="315"/>
      <c r="AW180" s="315"/>
      <c r="AX180" s="315"/>
      <c r="AY180" s="315"/>
      <c r="AZ180" s="315"/>
      <c r="BA180" s="315"/>
      <c r="BB180" s="315"/>
      <c r="BC180" s="316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</row>
    <row r="181" spans="3:76">
      <c r="C181" s="314" t="s">
        <v>346</v>
      </c>
      <c r="D181" s="315"/>
      <c r="E181" s="325">
        <f t="shared" ref="E181:BX181" si="59">E176+E177+E178+E179+E180</f>
        <v>0</v>
      </c>
      <c r="F181" s="325">
        <f t="shared" si="59"/>
        <v>0</v>
      </c>
      <c r="G181" s="325">
        <f t="shared" si="59"/>
        <v>0</v>
      </c>
      <c r="H181" s="325">
        <f t="shared" si="59"/>
        <v>-5341205.5</v>
      </c>
      <c r="I181" s="325">
        <f t="shared" si="59"/>
        <v>0</v>
      </c>
      <c r="J181" s="325">
        <f t="shared" si="59"/>
        <v>0</v>
      </c>
      <c r="K181" s="325">
        <f t="shared" si="59"/>
        <v>0</v>
      </c>
      <c r="L181" s="325">
        <f t="shared" si="59"/>
        <v>0</v>
      </c>
      <c r="M181" s="325">
        <f t="shared" si="59"/>
        <v>0</v>
      </c>
      <c r="N181" s="325">
        <f t="shared" si="59"/>
        <v>0</v>
      </c>
      <c r="O181" s="325">
        <f t="shared" si="59"/>
        <v>0</v>
      </c>
      <c r="P181" s="325">
        <f t="shared" si="59"/>
        <v>0</v>
      </c>
      <c r="Q181" s="325">
        <f t="shared" si="59"/>
        <v>0</v>
      </c>
      <c r="R181" s="325">
        <f t="shared" si="59"/>
        <v>0</v>
      </c>
      <c r="S181" s="325">
        <f t="shared" si="59"/>
        <v>0</v>
      </c>
      <c r="T181" s="325">
        <f t="shared" si="59"/>
        <v>8091205.5</v>
      </c>
      <c r="U181" s="325">
        <f t="shared" si="59"/>
        <v>0</v>
      </c>
      <c r="V181" s="325">
        <f t="shared" si="59"/>
        <v>0</v>
      </c>
      <c r="W181" s="325">
        <f t="shared" si="59"/>
        <v>0</v>
      </c>
      <c r="X181" s="325">
        <f t="shared" si="59"/>
        <v>0</v>
      </c>
      <c r="Y181" s="325">
        <f t="shared" si="59"/>
        <v>0</v>
      </c>
      <c r="Z181" s="325">
        <f t="shared" si="59"/>
        <v>0</v>
      </c>
      <c r="AA181" s="325">
        <f t="shared" si="59"/>
        <v>0</v>
      </c>
      <c r="AB181" s="325">
        <f t="shared" si="59"/>
        <v>0</v>
      </c>
      <c r="AC181" s="325">
        <f t="shared" si="59"/>
        <v>0</v>
      </c>
      <c r="AD181" s="325">
        <f t="shared" si="59"/>
        <v>0</v>
      </c>
      <c r="AE181" s="325">
        <f t="shared" si="59"/>
        <v>0</v>
      </c>
      <c r="AF181" s="325">
        <f t="shared" si="59"/>
        <v>0</v>
      </c>
      <c r="AG181" s="325">
        <f t="shared" si="59"/>
        <v>0</v>
      </c>
      <c r="AH181" s="325">
        <f t="shared" si="59"/>
        <v>0</v>
      </c>
      <c r="AI181" s="325">
        <f t="shared" si="59"/>
        <v>0</v>
      </c>
      <c r="AJ181" s="325">
        <f t="shared" si="59"/>
        <v>0</v>
      </c>
      <c r="AK181" s="325">
        <f t="shared" si="59"/>
        <v>0</v>
      </c>
      <c r="AL181" s="325">
        <f t="shared" si="59"/>
        <v>0</v>
      </c>
      <c r="AM181" s="325">
        <f t="shared" si="59"/>
        <v>0</v>
      </c>
      <c r="AN181" s="325">
        <f t="shared" si="59"/>
        <v>0</v>
      </c>
      <c r="AO181" s="325">
        <f t="shared" si="59"/>
        <v>0</v>
      </c>
      <c r="AP181" s="325">
        <f t="shared" si="59"/>
        <v>0</v>
      </c>
      <c r="AQ181" s="325">
        <f t="shared" si="59"/>
        <v>0</v>
      </c>
      <c r="AR181" s="325">
        <f t="shared" si="59"/>
        <v>0</v>
      </c>
      <c r="AS181" s="325">
        <f t="shared" si="59"/>
        <v>0</v>
      </c>
      <c r="AT181" s="325">
        <f t="shared" si="59"/>
        <v>0</v>
      </c>
      <c r="AU181" s="325">
        <f t="shared" si="59"/>
        <v>0</v>
      </c>
      <c r="AV181" s="325">
        <f t="shared" si="59"/>
        <v>0</v>
      </c>
      <c r="AW181" s="325">
        <f t="shared" si="59"/>
        <v>0</v>
      </c>
      <c r="AX181" s="325">
        <f t="shared" si="59"/>
        <v>0</v>
      </c>
      <c r="AY181" s="325">
        <f t="shared" si="59"/>
        <v>0</v>
      </c>
      <c r="AZ181" s="325">
        <f t="shared" si="59"/>
        <v>0</v>
      </c>
      <c r="BA181" s="325">
        <f t="shared" si="59"/>
        <v>0</v>
      </c>
      <c r="BB181" s="325">
        <f t="shared" si="59"/>
        <v>0</v>
      </c>
      <c r="BC181" s="325">
        <f t="shared" si="59"/>
        <v>0</v>
      </c>
      <c r="BD181" s="325">
        <f t="shared" si="59"/>
        <v>0</v>
      </c>
      <c r="BE181" s="325">
        <f t="shared" si="59"/>
        <v>0</v>
      </c>
      <c r="BF181" s="325">
        <f t="shared" si="59"/>
        <v>0</v>
      </c>
      <c r="BG181" s="325">
        <f t="shared" si="59"/>
        <v>0</v>
      </c>
      <c r="BH181" s="325">
        <f t="shared" si="59"/>
        <v>0</v>
      </c>
      <c r="BI181" s="325">
        <f t="shared" si="59"/>
        <v>0</v>
      </c>
      <c r="BJ181" s="325">
        <f t="shared" si="59"/>
        <v>0</v>
      </c>
      <c r="BK181" s="325">
        <f t="shared" si="59"/>
        <v>0</v>
      </c>
      <c r="BL181" s="325">
        <f t="shared" si="59"/>
        <v>0</v>
      </c>
      <c r="BM181" s="325">
        <f t="shared" si="59"/>
        <v>0</v>
      </c>
      <c r="BN181" s="325">
        <f t="shared" si="59"/>
        <v>0</v>
      </c>
      <c r="BO181" s="325">
        <f t="shared" si="59"/>
        <v>0</v>
      </c>
      <c r="BP181" s="325">
        <f t="shared" si="59"/>
        <v>0</v>
      </c>
      <c r="BQ181" s="325">
        <f t="shared" si="59"/>
        <v>0</v>
      </c>
      <c r="BR181" s="325">
        <f t="shared" si="59"/>
        <v>0</v>
      </c>
      <c r="BS181" s="325">
        <f t="shared" si="59"/>
        <v>0</v>
      </c>
      <c r="BT181" s="325">
        <f t="shared" si="59"/>
        <v>0</v>
      </c>
      <c r="BU181" s="325">
        <f t="shared" si="59"/>
        <v>0</v>
      </c>
      <c r="BV181" s="325">
        <f t="shared" si="59"/>
        <v>0</v>
      </c>
      <c r="BW181" s="325">
        <f t="shared" si="59"/>
        <v>0</v>
      </c>
      <c r="BX181" s="325" t="e">
        <f t="shared" si="59"/>
        <v>#VALUE!</v>
      </c>
    </row>
    <row r="182" spans="3:76">
      <c r="C182" s="318"/>
      <c r="D182" s="326" t="s">
        <v>354</v>
      </c>
      <c r="E182" s="330">
        <f>E181</f>
        <v>0</v>
      </c>
      <c r="F182" s="330">
        <f t="shared" ref="F182:BX182" si="60">E182+F181</f>
        <v>0</v>
      </c>
      <c r="G182" s="330">
        <f t="shared" si="60"/>
        <v>0</v>
      </c>
      <c r="H182" s="330">
        <f t="shared" si="60"/>
        <v>-5341205.5</v>
      </c>
      <c r="I182" s="330">
        <f t="shared" si="60"/>
        <v>-5341205.5</v>
      </c>
      <c r="J182" s="330">
        <f t="shared" si="60"/>
        <v>-5341205.5</v>
      </c>
      <c r="K182" s="330">
        <f t="shared" si="60"/>
        <v>-5341205.5</v>
      </c>
      <c r="L182" s="330">
        <f t="shared" si="60"/>
        <v>-5341205.5</v>
      </c>
      <c r="M182" s="330">
        <f t="shared" si="60"/>
        <v>-5341205.5</v>
      </c>
      <c r="N182" s="330">
        <f t="shared" si="60"/>
        <v>-5341205.5</v>
      </c>
      <c r="O182" s="330">
        <f t="shared" si="60"/>
        <v>-5341205.5</v>
      </c>
      <c r="P182" s="330">
        <f t="shared" si="60"/>
        <v>-5341205.5</v>
      </c>
      <c r="Q182" s="330">
        <f t="shared" si="60"/>
        <v>-5341205.5</v>
      </c>
      <c r="R182" s="330">
        <f t="shared" si="60"/>
        <v>-5341205.5</v>
      </c>
      <c r="S182" s="330">
        <f t="shared" si="60"/>
        <v>-5341205.5</v>
      </c>
      <c r="T182" s="330">
        <f t="shared" si="60"/>
        <v>2750000</v>
      </c>
      <c r="U182" s="330">
        <f t="shared" si="60"/>
        <v>2750000</v>
      </c>
      <c r="V182" s="331">
        <f t="shared" si="60"/>
        <v>2750000</v>
      </c>
      <c r="W182" s="331">
        <f t="shared" si="60"/>
        <v>2750000</v>
      </c>
      <c r="X182" s="331">
        <f t="shared" si="60"/>
        <v>2750000</v>
      </c>
      <c r="Y182" s="331">
        <f t="shared" si="60"/>
        <v>2750000</v>
      </c>
      <c r="Z182" s="331">
        <f t="shared" si="60"/>
        <v>2750000</v>
      </c>
      <c r="AA182" s="331">
        <f t="shared" si="60"/>
        <v>2750000</v>
      </c>
      <c r="AB182" s="331">
        <f t="shared" si="60"/>
        <v>2750000</v>
      </c>
      <c r="AC182" s="331">
        <f t="shared" si="60"/>
        <v>2750000</v>
      </c>
      <c r="AD182" s="331">
        <f t="shared" si="60"/>
        <v>2750000</v>
      </c>
      <c r="AE182" s="331">
        <f t="shared" si="60"/>
        <v>2750000</v>
      </c>
      <c r="AF182" s="331">
        <f t="shared" si="60"/>
        <v>2750000</v>
      </c>
      <c r="AG182" s="331">
        <f t="shared" si="60"/>
        <v>2750000</v>
      </c>
      <c r="AH182" s="331">
        <f t="shared" si="60"/>
        <v>2750000</v>
      </c>
      <c r="AI182" s="331">
        <f t="shared" si="60"/>
        <v>2750000</v>
      </c>
      <c r="AJ182" s="331">
        <f t="shared" si="60"/>
        <v>2750000</v>
      </c>
      <c r="AK182" s="331">
        <f t="shared" si="60"/>
        <v>2750000</v>
      </c>
      <c r="AL182" s="331">
        <f t="shared" si="60"/>
        <v>2750000</v>
      </c>
      <c r="AM182" s="331">
        <f t="shared" si="60"/>
        <v>2750000</v>
      </c>
      <c r="AN182" s="331">
        <f t="shared" si="60"/>
        <v>2750000</v>
      </c>
      <c r="AO182" s="331">
        <f t="shared" si="60"/>
        <v>2750000</v>
      </c>
      <c r="AP182" s="331">
        <f t="shared" si="60"/>
        <v>2750000</v>
      </c>
      <c r="AQ182" s="331">
        <f t="shared" si="60"/>
        <v>2750000</v>
      </c>
      <c r="AR182" s="331">
        <f t="shared" si="60"/>
        <v>2750000</v>
      </c>
      <c r="AS182" s="331">
        <f t="shared" si="60"/>
        <v>2750000</v>
      </c>
      <c r="AT182" s="331">
        <f t="shared" si="60"/>
        <v>2750000</v>
      </c>
      <c r="AU182" s="331">
        <f t="shared" si="60"/>
        <v>2750000</v>
      </c>
      <c r="AV182" s="331">
        <f t="shared" si="60"/>
        <v>2750000</v>
      </c>
      <c r="AW182" s="331">
        <f t="shared" si="60"/>
        <v>2750000</v>
      </c>
      <c r="AX182" s="331">
        <f t="shared" si="60"/>
        <v>2750000</v>
      </c>
      <c r="AY182" s="331">
        <f t="shared" si="60"/>
        <v>2750000</v>
      </c>
      <c r="AZ182" s="331">
        <f t="shared" si="60"/>
        <v>2750000</v>
      </c>
      <c r="BA182" s="331">
        <f t="shared" si="60"/>
        <v>2750000</v>
      </c>
      <c r="BB182" s="331">
        <f t="shared" si="60"/>
        <v>2750000</v>
      </c>
      <c r="BC182" s="330">
        <f t="shared" si="60"/>
        <v>2750000</v>
      </c>
      <c r="BD182" s="330">
        <f t="shared" si="60"/>
        <v>2750000</v>
      </c>
      <c r="BE182" s="330">
        <f t="shared" si="60"/>
        <v>2750000</v>
      </c>
      <c r="BF182" s="330">
        <f t="shared" si="60"/>
        <v>2750000</v>
      </c>
      <c r="BG182" s="330">
        <f t="shared" si="60"/>
        <v>2750000</v>
      </c>
      <c r="BH182" s="330">
        <f t="shared" si="60"/>
        <v>2750000</v>
      </c>
      <c r="BI182" s="330">
        <f t="shared" si="60"/>
        <v>2750000</v>
      </c>
      <c r="BJ182" s="330">
        <f t="shared" si="60"/>
        <v>2750000</v>
      </c>
      <c r="BK182" s="330">
        <f t="shared" si="60"/>
        <v>2750000</v>
      </c>
      <c r="BL182" s="330">
        <f t="shared" si="60"/>
        <v>2750000</v>
      </c>
      <c r="BM182" s="330">
        <f t="shared" si="60"/>
        <v>2750000</v>
      </c>
      <c r="BN182" s="330">
        <f t="shared" si="60"/>
        <v>2750000</v>
      </c>
      <c r="BO182" s="330">
        <f t="shared" si="60"/>
        <v>2750000</v>
      </c>
      <c r="BP182" s="330">
        <f t="shared" si="60"/>
        <v>2750000</v>
      </c>
      <c r="BQ182" s="330">
        <f t="shared" si="60"/>
        <v>2750000</v>
      </c>
      <c r="BR182" s="330">
        <f t="shared" si="60"/>
        <v>2750000</v>
      </c>
      <c r="BS182" s="330">
        <f t="shared" si="60"/>
        <v>2750000</v>
      </c>
      <c r="BT182" s="330">
        <f t="shared" si="60"/>
        <v>2750000</v>
      </c>
      <c r="BU182" s="330">
        <f t="shared" si="60"/>
        <v>2750000</v>
      </c>
      <c r="BV182" s="330">
        <f t="shared" si="60"/>
        <v>2750000</v>
      </c>
      <c r="BW182" s="330">
        <f t="shared" si="60"/>
        <v>2750000</v>
      </c>
      <c r="BX182" s="330" t="e">
        <f t="shared" si="60"/>
        <v>#VALUE!</v>
      </c>
    </row>
    <row r="183" spans="3:76">
      <c r="C183" s="317" t="s">
        <v>339</v>
      </c>
      <c r="D183" s="326" t="e">
        <f>IRR(E181:BX181)*12</f>
        <v>#VALUE!</v>
      </c>
      <c r="E183" s="226"/>
      <c r="F183" s="226"/>
      <c r="G183" s="226"/>
      <c r="H183" s="226"/>
      <c r="I183" s="226"/>
      <c r="J183" s="226"/>
      <c r="K183" s="226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6"/>
      <c r="AA183" s="226"/>
      <c r="AB183" s="226"/>
      <c r="AC183" s="226"/>
      <c r="AD183" s="226"/>
      <c r="AE183" s="226"/>
      <c r="AF183" s="226"/>
      <c r="AG183" s="226"/>
      <c r="AH183" s="226"/>
      <c r="AI183" s="226"/>
      <c r="AJ183" s="226"/>
      <c r="AK183" s="226"/>
      <c r="AL183" s="226"/>
      <c r="AM183" s="226"/>
      <c r="AN183" s="226"/>
      <c r="AO183" s="226"/>
      <c r="AP183" s="226"/>
      <c r="AQ183" s="226"/>
      <c r="AR183" s="226"/>
      <c r="AS183" s="226"/>
      <c r="AT183" s="226"/>
      <c r="AU183" s="226"/>
      <c r="AV183" s="226"/>
      <c r="AW183" s="226"/>
      <c r="AX183" s="226"/>
      <c r="AY183" s="226"/>
      <c r="AZ183" s="226"/>
      <c r="BA183" s="226"/>
      <c r="BB183" s="226"/>
      <c r="BC183" s="226"/>
      <c r="BD183" s="226"/>
      <c r="BE183" s="226"/>
      <c r="BF183" s="226"/>
      <c r="BG183" s="226"/>
      <c r="BH183" s="226"/>
      <c r="BI183" s="226"/>
      <c r="BJ183" s="226"/>
      <c r="BK183" s="226"/>
      <c r="BL183" s="226"/>
      <c r="BM183" s="226"/>
      <c r="BN183" s="226"/>
      <c r="BO183" s="226"/>
      <c r="BP183" s="226"/>
      <c r="BQ183" s="226"/>
      <c r="BR183" s="226"/>
      <c r="BS183" s="226"/>
      <c r="BT183" s="226"/>
      <c r="BU183" s="226"/>
      <c r="BV183" s="226"/>
      <c r="BW183" s="226"/>
      <c r="BX183" s="226"/>
    </row>
    <row r="184" spans="3:76">
      <c r="C184" s="327" t="s">
        <v>347</v>
      </c>
      <c r="D184" s="328">
        <f>-MIN(M182:BL182)-D185</f>
        <v>5341205.5</v>
      </c>
      <c r="E184" s="226"/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6"/>
      <c r="AA184" s="226"/>
      <c r="AB184" s="226"/>
      <c r="AC184" s="226"/>
      <c r="AD184" s="226"/>
      <c r="AE184" s="226"/>
      <c r="AF184" s="226"/>
      <c r="AG184" s="226"/>
      <c r="AH184" s="226"/>
      <c r="AI184" s="226"/>
      <c r="AJ184" s="226"/>
      <c r="AK184" s="226"/>
      <c r="AL184" s="226"/>
      <c r="AM184" s="226"/>
      <c r="AN184" s="226"/>
      <c r="AO184" s="226"/>
      <c r="AP184" s="226"/>
      <c r="AQ184" s="226"/>
      <c r="AR184" s="226"/>
      <c r="AS184" s="226"/>
      <c r="AT184" s="226"/>
      <c r="AU184" s="226"/>
      <c r="AV184" s="226"/>
      <c r="AW184" s="226"/>
      <c r="AX184" s="226"/>
      <c r="AY184" s="226"/>
      <c r="AZ184" s="226"/>
      <c r="BA184" s="226"/>
      <c r="BB184" s="226"/>
      <c r="BC184" s="226"/>
      <c r="BD184" s="226"/>
      <c r="BE184" s="226"/>
      <c r="BF184" s="226"/>
      <c r="BG184" s="226"/>
      <c r="BH184" s="226"/>
      <c r="BI184" s="226"/>
      <c r="BJ184" s="226"/>
      <c r="BK184" s="226"/>
      <c r="BL184" s="226"/>
      <c r="BM184" s="226"/>
      <c r="BN184" s="226"/>
      <c r="BO184" s="226"/>
      <c r="BP184" s="226"/>
      <c r="BQ184" s="226"/>
      <c r="BR184" s="226"/>
      <c r="BS184" s="226"/>
      <c r="BT184" s="226"/>
      <c r="BU184" s="226"/>
      <c r="BV184" s="226"/>
      <c r="BW184" s="226"/>
      <c r="BX184" s="226"/>
    </row>
    <row r="185" spans="3:76">
      <c r="C185" s="327" t="s">
        <v>348</v>
      </c>
      <c r="D185" s="328">
        <f>-SUM(M180:BB180)</f>
        <v>0</v>
      </c>
      <c r="E185" s="226"/>
      <c r="F185" s="226"/>
      <c r="G185" s="226"/>
      <c r="H185" s="226"/>
      <c r="I185" s="226"/>
      <c r="J185" s="226"/>
      <c r="K185" s="226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6"/>
      <c r="AA185" s="226"/>
      <c r="AB185" s="226"/>
      <c r="AC185" s="226"/>
      <c r="AD185" s="226"/>
      <c r="AE185" s="226"/>
      <c r="AF185" s="226"/>
      <c r="AG185" s="226"/>
      <c r="AH185" s="226"/>
      <c r="AI185" s="226"/>
      <c r="AJ185" s="226"/>
      <c r="AK185" s="226"/>
      <c r="AL185" s="226"/>
      <c r="AM185" s="226"/>
      <c r="AN185" s="226"/>
      <c r="AO185" s="226"/>
      <c r="AP185" s="226"/>
      <c r="AQ185" s="226"/>
      <c r="AR185" s="226"/>
      <c r="AS185" s="226"/>
      <c r="AT185" s="226"/>
      <c r="AU185" s="226"/>
      <c r="AV185" s="226"/>
      <c r="AW185" s="226"/>
      <c r="AX185" s="226"/>
      <c r="AY185" s="226"/>
      <c r="AZ185" s="226"/>
      <c r="BA185" s="226"/>
      <c r="BB185" s="226"/>
      <c r="BC185" s="226"/>
      <c r="BD185" s="226"/>
      <c r="BE185" s="226"/>
      <c r="BF185" s="226"/>
      <c r="BG185" s="226"/>
      <c r="BH185" s="226"/>
      <c r="BI185" s="226"/>
      <c r="BJ185" s="226"/>
      <c r="BK185" s="226"/>
      <c r="BL185" s="226"/>
      <c r="BM185" s="226"/>
      <c r="BN185" s="226"/>
      <c r="BO185" s="226"/>
      <c r="BP185" s="226"/>
      <c r="BQ185" s="226"/>
      <c r="BR185" s="226"/>
      <c r="BS185" s="226"/>
      <c r="BT185" s="226"/>
      <c r="BU185" s="226"/>
      <c r="BV185" s="226"/>
      <c r="BW185" s="226"/>
      <c r="BX185" s="226"/>
    </row>
    <row r="186" spans="3:76">
      <c r="C186" s="317" t="s">
        <v>349</v>
      </c>
      <c r="D186" s="329">
        <f>D185+D184</f>
        <v>5341205.5</v>
      </c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  <c r="AE186" s="226"/>
      <c r="AF186" s="226"/>
      <c r="AG186" s="226"/>
      <c r="AH186" s="226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AY186" s="226"/>
      <c r="AZ186" s="226"/>
      <c r="BA186" s="226"/>
      <c r="BB186" s="226"/>
      <c r="BC186" s="226"/>
      <c r="BD186" s="226"/>
      <c r="BE186" s="226"/>
      <c r="BF186" s="226"/>
      <c r="BG186" s="226"/>
      <c r="BH186" s="226"/>
      <c r="BI186" s="226"/>
      <c r="BJ186" s="226"/>
      <c r="BK186" s="226"/>
      <c r="BL186" s="226"/>
      <c r="BM186" s="226"/>
      <c r="BN186" s="226"/>
      <c r="BO186" s="226"/>
      <c r="BP186" s="226"/>
      <c r="BQ186" s="226"/>
      <c r="BR186" s="226"/>
      <c r="BS186" s="226"/>
      <c r="BT186" s="226"/>
      <c r="BU186" s="226"/>
      <c r="BV186" s="226"/>
      <c r="BW186" s="226"/>
      <c r="BX186" s="226"/>
    </row>
    <row r="187" spans="3:76">
      <c r="C187" s="317" t="s">
        <v>350</v>
      </c>
      <c r="D187" s="329" t="e">
        <f>BX178+BX179</f>
        <v>#VALUE!</v>
      </c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  <c r="AD187" s="226"/>
      <c r="AE187" s="226"/>
      <c r="AF187" s="226"/>
      <c r="AG187" s="226"/>
      <c r="AH187" s="226"/>
      <c r="AI187" s="226"/>
      <c r="AJ187" s="226"/>
      <c r="AK187" s="226"/>
      <c r="AL187" s="226"/>
      <c r="AM187" s="226"/>
      <c r="AN187" s="226"/>
      <c r="AO187" s="226"/>
      <c r="AP187" s="226"/>
      <c r="AQ187" s="226"/>
      <c r="AR187" s="226"/>
      <c r="AS187" s="226"/>
      <c r="AT187" s="226"/>
      <c r="AU187" s="226"/>
      <c r="AV187" s="226"/>
      <c r="AW187" s="226"/>
      <c r="AX187" s="226"/>
      <c r="AY187" s="226"/>
      <c r="AZ187" s="226"/>
      <c r="BA187" s="226"/>
      <c r="BB187" s="226"/>
      <c r="BC187" s="226"/>
      <c r="BD187" s="226"/>
      <c r="BE187" s="226"/>
      <c r="BF187" s="226"/>
      <c r="BG187" s="226"/>
      <c r="BH187" s="226"/>
      <c r="BI187" s="226"/>
      <c r="BJ187" s="226"/>
      <c r="BK187" s="226"/>
      <c r="BL187" s="226"/>
      <c r="BM187" s="226"/>
      <c r="BN187" s="226"/>
      <c r="BO187" s="226"/>
      <c r="BP187" s="226"/>
      <c r="BQ187" s="226"/>
      <c r="BR187" s="226"/>
      <c r="BS187" s="226"/>
      <c r="BT187" s="226"/>
      <c r="BU187" s="226"/>
      <c r="BV187" s="226"/>
      <c r="BW187" s="226"/>
      <c r="BX187" s="226"/>
    </row>
    <row r="188" spans="3:76">
      <c r="C188" s="317" t="s">
        <v>351</v>
      </c>
      <c r="D188" s="326">
        <f>T179/T176</f>
        <v>0.51486504310684167</v>
      </c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  <c r="AD188" s="226"/>
      <c r="AE188" s="226"/>
      <c r="AF188" s="226"/>
      <c r="AG188" s="226"/>
      <c r="AH188" s="226"/>
      <c r="AI188" s="226"/>
      <c r="AJ188" s="226"/>
      <c r="AK188" s="226"/>
      <c r="AL188" s="226"/>
      <c r="AM188" s="226"/>
      <c r="AN188" s="226"/>
      <c r="AO188" s="226"/>
      <c r="AP188" s="226"/>
      <c r="AQ188" s="226"/>
      <c r="AR188" s="226"/>
      <c r="AS188" s="226"/>
      <c r="AT188" s="226"/>
      <c r="AU188" s="226"/>
      <c r="AV188" s="226"/>
      <c r="AW188" s="226"/>
      <c r="AX188" s="226"/>
      <c r="AY188" s="226"/>
      <c r="AZ188" s="226"/>
      <c r="BA188" s="226"/>
      <c r="BB188" s="226"/>
      <c r="BC188" s="226"/>
      <c r="BD188" s="226"/>
      <c r="BE188" s="226"/>
      <c r="BF188" s="226"/>
      <c r="BG188" s="226"/>
      <c r="BH188" s="226"/>
      <c r="BI188" s="226"/>
      <c r="BJ188" s="226"/>
      <c r="BK188" s="226"/>
      <c r="BL188" s="226"/>
      <c r="BM188" s="226"/>
      <c r="BN188" s="226"/>
      <c r="BO188" s="226"/>
      <c r="BP188" s="226"/>
      <c r="BQ188" s="226"/>
      <c r="BR188" s="226"/>
      <c r="BS188" s="226"/>
      <c r="BT188" s="226"/>
      <c r="BU188" s="226"/>
      <c r="BV188" s="226"/>
      <c r="BW188" s="226"/>
      <c r="BX188" s="226"/>
    </row>
  </sheetData>
  <mergeCells count="34">
    <mergeCell ref="S121:T121"/>
    <mergeCell ref="B2:C4"/>
    <mergeCell ref="B5:B8"/>
    <mergeCell ref="B9:B11"/>
    <mergeCell ref="B12:B15"/>
    <mergeCell ref="B16:C16"/>
    <mergeCell ref="B17:B95"/>
    <mergeCell ref="B96:C96"/>
    <mergeCell ref="B97:C97"/>
    <mergeCell ref="B98:C98"/>
    <mergeCell ref="D103:E103"/>
    <mergeCell ref="D106:BW106"/>
    <mergeCell ref="S120:T120"/>
    <mergeCell ref="BM2:BX2"/>
    <mergeCell ref="E2:P2"/>
    <mergeCell ref="Q2:AB2"/>
    <mergeCell ref="BY88:BZ88"/>
    <mergeCell ref="BZ89:BZ95"/>
    <mergeCell ref="BY96:BZ96"/>
    <mergeCell ref="BY97:BZ97"/>
    <mergeCell ref="BZ5:BZ8"/>
    <mergeCell ref="BZ9:BZ11"/>
    <mergeCell ref="BY16:BZ16"/>
    <mergeCell ref="BZ17:BZ87"/>
    <mergeCell ref="CC17:CC87"/>
    <mergeCell ref="CC5:CC8"/>
    <mergeCell ref="CC9:CC11"/>
    <mergeCell ref="CC12:CC15"/>
    <mergeCell ref="CB16:CC16"/>
    <mergeCell ref="AC2:AN2"/>
    <mergeCell ref="AO2:AZ2"/>
    <mergeCell ref="BA2:BL2"/>
    <mergeCell ref="BY2:BZ4"/>
    <mergeCell ref="BZ12:BZ15"/>
  </mergeCells>
  <conditionalFormatting sqref="E17:BX17 E23:BX23 E26:BX26 E34:BX34 E37:BX37 E47:BX47 E53:BX53 E61:BX61 E85:BX85 E88:BX88">
    <cfRule type="cellIs" dxfId="19" priority="1" operator="equal">
      <formula>0</formula>
    </cfRule>
  </conditionalFormatting>
  <conditionalFormatting sqref="F111:BS114 E112 BT112:BX112 E114 BT114:BX114 E128 F128:BX131 E130 E146:BX146 E160 M160:BX160 F160:L163 E162 M162:BX162 M176:T176 H176:L179 E178:G178 M178:BX178">
    <cfRule type="cellIs" dxfId="18" priority="2" operator="equal">
      <formula>0</formula>
    </cfRule>
  </conditionalFormatting>
  <dataValidations count="1">
    <dataValidation type="list" allowBlank="1" showErrorMessage="1" sqref="CB4" xr:uid="{00000000-0002-0000-0D00-000000000000}">
      <formula1>$D$3:$BX$3</formula1>
    </dataValidation>
  </dataValidations>
  <pageMargins left="0" right="0" top="0" bottom="0" header="0" footer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CI191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ColWidth="12.6640625" defaultRowHeight="15" customHeight="1" outlineLevelRow="2" outlineLevelCol="2"/>
  <cols>
    <col min="1" max="1" width="2.33203125" customWidth="1"/>
    <col min="3" max="3" width="40.1640625" customWidth="1"/>
    <col min="4" max="4" width="12.6640625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1" width="9.1640625" customWidth="1" outlineLevel="2"/>
    <col min="22" max="28" width="12.6640625" customWidth="1" outlineLevel="2"/>
    <col min="29" max="29" width="9.83203125" customWidth="1" outlineLevel="1" collapsed="1"/>
    <col min="30" max="40" width="6.5" hidden="1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1:86">
      <c r="A1" s="226"/>
      <c r="B1" s="455" t="s">
        <v>246</v>
      </c>
      <c r="C1" s="456">
        <v>45595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6"/>
      <c r="CB1" s="226"/>
      <c r="CC1" s="226"/>
      <c r="CD1" s="226"/>
      <c r="CE1" s="226"/>
      <c r="CF1" s="226"/>
      <c r="CG1" s="226"/>
      <c r="CH1" s="226"/>
    </row>
    <row r="2" spans="1:86">
      <c r="A2" s="603"/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  <c r="CA2" s="226"/>
      <c r="CB2" s="226"/>
      <c r="CC2" s="226"/>
      <c r="CD2" s="226"/>
      <c r="CE2" s="226"/>
      <c r="CF2" s="226"/>
      <c r="CG2" s="226"/>
      <c r="CH2" s="226"/>
    </row>
    <row r="3" spans="1:86">
      <c r="A3" s="603"/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  <c r="CA3" s="226"/>
      <c r="CB3" s="226" t="s">
        <v>249</v>
      </c>
      <c r="CC3" s="226" t="s">
        <v>250</v>
      </c>
      <c r="CD3" s="226"/>
      <c r="CE3" s="226"/>
      <c r="CF3" s="226"/>
      <c r="CG3" s="226"/>
      <c r="CH3" s="226"/>
    </row>
    <row r="4" spans="1:86">
      <c r="A4" s="603"/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457">
        <v>45597</v>
      </c>
      <c r="P4" s="231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  <c r="CA4" s="226"/>
      <c r="CB4" s="226" t="s">
        <v>116</v>
      </c>
      <c r="CC4" s="226"/>
      <c r="CD4" s="226"/>
      <c r="CE4" s="226"/>
      <c r="CF4" s="226"/>
      <c r="CG4" s="226"/>
      <c r="CH4" s="226"/>
    </row>
    <row r="5" spans="1:86">
      <c r="A5" s="603"/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5" si="0">SUM(E5:BX5)</f>
        <v>16365002</v>
      </c>
      <c r="BZ5" s="775">
        <f>SUM(BY5:BY8)</f>
        <v>24250002</v>
      </c>
      <c r="CA5" s="226"/>
      <c r="CB5" s="237">
        <f t="shared" ref="CB5:CB15" si="1">SUM(H5:CA5)</f>
        <v>56980006</v>
      </c>
      <c r="CC5" s="775">
        <f>SUM(CB5:CB8)</f>
        <v>134070673</v>
      </c>
      <c r="CD5" s="226"/>
      <c r="CE5" s="226"/>
      <c r="CF5" s="226"/>
      <c r="CG5" s="226"/>
      <c r="CH5" s="226"/>
    </row>
    <row r="6" spans="1:86">
      <c r="A6" s="603"/>
      <c r="B6" s="787"/>
      <c r="C6" s="232" t="s">
        <v>254</v>
      </c>
      <c r="D6" s="233" t="s">
        <v>253</v>
      </c>
      <c r="E6" s="235"/>
      <c r="F6" s="235"/>
      <c r="G6" s="235"/>
      <c r="H6" s="235"/>
      <c r="I6" s="235"/>
      <c r="J6" s="235"/>
      <c r="K6" s="235">
        <v>885000</v>
      </c>
      <c r="L6" s="235">
        <f>1640000+300000</f>
        <v>1940000</v>
      </c>
      <c r="M6" s="235">
        <f>4260000</f>
        <v>4260000</v>
      </c>
      <c r="N6" s="235"/>
      <c r="O6" s="235"/>
      <c r="P6" s="235">
        <f>800000</f>
        <v>800000</v>
      </c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7885000</v>
      </c>
      <c r="BZ6" s="771"/>
      <c r="CA6" s="226">
        <f>9870667</f>
        <v>9870667</v>
      </c>
      <c r="CB6" s="237">
        <f t="shared" si="1"/>
        <v>25640667</v>
      </c>
      <c r="CC6" s="771"/>
      <c r="CD6" s="226"/>
      <c r="CE6" s="226"/>
      <c r="CF6" s="226"/>
      <c r="CG6" s="226"/>
      <c r="CH6" s="226"/>
    </row>
    <row r="7" spans="1:86">
      <c r="A7" s="603"/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0</v>
      </c>
      <c r="BZ7" s="771"/>
      <c r="CA7" s="226">
        <f>2100000*24.5</f>
        <v>51450000</v>
      </c>
      <c r="CB7" s="237">
        <f t="shared" si="1"/>
        <v>51450000</v>
      </c>
      <c r="CC7" s="771"/>
      <c r="CD7" s="226"/>
      <c r="CE7" s="226"/>
      <c r="CF7" s="226"/>
      <c r="CG7" s="226"/>
      <c r="CH7" s="226"/>
    </row>
    <row r="8" spans="1:86">
      <c r="A8" s="603"/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  <c r="CA8" s="226"/>
      <c r="CB8" s="241">
        <f t="shared" si="1"/>
        <v>0</v>
      </c>
      <c r="CC8" s="774"/>
      <c r="CD8" s="226"/>
      <c r="CE8" s="226"/>
      <c r="CF8" s="226"/>
      <c r="CG8" s="226"/>
      <c r="CH8" s="226"/>
    </row>
    <row r="9" spans="1:86">
      <c r="A9" s="603"/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0</v>
      </c>
      <c r="BZ9" s="775">
        <f>SUM(BY9:BY11)</f>
        <v>70252749</v>
      </c>
      <c r="CA9" s="226"/>
      <c r="CB9" s="237">
        <f t="shared" si="1"/>
        <v>70252749</v>
      </c>
      <c r="CC9" s="775">
        <f>SUM(CB9:CB11)</f>
        <v>210758247</v>
      </c>
      <c r="CD9" s="226"/>
      <c r="CE9" s="226"/>
      <c r="CF9" s="226"/>
      <c r="CG9" s="226"/>
      <c r="CH9" s="226"/>
    </row>
    <row r="10" spans="1:86">
      <c r="A10" s="603"/>
      <c r="B10" s="787"/>
      <c r="C10" s="236" t="s">
        <v>259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>
        <f t="shared" ref="T10:Z10" si="2">24400000/7</f>
        <v>3485714.2857142859</v>
      </c>
      <c r="U10" s="235">
        <f t="shared" si="2"/>
        <v>3485714.2857142859</v>
      </c>
      <c r="V10" s="235">
        <f t="shared" si="2"/>
        <v>3485714.2857142859</v>
      </c>
      <c r="W10" s="235">
        <f t="shared" si="2"/>
        <v>3485714.2857142859</v>
      </c>
      <c r="X10" s="235">
        <f t="shared" si="2"/>
        <v>3485714.2857142859</v>
      </c>
      <c r="Y10" s="235">
        <f t="shared" si="2"/>
        <v>3485714.2857142859</v>
      </c>
      <c r="Z10" s="235">
        <f t="shared" si="2"/>
        <v>3485714.2857142859</v>
      </c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24400000.000000004</v>
      </c>
      <c r="BZ10" s="771"/>
      <c r="CA10" s="226"/>
      <c r="CB10" s="237">
        <f t="shared" si="1"/>
        <v>48800000.000000007</v>
      </c>
      <c r="CC10" s="771"/>
      <c r="CD10" s="226"/>
      <c r="CE10" s="226">
        <f>BY5+BY11</f>
        <v>62217751</v>
      </c>
      <c r="CF10" s="226"/>
      <c r="CG10" s="226"/>
      <c r="CH10" s="226"/>
    </row>
    <row r="11" spans="1:86">
      <c r="A11" s="603"/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/>
      <c r="L11" s="240"/>
      <c r="M11" s="240">
        <f>6449487.53+48944.52</f>
        <v>6498432.0499999998</v>
      </c>
      <c r="N11" s="240">
        <f>19937831.95</f>
        <v>19937831.949999999</v>
      </c>
      <c r="O11" s="240">
        <f>9600000+271833</f>
        <v>9871833</v>
      </c>
      <c r="P11" s="240">
        <f>1400000+280000+3170000+50000+4644652</f>
        <v>9544652</v>
      </c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45852749</v>
      </c>
      <c r="BZ11" s="776"/>
      <c r="CA11" s="245"/>
      <c r="CB11" s="241">
        <f t="shared" si="1"/>
        <v>91705498</v>
      </c>
      <c r="CC11" s="776"/>
      <c r="CD11" s="245"/>
      <c r="CE11" s="245">
        <f>BY11/CE10</f>
        <v>0.73697213838539422</v>
      </c>
      <c r="CF11" s="245">
        <f>BY11/2100000</f>
        <v>21.834642380952381</v>
      </c>
      <c r="CG11" s="245"/>
      <c r="CH11" s="245" t="e">
        <f>su</f>
        <v>#NAME?</v>
      </c>
    </row>
    <row r="12" spans="1:86">
      <c r="A12" s="603"/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>
        <f>SUM(Rentroll!$P$2:$P$10)</f>
        <v>1045797.2378791663</v>
      </c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1045797.2378791663</v>
      </c>
      <c r="BZ12" s="775">
        <f>SUM(BY12:BY15)</f>
        <v>146064177.52768773</v>
      </c>
      <c r="CA12" s="226"/>
      <c r="CB12" s="237">
        <f t="shared" si="1"/>
        <v>148155772.00344607</v>
      </c>
      <c r="CC12" s="775">
        <f>SUM(CB12:CB15)</f>
        <v>438192532.58306319</v>
      </c>
      <c r="CD12" s="226"/>
      <c r="CE12" s="242">
        <f>BY5/CE10</f>
        <v>0.26302786161460578</v>
      </c>
      <c r="CF12" s="226"/>
      <c r="CG12" s="226"/>
      <c r="CH12" s="226"/>
    </row>
    <row r="13" spans="1:86">
      <c r="A13" s="603"/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>
        <f>Businessplan_prodej!J25</f>
        <v>134227900.78571424</v>
      </c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  <c r="CA13" s="226"/>
      <c r="CB13" s="237">
        <f t="shared" si="1"/>
        <v>268455801.57142848</v>
      </c>
      <c r="CC13" s="771"/>
      <c r="CD13" s="226"/>
      <c r="CE13" s="226"/>
      <c r="CF13" s="226"/>
      <c r="CG13" s="226"/>
      <c r="CH13" s="226"/>
    </row>
    <row r="14" spans="1:86">
      <c r="A14" s="603"/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>
        <v>6227</v>
      </c>
      <c r="J14" s="235">
        <v>14588</v>
      </c>
      <c r="K14" s="235">
        <f>457468</f>
        <v>457468</v>
      </c>
      <c r="L14" s="235">
        <v>57517</v>
      </c>
      <c r="M14" s="235">
        <f>60362</f>
        <v>60362</v>
      </c>
      <c r="N14" s="235">
        <v>56101</v>
      </c>
      <c r="O14" s="235">
        <f t="shared" ref="O14:Q14" si="3">-(SUM(M23,M37)-SUM(M23,M37)/1.21)</f>
        <v>115754.88446280989</v>
      </c>
      <c r="P14" s="235">
        <f t="shared" si="3"/>
        <v>4397.6776859504134</v>
      </c>
      <c r="Q14" s="235">
        <f t="shared" si="3"/>
        <v>147063.07867768593</v>
      </c>
      <c r="R14" s="235">
        <f>IF(P12&gt;0,-(SUM(Rentroll!$K$2:$K$4)+Rentroll!$N$2),0)-(SUM(P23,P37)-SUM(P23,P37)/1.21)</f>
        <v>177420.56569421489</v>
      </c>
      <c r="S14" s="235">
        <f>IF(Q12&gt;0,-(SUM(Rentroll!$K$2:$K$4)+Rentroll!$N$2),0)-(SUM(Q23,Q37)-SUM(Q23,Q37)/1.21)</f>
        <v>103726.6545433884</v>
      </c>
      <c r="T14" s="235">
        <f>IF(R12&gt;0,-(SUM(Rentroll!$K$2:$K$4)+Rentroll!$N$2),0)-(SUM(R23,R37)-SUM(R23,R37)/1.21)</f>
        <v>107621.62694008264</v>
      </c>
      <c r="U14" s="235">
        <f>IF(S12&gt;0,-(SUM(Rentroll!$K$2:$K$4)+Rentroll!$N$2),0)-(SUM(S23,S37)-SUM(S23,S37)/1.21)</f>
        <v>122023.13110258256</v>
      </c>
      <c r="V14" s="235">
        <f>IF(T12&gt;0,-(SUM(Rentroll!$K$2:$K$4)+Rentroll!$N$2),0)-(SUM(T23,T37)-SUM(T23,T37)/1.21)</f>
        <v>47627.00028719008</v>
      </c>
      <c r="W14" s="235">
        <f>IF(U12&gt;0,-(SUM(Rentroll!$K$2:$K$4)+Rentroll!$N$2),0)-(SUM(U23,U37)-SUM(U23,U37)/1.21)</f>
        <v>42516.376940082642</v>
      </c>
      <c r="X14" s="235">
        <f>IF(V12&gt;0,-(SUM(Rentroll!$K$2:$K$4)+Rentroll!$N$2),0)-(SUM(V23,V37)-SUM(V23,V37)/1.21)</f>
        <v>42516.376940082642</v>
      </c>
      <c r="Y14" s="235">
        <f>IF(W12&gt;0,-(SUM(Rentroll!$K$2:$K$4)+Rentroll!$N$2),0)-(SUM(W23,W37)-SUM(W23,W37)/1.21)</f>
        <v>42516.376940082642</v>
      </c>
      <c r="Z14" s="235">
        <f>IF(X12&gt;0,-(SUM(Rentroll!$K$2:$K$4)+Rentroll!$N$2),0)-(SUM(X23,X37)-SUM(X23,X37)/1.21)</f>
        <v>42516.376940082642</v>
      </c>
      <c r="AA14" s="235">
        <f>IF(Y12&gt;0,-(SUM(Rentroll!$K$2:$K$4)+Rentroll!$N$2),0)-(SUM(Y23,Y37)-SUM(Y23,Y37)/1.21)</f>
        <v>42516.376940082642</v>
      </c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1690479.5040943185</v>
      </c>
      <c r="BZ14" s="771"/>
      <c r="CA14" s="226"/>
      <c r="CB14" s="237">
        <f t="shared" si="1"/>
        <v>3380959.008188637</v>
      </c>
      <c r="CC14" s="771"/>
      <c r="CD14" s="226"/>
      <c r="CE14" s="226">
        <f>51450000</f>
        <v>51450000</v>
      </c>
      <c r="CF14" s="226">
        <f>BY11/24.5</f>
        <v>1871540.775510204</v>
      </c>
      <c r="CG14" s="226"/>
      <c r="CH14" s="226"/>
    </row>
    <row r="15" spans="1:86">
      <c r="A15" s="603"/>
      <c r="B15" s="768"/>
      <c r="C15" s="238" t="s">
        <v>265</v>
      </c>
      <c r="D15" s="239" t="s">
        <v>264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458">
        <f>9100000</f>
        <v>9100000</v>
      </c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38"/>
      <c r="BY15" s="241">
        <f t="shared" si="0"/>
        <v>9100000</v>
      </c>
      <c r="BZ15" s="776"/>
      <c r="CA15" s="226"/>
      <c r="CB15" s="241">
        <f t="shared" si="1"/>
        <v>18200000</v>
      </c>
      <c r="CC15" s="776"/>
      <c r="CD15" s="226"/>
      <c r="CE15" s="226">
        <f>CE14/24.5</f>
        <v>2100000</v>
      </c>
      <c r="CF15" s="226"/>
      <c r="CG15" s="226"/>
      <c r="CH15" s="226"/>
    </row>
    <row r="16" spans="1:86" ht="16">
      <c r="A16" s="603"/>
      <c r="B16" s="788" t="s">
        <v>266</v>
      </c>
      <c r="C16" s="774"/>
      <c r="D16" s="246"/>
      <c r="E16" s="247">
        <f t="shared" ref="E16:BX16" si="4">SUM(E5:E15)</f>
        <v>0</v>
      </c>
      <c r="F16" s="247">
        <f t="shared" si="4"/>
        <v>0</v>
      </c>
      <c r="G16" s="247">
        <f t="shared" si="4"/>
        <v>0</v>
      </c>
      <c r="H16" s="247">
        <f t="shared" si="4"/>
        <v>16365002</v>
      </c>
      <c r="I16" s="247">
        <f t="shared" si="4"/>
        <v>6227</v>
      </c>
      <c r="J16" s="247">
        <f t="shared" si="4"/>
        <v>14588</v>
      </c>
      <c r="K16" s="247">
        <f t="shared" si="4"/>
        <v>1342468</v>
      </c>
      <c r="L16" s="247">
        <f t="shared" si="4"/>
        <v>1997517</v>
      </c>
      <c r="M16" s="247">
        <f t="shared" si="4"/>
        <v>10818794.050000001</v>
      </c>
      <c r="N16" s="247">
        <f t="shared" si="4"/>
        <v>19993932.949999999</v>
      </c>
      <c r="O16" s="247">
        <f t="shared" si="4"/>
        <v>9987587.8844628092</v>
      </c>
      <c r="P16" s="247">
        <f t="shared" si="4"/>
        <v>19449049.67768595</v>
      </c>
      <c r="Q16" s="247">
        <f t="shared" si="4"/>
        <v>147063.07867768593</v>
      </c>
      <c r="R16" s="247">
        <f t="shared" si="4"/>
        <v>177420.56569421489</v>
      </c>
      <c r="S16" s="247">
        <f t="shared" si="4"/>
        <v>103726.6545433884</v>
      </c>
      <c r="T16" s="247">
        <f t="shared" si="4"/>
        <v>3593335.9126543687</v>
      </c>
      <c r="U16" s="247">
        <f t="shared" si="4"/>
        <v>3607737.4168168684</v>
      </c>
      <c r="V16" s="247">
        <f t="shared" si="4"/>
        <v>3533341.286001476</v>
      </c>
      <c r="W16" s="247">
        <f t="shared" si="4"/>
        <v>3528230.6626543687</v>
      </c>
      <c r="X16" s="247">
        <f t="shared" si="4"/>
        <v>3528230.6626543687</v>
      </c>
      <c r="Y16" s="247">
        <f t="shared" si="4"/>
        <v>3528230.6626543687</v>
      </c>
      <c r="Z16" s="247">
        <f t="shared" si="4"/>
        <v>3528230.6626543687</v>
      </c>
      <c r="AA16" s="247">
        <f t="shared" si="4"/>
        <v>135316214.40053347</v>
      </c>
      <c r="AB16" s="247">
        <f t="shared" si="4"/>
        <v>0</v>
      </c>
      <c r="AC16" s="247">
        <f t="shared" si="4"/>
        <v>0</v>
      </c>
      <c r="AD16" s="247">
        <f t="shared" si="4"/>
        <v>0</v>
      </c>
      <c r="AE16" s="247">
        <f t="shared" si="4"/>
        <v>0</v>
      </c>
      <c r="AF16" s="247">
        <f t="shared" si="4"/>
        <v>0</v>
      </c>
      <c r="AG16" s="247">
        <f t="shared" si="4"/>
        <v>0</v>
      </c>
      <c r="AH16" s="247">
        <f t="shared" si="4"/>
        <v>0</v>
      </c>
      <c r="AI16" s="247">
        <f t="shared" si="4"/>
        <v>0</v>
      </c>
      <c r="AJ16" s="247">
        <f t="shared" si="4"/>
        <v>0</v>
      </c>
      <c r="AK16" s="247">
        <f t="shared" si="4"/>
        <v>0</v>
      </c>
      <c r="AL16" s="247">
        <f t="shared" si="4"/>
        <v>0</v>
      </c>
      <c r="AM16" s="247">
        <f t="shared" si="4"/>
        <v>0</v>
      </c>
      <c r="AN16" s="247">
        <f t="shared" si="4"/>
        <v>0</v>
      </c>
      <c r="AO16" s="247">
        <f t="shared" si="4"/>
        <v>0</v>
      </c>
      <c r="AP16" s="247">
        <f t="shared" si="4"/>
        <v>0</v>
      </c>
      <c r="AQ16" s="247">
        <f t="shared" si="4"/>
        <v>0</v>
      </c>
      <c r="AR16" s="247">
        <f t="shared" si="4"/>
        <v>0</v>
      </c>
      <c r="AS16" s="247">
        <f t="shared" si="4"/>
        <v>0</v>
      </c>
      <c r="AT16" s="247">
        <f t="shared" si="4"/>
        <v>0</v>
      </c>
      <c r="AU16" s="247">
        <f t="shared" si="4"/>
        <v>0</v>
      </c>
      <c r="AV16" s="247">
        <f t="shared" si="4"/>
        <v>0</v>
      </c>
      <c r="AW16" s="247">
        <f t="shared" si="4"/>
        <v>0</v>
      </c>
      <c r="AX16" s="247">
        <f t="shared" si="4"/>
        <v>0</v>
      </c>
      <c r="AY16" s="247">
        <f t="shared" si="4"/>
        <v>0</v>
      </c>
      <c r="AZ16" s="247">
        <f t="shared" si="4"/>
        <v>0</v>
      </c>
      <c r="BA16" s="247">
        <f t="shared" si="4"/>
        <v>0</v>
      </c>
      <c r="BB16" s="247">
        <f t="shared" si="4"/>
        <v>0</v>
      </c>
      <c r="BC16" s="247">
        <f t="shared" si="4"/>
        <v>0</v>
      </c>
      <c r="BD16" s="247">
        <f t="shared" si="4"/>
        <v>0</v>
      </c>
      <c r="BE16" s="247">
        <f t="shared" si="4"/>
        <v>0</v>
      </c>
      <c r="BF16" s="247">
        <f t="shared" si="4"/>
        <v>0</v>
      </c>
      <c r="BG16" s="247">
        <f t="shared" si="4"/>
        <v>0</v>
      </c>
      <c r="BH16" s="247">
        <f t="shared" si="4"/>
        <v>0</v>
      </c>
      <c r="BI16" s="247">
        <f t="shared" si="4"/>
        <v>0</v>
      </c>
      <c r="BJ16" s="247">
        <f t="shared" si="4"/>
        <v>0</v>
      </c>
      <c r="BK16" s="247">
        <f t="shared" si="4"/>
        <v>0</v>
      </c>
      <c r="BL16" s="247">
        <f t="shared" si="4"/>
        <v>0</v>
      </c>
      <c r="BM16" s="247">
        <f t="shared" si="4"/>
        <v>0</v>
      </c>
      <c r="BN16" s="247">
        <f t="shared" si="4"/>
        <v>0</v>
      </c>
      <c r="BO16" s="247">
        <f t="shared" si="4"/>
        <v>0</v>
      </c>
      <c r="BP16" s="247">
        <f t="shared" si="4"/>
        <v>0</v>
      </c>
      <c r="BQ16" s="247">
        <f t="shared" si="4"/>
        <v>0</v>
      </c>
      <c r="BR16" s="247">
        <f t="shared" si="4"/>
        <v>0</v>
      </c>
      <c r="BS16" s="247">
        <f t="shared" si="4"/>
        <v>0</v>
      </c>
      <c r="BT16" s="247">
        <f t="shared" si="4"/>
        <v>0</v>
      </c>
      <c r="BU16" s="247">
        <f t="shared" si="4"/>
        <v>0</v>
      </c>
      <c r="BV16" s="247">
        <f t="shared" si="4"/>
        <v>0</v>
      </c>
      <c r="BW16" s="247">
        <f t="shared" si="4"/>
        <v>0</v>
      </c>
      <c r="BX16" s="247">
        <f t="shared" si="4"/>
        <v>0</v>
      </c>
      <c r="BY16" s="778">
        <f>BZ5+BZ9+BZ12</f>
        <v>240566928.52768773</v>
      </c>
      <c r="BZ16" s="774"/>
      <c r="CA16" s="226"/>
      <c r="CB16" s="778">
        <f>CC5+CC9+CC12</f>
        <v>783021452.58306313</v>
      </c>
      <c r="CC16" s="774"/>
      <c r="CD16" s="226"/>
      <c r="CE16" s="226"/>
      <c r="CF16" s="226"/>
      <c r="CG16" s="226"/>
      <c r="CH16" s="226"/>
    </row>
    <row r="17" spans="1:83" ht="16" collapsed="1">
      <c r="A17" s="603"/>
      <c r="B17" s="789" t="s">
        <v>267</v>
      </c>
      <c r="C17" s="248" t="s">
        <v>268</v>
      </c>
      <c r="D17" s="249"/>
      <c r="E17" s="250">
        <f t="shared" ref="E17:BY17" si="5">SUM(E18:E22)</f>
        <v>0</v>
      </c>
      <c r="F17" s="250">
        <f t="shared" si="5"/>
        <v>0</v>
      </c>
      <c r="G17" s="250">
        <f t="shared" si="5"/>
        <v>0</v>
      </c>
      <c r="H17" s="250">
        <f t="shared" si="5"/>
        <v>-10620712</v>
      </c>
      <c r="I17" s="250">
        <f t="shared" si="5"/>
        <v>0</v>
      </c>
      <c r="J17" s="250">
        <f t="shared" si="5"/>
        <v>-808333</v>
      </c>
      <c r="K17" s="250">
        <f t="shared" si="5"/>
        <v>0</v>
      </c>
      <c r="L17" s="250">
        <f t="shared" si="5"/>
        <v>0</v>
      </c>
      <c r="M17" s="250">
        <f t="shared" si="5"/>
        <v>0</v>
      </c>
      <c r="N17" s="250">
        <f t="shared" si="5"/>
        <v>0</v>
      </c>
      <c r="O17" s="250">
        <f t="shared" si="5"/>
        <v>0</v>
      </c>
      <c r="P17" s="250">
        <f t="shared" si="5"/>
        <v>0</v>
      </c>
      <c r="Q17" s="250">
        <f t="shared" si="5"/>
        <v>0</v>
      </c>
      <c r="R17" s="250">
        <f t="shared" si="5"/>
        <v>0</v>
      </c>
      <c r="S17" s="250">
        <f t="shared" si="5"/>
        <v>0</v>
      </c>
      <c r="T17" s="250">
        <f t="shared" si="5"/>
        <v>0</v>
      </c>
      <c r="U17" s="250">
        <f t="shared" si="5"/>
        <v>0</v>
      </c>
      <c r="V17" s="250">
        <f t="shared" si="5"/>
        <v>0</v>
      </c>
      <c r="W17" s="250">
        <f t="shared" si="5"/>
        <v>0</v>
      </c>
      <c r="X17" s="250">
        <f t="shared" si="5"/>
        <v>0</v>
      </c>
      <c r="Y17" s="250">
        <f t="shared" si="5"/>
        <v>0</v>
      </c>
      <c r="Z17" s="250">
        <f t="shared" si="5"/>
        <v>0</v>
      </c>
      <c r="AA17" s="250">
        <f t="shared" si="5"/>
        <v>0</v>
      </c>
      <c r="AB17" s="250">
        <f t="shared" si="5"/>
        <v>0</v>
      </c>
      <c r="AC17" s="250">
        <f t="shared" si="5"/>
        <v>0</v>
      </c>
      <c r="AD17" s="250">
        <f t="shared" si="5"/>
        <v>0</v>
      </c>
      <c r="AE17" s="250">
        <f t="shared" si="5"/>
        <v>0</v>
      </c>
      <c r="AF17" s="250">
        <f t="shared" si="5"/>
        <v>0</v>
      </c>
      <c r="AG17" s="250">
        <f t="shared" si="5"/>
        <v>0</v>
      </c>
      <c r="AH17" s="250">
        <f t="shared" si="5"/>
        <v>0</v>
      </c>
      <c r="AI17" s="250">
        <f t="shared" si="5"/>
        <v>0</v>
      </c>
      <c r="AJ17" s="250">
        <f t="shared" si="5"/>
        <v>0</v>
      </c>
      <c r="AK17" s="250">
        <f t="shared" si="5"/>
        <v>0</v>
      </c>
      <c r="AL17" s="250">
        <f t="shared" si="5"/>
        <v>0</v>
      </c>
      <c r="AM17" s="250">
        <f t="shared" si="5"/>
        <v>0</v>
      </c>
      <c r="AN17" s="250">
        <f t="shared" si="5"/>
        <v>0</v>
      </c>
      <c r="AO17" s="250">
        <f t="shared" si="5"/>
        <v>0</v>
      </c>
      <c r="AP17" s="250">
        <f t="shared" si="5"/>
        <v>0</v>
      </c>
      <c r="AQ17" s="250">
        <f t="shared" si="5"/>
        <v>0</v>
      </c>
      <c r="AR17" s="250">
        <f t="shared" si="5"/>
        <v>0</v>
      </c>
      <c r="AS17" s="250">
        <f t="shared" si="5"/>
        <v>0</v>
      </c>
      <c r="AT17" s="250">
        <f t="shared" si="5"/>
        <v>0</v>
      </c>
      <c r="AU17" s="250">
        <f t="shared" si="5"/>
        <v>0</v>
      </c>
      <c r="AV17" s="250">
        <f t="shared" si="5"/>
        <v>0</v>
      </c>
      <c r="AW17" s="250">
        <f t="shared" si="5"/>
        <v>0</v>
      </c>
      <c r="AX17" s="250">
        <f t="shared" si="5"/>
        <v>0</v>
      </c>
      <c r="AY17" s="250">
        <f t="shared" si="5"/>
        <v>0</v>
      </c>
      <c r="AZ17" s="250">
        <f t="shared" si="5"/>
        <v>0</v>
      </c>
      <c r="BA17" s="250">
        <f t="shared" si="5"/>
        <v>0</v>
      </c>
      <c r="BB17" s="250">
        <f t="shared" si="5"/>
        <v>0</v>
      </c>
      <c r="BC17" s="250">
        <f t="shared" si="5"/>
        <v>0</v>
      </c>
      <c r="BD17" s="250">
        <f t="shared" si="5"/>
        <v>0</v>
      </c>
      <c r="BE17" s="250">
        <f t="shared" si="5"/>
        <v>0</v>
      </c>
      <c r="BF17" s="250">
        <f t="shared" si="5"/>
        <v>0</v>
      </c>
      <c r="BG17" s="250">
        <f t="shared" si="5"/>
        <v>0</v>
      </c>
      <c r="BH17" s="250">
        <f t="shared" si="5"/>
        <v>0</v>
      </c>
      <c r="BI17" s="250">
        <f t="shared" si="5"/>
        <v>0</v>
      </c>
      <c r="BJ17" s="250">
        <f t="shared" si="5"/>
        <v>0</v>
      </c>
      <c r="BK17" s="250">
        <f t="shared" si="5"/>
        <v>0</v>
      </c>
      <c r="BL17" s="250">
        <f t="shared" si="5"/>
        <v>0</v>
      </c>
      <c r="BM17" s="250">
        <f t="shared" si="5"/>
        <v>0</v>
      </c>
      <c r="BN17" s="250">
        <f t="shared" si="5"/>
        <v>0</v>
      </c>
      <c r="BO17" s="250">
        <f t="shared" si="5"/>
        <v>0</v>
      </c>
      <c r="BP17" s="250">
        <f t="shared" si="5"/>
        <v>0</v>
      </c>
      <c r="BQ17" s="250">
        <f t="shared" si="5"/>
        <v>0</v>
      </c>
      <c r="BR17" s="250">
        <f t="shared" si="5"/>
        <v>0</v>
      </c>
      <c r="BS17" s="250">
        <f t="shared" si="5"/>
        <v>0</v>
      </c>
      <c r="BT17" s="250">
        <f t="shared" si="5"/>
        <v>0</v>
      </c>
      <c r="BU17" s="250">
        <f t="shared" si="5"/>
        <v>0</v>
      </c>
      <c r="BV17" s="250">
        <f t="shared" si="5"/>
        <v>0</v>
      </c>
      <c r="BW17" s="250">
        <f t="shared" si="5"/>
        <v>0</v>
      </c>
      <c r="BX17" s="250">
        <f t="shared" si="5"/>
        <v>0</v>
      </c>
      <c r="BY17" s="251">
        <f t="shared" si="5"/>
        <v>-11429045</v>
      </c>
      <c r="BZ17" s="777">
        <f>BY17+BY23+BY26+BY34+BY37+BY49+BY55+BY63+BY87</f>
        <v>-117860499.05265832</v>
      </c>
      <c r="CA17" s="226"/>
      <c r="CB17" s="252"/>
      <c r="CC17" s="777"/>
      <c r="CD17" s="226"/>
      <c r="CE17" s="226"/>
    </row>
    <row r="18" spans="1:83" ht="16" hidden="1" outlineLevel="1">
      <c r="A18" s="603"/>
      <c r="B18" s="787"/>
      <c r="C18" s="253" t="s">
        <v>269</v>
      </c>
      <c r="D18" s="254" t="s">
        <v>270</v>
      </c>
      <c r="E18" s="255"/>
      <c r="F18" s="255"/>
      <c r="G18" s="255"/>
      <c r="H18" s="256">
        <f>-8458812-2161900</f>
        <v>-10620712</v>
      </c>
      <c r="I18" s="256"/>
      <c r="J18" s="256">
        <f>-657296-151037</f>
        <v>-808333</v>
      </c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7">
        <f t="shared" ref="BY18:BY22" si="6">SUM(E18:BX18)</f>
        <v>-11429045</v>
      </c>
      <c r="BZ18" s="771"/>
      <c r="CA18" s="226"/>
      <c r="CB18" s="252"/>
      <c r="CC18" s="771"/>
      <c r="CD18" s="226"/>
      <c r="CE18" s="226"/>
    </row>
    <row r="19" spans="1:83" ht="16" hidden="1" outlineLevel="1">
      <c r="A19" s="603"/>
      <c r="B19" s="787"/>
      <c r="C19" s="253" t="s">
        <v>271</v>
      </c>
      <c r="D19" s="254" t="s">
        <v>270</v>
      </c>
      <c r="E19" s="255"/>
      <c r="F19" s="255"/>
      <c r="G19" s="255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si="6"/>
        <v>0</v>
      </c>
      <c r="BZ19" s="771"/>
      <c r="CA19" s="226"/>
      <c r="CB19" s="252"/>
      <c r="CC19" s="771"/>
      <c r="CD19" s="226"/>
      <c r="CE19" s="226"/>
    </row>
    <row r="20" spans="1:83" ht="16" hidden="1" outlineLevel="1">
      <c r="A20" s="603"/>
      <c r="B20" s="787"/>
      <c r="C20" s="253" t="s">
        <v>272</v>
      </c>
      <c r="D20" s="254" t="s">
        <v>270</v>
      </c>
      <c r="E20" s="255"/>
      <c r="F20" s="255"/>
      <c r="G20" s="255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6"/>
        <v>0</v>
      </c>
      <c r="BZ20" s="771"/>
      <c r="CA20" s="226"/>
      <c r="CB20" s="252"/>
      <c r="CC20" s="771"/>
      <c r="CD20" s="226"/>
      <c r="CE20" s="226"/>
    </row>
    <row r="21" spans="1:83" ht="16" hidden="1" outlineLevel="1">
      <c r="A21" s="603"/>
      <c r="B21" s="787"/>
      <c r="C21" s="253" t="s">
        <v>273</v>
      </c>
      <c r="D21" s="254" t="s">
        <v>270</v>
      </c>
      <c r="E21" s="255"/>
      <c r="F21" s="255"/>
      <c r="G21" s="255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6"/>
        <v>0</v>
      </c>
      <c r="BZ21" s="771"/>
      <c r="CA21" s="226"/>
      <c r="CB21" s="252"/>
      <c r="CC21" s="771"/>
      <c r="CD21" s="226"/>
      <c r="CE21" s="226"/>
    </row>
    <row r="22" spans="1:83" ht="16" hidden="1" outlineLevel="1">
      <c r="A22" s="603"/>
      <c r="B22" s="787"/>
      <c r="C22" s="253" t="s">
        <v>274</v>
      </c>
      <c r="D22" s="258" t="s">
        <v>270</v>
      </c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6"/>
        <v>0</v>
      </c>
      <c r="BZ22" s="771"/>
      <c r="CA22" s="226"/>
      <c r="CB22" s="252"/>
      <c r="CC22" s="771"/>
      <c r="CD22" s="226"/>
      <c r="CE22" s="226"/>
    </row>
    <row r="23" spans="1:83" ht="16">
      <c r="A23" s="603"/>
      <c r="B23" s="787"/>
      <c r="C23" s="248" t="s">
        <v>275</v>
      </c>
      <c r="D23" s="249"/>
      <c r="E23" s="250">
        <f t="shared" ref="E23:BY23" si="7">SUM(E24:E25)</f>
        <v>0</v>
      </c>
      <c r="F23" s="250">
        <f t="shared" si="7"/>
        <v>0</v>
      </c>
      <c r="G23" s="250">
        <f t="shared" si="7"/>
        <v>0</v>
      </c>
      <c r="H23" s="250">
        <f t="shared" si="7"/>
        <v>0</v>
      </c>
      <c r="I23" s="250">
        <f t="shared" si="7"/>
        <v>-366025</v>
      </c>
      <c r="J23" s="250">
        <f t="shared" si="7"/>
        <v>0</v>
      </c>
      <c r="K23" s="250">
        <f t="shared" si="7"/>
        <v>0</v>
      </c>
      <c r="L23" s="250">
        <f t="shared" si="7"/>
        <v>-15913.92</v>
      </c>
      <c r="M23" s="250">
        <f t="shared" si="7"/>
        <v>0</v>
      </c>
      <c r="N23" s="250">
        <f t="shared" si="7"/>
        <v>0</v>
      </c>
      <c r="O23" s="250">
        <f t="shared" si="7"/>
        <v>-184525</v>
      </c>
      <c r="P23" s="250">
        <f t="shared" si="7"/>
        <v>-354285.58000000007</v>
      </c>
      <c r="Q23" s="250">
        <f t="shared" si="7"/>
        <v>-393250</v>
      </c>
      <c r="R23" s="250">
        <f t="shared" si="7"/>
        <v>-393250</v>
      </c>
      <c r="S23" s="250">
        <f t="shared" si="7"/>
        <v>0</v>
      </c>
      <c r="T23" s="250">
        <f t="shared" si="7"/>
        <v>0</v>
      </c>
      <c r="U23" s="250">
        <f t="shared" si="7"/>
        <v>0</v>
      </c>
      <c r="V23" s="250">
        <f t="shared" si="7"/>
        <v>0</v>
      </c>
      <c r="W23" s="250">
        <f t="shared" si="7"/>
        <v>0</v>
      </c>
      <c r="X23" s="250">
        <f t="shared" si="7"/>
        <v>0</v>
      </c>
      <c r="Y23" s="250">
        <f t="shared" si="7"/>
        <v>0</v>
      </c>
      <c r="Z23" s="250">
        <f t="shared" si="7"/>
        <v>0</v>
      </c>
      <c r="AA23" s="250">
        <f t="shared" si="7"/>
        <v>0</v>
      </c>
      <c r="AB23" s="250">
        <f t="shared" si="7"/>
        <v>0</v>
      </c>
      <c r="AC23" s="250">
        <f t="shared" si="7"/>
        <v>0</v>
      </c>
      <c r="AD23" s="250">
        <f t="shared" si="7"/>
        <v>0</v>
      </c>
      <c r="AE23" s="250">
        <f t="shared" si="7"/>
        <v>0</v>
      </c>
      <c r="AF23" s="250">
        <f t="shared" si="7"/>
        <v>0</v>
      </c>
      <c r="AG23" s="250">
        <f t="shared" si="7"/>
        <v>0</v>
      </c>
      <c r="AH23" s="250">
        <f t="shared" si="7"/>
        <v>0</v>
      </c>
      <c r="AI23" s="250">
        <f t="shared" si="7"/>
        <v>0</v>
      </c>
      <c r="AJ23" s="250">
        <f t="shared" si="7"/>
        <v>0</v>
      </c>
      <c r="AK23" s="250">
        <f t="shared" si="7"/>
        <v>0</v>
      </c>
      <c r="AL23" s="250">
        <f t="shared" si="7"/>
        <v>0</v>
      </c>
      <c r="AM23" s="250">
        <f t="shared" si="7"/>
        <v>0</v>
      </c>
      <c r="AN23" s="250">
        <f t="shared" si="7"/>
        <v>0</v>
      </c>
      <c r="AO23" s="250">
        <f t="shared" si="7"/>
        <v>0</v>
      </c>
      <c r="AP23" s="250">
        <f t="shared" si="7"/>
        <v>0</v>
      </c>
      <c r="AQ23" s="250">
        <f t="shared" si="7"/>
        <v>0</v>
      </c>
      <c r="AR23" s="250">
        <f t="shared" si="7"/>
        <v>0</v>
      </c>
      <c r="AS23" s="250">
        <f t="shared" si="7"/>
        <v>0</v>
      </c>
      <c r="AT23" s="250">
        <f t="shared" si="7"/>
        <v>0</v>
      </c>
      <c r="AU23" s="250">
        <f t="shared" si="7"/>
        <v>0</v>
      </c>
      <c r="AV23" s="250">
        <f t="shared" si="7"/>
        <v>0</v>
      </c>
      <c r="AW23" s="250">
        <f t="shared" si="7"/>
        <v>0</v>
      </c>
      <c r="AX23" s="250">
        <f t="shared" si="7"/>
        <v>0</v>
      </c>
      <c r="AY23" s="250">
        <f t="shared" si="7"/>
        <v>0</v>
      </c>
      <c r="AZ23" s="250">
        <f t="shared" si="7"/>
        <v>0</v>
      </c>
      <c r="BA23" s="250">
        <f t="shared" si="7"/>
        <v>0</v>
      </c>
      <c r="BB23" s="250">
        <f t="shared" si="7"/>
        <v>0</v>
      </c>
      <c r="BC23" s="250">
        <f t="shared" si="7"/>
        <v>0</v>
      </c>
      <c r="BD23" s="250">
        <f t="shared" si="7"/>
        <v>0</v>
      </c>
      <c r="BE23" s="250">
        <f t="shared" si="7"/>
        <v>0</v>
      </c>
      <c r="BF23" s="250">
        <f t="shared" si="7"/>
        <v>0</v>
      </c>
      <c r="BG23" s="250">
        <f t="shared" si="7"/>
        <v>0</v>
      </c>
      <c r="BH23" s="250">
        <f t="shared" si="7"/>
        <v>0</v>
      </c>
      <c r="BI23" s="250">
        <f t="shared" si="7"/>
        <v>0</v>
      </c>
      <c r="BJ23" s="250">
        <f t="shared" si="7"/>
        <v>0</v>
      </c>
      <c r="BK23" s="250">
        <f t="shared" si="7"/>
        <v>0</v>
      </c>
      <c r="BL23" s="250">
        <f t="shared" si="7"/>
        <v>0</v>
      </c>
      <c r="BM23" s="250">
        <f t="shared" si="7"/>
        <v>0</v>
      </c>
      <c r="BN23" s="250">
        <f t="shared" si="7"/>
        <v>0</v>
      </c>
      <c r="BO23" s="250">
        <f t="shared" si="7"/>
        <v>0</v>
      </c>
      <c r="BP23" s="250">
        <f t="shared" si="7"/>
        <v>0</v>
      </c>
      <c r="BQ23" s="250">
        <f t="shared" si="7"/>
        <v>0</v>
      </c>
      <c r="BR23" s="250">
        <f t="shared" si="7"/>
        <v>0</v>
      </c>
      <c r="BS23" s="250">
        <f t="shared" si="7"/>
        <v>0</v>
      </c>
      <c r="BT23" s="250">
        <f t="shared" si="7"/>
        <v>0</v>
      </c>
      <c r="BU23" s="250">
        <f t="shared" si="7"/>
        <v>0</v>
      </c>
      <c r="BV23" s="250">
        <f t="shared" si="7"/>
        <v>0</v>
      </c>
      <c r="BW23" s="250">
        <f t="shared" si="7"/>
        <v>0</v>
      </c>
      <c r="BX23" s="250">
        <f t="shared" si="7"/>
        <v>0</v>
      </c>
      <c r="BY23" s="251">
        <f t="shared" si="7"/>
        <v>-1707249.5</v>
      </c>
      <c r="BZ23" s="771"/>
      <c r="CA23" s="226">
        <f>BY23/1.21</f>
        <v>-1410950</v>
      </c>
      <c r="CB23" s="252"/>
      <c r="CC23" s="771"/>
      <c r="CD23" s="226"/>
      <c r="CE23" s="226">
        <f>7000000*1.21</f>
        <v>8470000</v>
      </c>
    </row>
    <row r="24" spans="1:83" ht="16" outlineLevel="1">
      <c r="A24" s="603"/>
      <c r="B24" s="787"/>
      <c r="C24" s="253" t="s">
        <v>276</v>
      </c>
      <c r="D24" s="258" t="s">
        <v>270</v>
      </c>
      <c r="E24" s="259"/>
      <c r="F24" s="259"/>
      <c r="G24" s="259"/>
      <c r="H24" s="260"/>
      <c r="I24" s="260">
        <f>-302500*1.21</f>
        <v>-366025</v>
      </c>
      <c r="J24" s="260"/>
      <c r="K24" s="260"/>
      <c r="L24" s="260">
        <f>-15913.92</f>
        <v>-15913.92</v>
      </c>
      <c r="M24" s="260"/>
      <c r="N24" s="260"/>
      <c r="O24" s="260">
        <f>-152500*1.21</f>
        <v>-184525</v>
      </c>
      <c r="P24" s="260">
        <f>(-675000-SUM(I24:O24)/1.21)*1.21</f>
        <v>-250286.08000000007</v>
      </c>
      <c r="Q24" s="260">
        <f>-Businessplan_prodej!$F$21*0.5*1.21</f>
        <v>-393250</v>
      </c>
      <c r="R24" s="260">
        <f>-Businessplan_prodej!$F$21*0.5*1.21</f>
        <v>-393250</v>
      </c>
      <c r="S24" s="260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61">
        <f t="shared" ref="BY24:BY25" si="8">SUM(E24:BX24)</f>
        <v>-1603250</v>
      </c>
      <c r="BZ24" s="771"/>
      <c r="CA24" s="226"/>
      <c r="CB24" s="252"/>
      <c r="CC24" s="771"/>
      <c r="CD24" s="226"/>
      <c r="CE24" s="226"/>
    </row>
    <row r="25" spans="1:83" ht="16" outlineLevel="1">
      <c r="A25" s="603"/>
      <c r="B25" s="787"/>
      <c r="C25" s="253" t="s">
        <v>277</v>
      </c>
      <c r="D25" s="258" t="s">
        <v>270</v>
      </c>
      <c r="E25" s="259"/>
      <c r="F25" s="259"/>
      <c r="G25" s="259"/>
      <c r="H25" s="260"/>
      <c r="I25" s="260"/>
      <c r="J25" s="260"/>
      <c r="K25" s="260"/>
      <c r="L25" s="260"/>
      <c r="M25" s="260"/>
      <c r="N25" s="260"/>
      <c r="O25" s="260"/>
      <c r="P25" s="260">
        <f>-Businessplan_prodej!$F$22*1.21</f>
        <v>-103999.5</v>
      </c>
      <c r="Q25" s="260"/>
      <c r="R25" s="260"/>
      <c r="S25" s="260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1">
        <f t="shared" si="8"/>
        <v>-103999.5</v>
      </c>
      <c r="BZ25" s="771"/>
      <c r="CA25" s="226"/>
      <c r="CB25" s="252"/>
      <c r="CC25" s="771"/>
      <c r="CD25" s="226"/>
      <c r="CE25" s="226"/>
    </row>
    <row r="26" spans="1:83" ht="16">
      <c r="A26" s="603"/>
      <c r="B26" s="787"/>
      <c r="C26" s="248" t="s">
        <v>278</v>
      </c>
      <c r="D26" s="249"/>
      <c r="E26" s="250">
        <f t="shared" ref="E26:BX26" si="9">SUM(E27:E33)</f>
        <v>0</v>
      </c>
      <c r="F26" s="250">
        <f t="shared" si="9"/>
        <v>0</v>
      </c>
      <c r="G26" s="250">
        <f t="shared" si="9"/>
        <v>0</v>
      </c>
      <c r="H26" s="250">
        <f t="shared" si="9"/>
        <v>-2420</v>
      </c>
      <c r="I26" s="250">
        <f t="shared" si="9"/>
        <v>-1081909</v>
      </c>
      <c r="J26" s="250">
        <f t="shared" si="9"/>
        <v>0</v>
      </c>
      <c r="K26" s="250">
        <f t="shared" si="9"/>
        <v>0</v>
      </c>
      <c r="L26" s="250">
        <f t="shared" si="9"/>
        <v>-4688041</v>
      </c>
      <c r="M26" s="250">
        <f t="shared" si="9"/>
        <v>-10044501.530000001</v>
      </c>
      <c r="N26" s="250">
        <f t="shared" si="9"/>
        <v>-19919080.57</v>
      </c>
      <c r="O26" s="250">
        <f t="shared" si="9"/>
        <v>-11929159</v>
      </c>
      <c r="P26" s="250">
        <f t="shared" si="9"/>
        <v>-14390496.899999999</v>
      </c>
      <c r="Q26" s="250">
        <f t="shared" si="9"/>
        <v>0</v>
      </c>
      <c r="R26" s="250">
        <f t="shared" si="9"/>
        <v>0</v>
      </c>
      <c r="S26" s="250">
        <f t="shared" si="9"/>
        <v>-3214461.25</v>
      </c>
      <c r="T26" s="250">
        <f t="shared" si="9"/>
        <v>-3214461.25</v>
      </c>
      <c r="U26" s="250">
        <f t="shared" si="9"/>
        <v>-3214461.25</v>
      </c>
      <c r="V26" s="250">
        <f t="shared" si="9"/>
        <v>-3214461.25</v>
      </c>
      <c r="W26" s="250">
        <f t="shared" si="9"/>
        <v>-3214461.25</v>
      </c>
      <c r="X26" s="250">
        <f t="shared" si="9"/>
        <v>-3214461.25</v>
      </c>
      <c r="Y26" s="250">
        <f t="shared" si="9"/>
        <v>-3214461.25</v>
      </c>
      <c r="Z26" s="250">
        <f t="shared" si="9"/>
        <v>-3214461.25</v>
      </c>
      <c r="AA26" s="250">
        <f t="shared" si="9"/>
        <v>0</v>
      </c>
      <c r="AB26" s="250">
        <f t="shared" si="9"/>
        <v>0</v>
      </c>
      <c r="AC26" s="250">
        <f t="shared" si="9"/>
        <v>0</v>
      </c>
      <c r="AD26" s="250">
        <f t="shared" si="9"/>
        <v>0</v>
      </c>
      <c r="AE26" s="250">
        <f t="shared" si="9"/>
        <v>0</v>
      </c>
      <c r="AF26" s="250">
        <f t="shared" si="9"/>
        <v>0</v>
      </c>
      <c r="AG26" s="250">
        <f t="shared" si="9"/>
        <v>0</v>
      </c>
      <c r="AH26" s="250">
        <f t="shared" si="9"/>
        <v>0</v>
      </c>
      <c r="AI26" s="250">
        <f t="shared" si="9"/>
        <v>0</v>
      </c>
      <c r="AJ26" s="250">
        <f t="shared" si="9"/>
        <v>0</v>
      </c>
      <c r="AK26" s="250">
        <f t="shared" si="9"/>
        <v>0</v>
      </c>
      <c r="AL26" s="250">
        <f t="shared" si="9"/>
        <v>0</v>
      </c>
      <c r="AM26" s="250">
        <f t="shared" si="9"/>
        <v>0</v>
      </c>
      <c r="AN26" s="250">
        <f t="shared" si="9"/>
        <v>0</v>
      </c>
      <c r="AO26" s="250">
        <f t="shared" si="9"/>
        <v>0</v>
      </c>
      <c r="AP26" s="250">
        <f t="shared" si="9"/>
        <v>0</v>
      </c>
      <c r="AQ26" s="250">
        <f t="shared" si="9"/>
        <v>0</v>
      </c>
      <c r="AR26" s="250">
        <f t="shared" si="9"/>
        <v>0</v>
      </c>
      <c r="AS26" s="250">
        <f t="shared" si="9"/>
        <v>0</v>
      </c>
      <c r="AT26" s="250">
        <f t="shared" si="9"/>
        <v>0</v>
      </c>
      <c r="AU26" s="250">
        <f t="shared" si="9"/>
        <v>0</v>
      </c>
      <c r="AV26" s="250">
        <f t="shared" si="9"/>
        <v>0</v>
      </c>
      <c r="AW26" s="250">
        <f t="shared" si="9"/>
        <v>0</v>
      </c>
      <c r="AX26" s="250">
        <f t="shared" si="9"/>
        <v>0</v>
      </c>
      <c r="AY26" s="250">
        <f t="shared" si="9"/>
        <v>0</v>
      </c>
      <c r="AZ26" s="250">
        <f t="shared" si="9"/>
        <v>0</v>
      </c>
      <c r="BA26" s="250">
        <f t="shared" si="9"/>
        <v>0</v>
      </c>
      <c r="BB26" s="250">
        <f t="shared" si="9"/>
        <v>0</v>
      </c>
      <c r="BC26" s="250">
        <f t="shared" si="9"/>
        <v>0</v>
      </c>
      <c r="BD26" s="250">
        <f t="shared" si="9"/>
        <v>0</v>
      </c>
      <c r="BE26" s="250">
        <f t="shared" si="9"/>
        <v>0</v>
      </c>
      <c r="BF26" s="250">
        <f t="shared" si="9"/>
        <v>0</v>
      </c>
      <c r="BG26" s="250">
        <f t="shared" si="9"/>
        <v>0</v>
      </c>
      <c r="BH26" s="250">
        <f t="shared" si="9"/>
        <v>0</v>
      </c>
      <c r="BI26" s="250">
        <f t="shared" si="9"/>
        <v>0</v>
      </c>
      <c r="BJ26" s="250">
        <f t="shared" si="9"/>
        <v>0</v>
      </c>
      <c r="BK26" s="250">
        <f t="shared" si="9"/>
        <v>0</v>
      </c>
      <c r="BL26" s="250">
        <f t="shared" si="9"/>
        <v>0</v>
      </c>
      <c r="BM26" s="250">
        <f t="shared" si="9"/>
        <v>0</v>
      </c>
      <c r="BN26" s="250">
        <f t="shared" si="9"/>
        <v>0</v>
      </c>
      <c r="BO26" s="250">
        <f t="shared" si="9"/>
        <v>0</v>
      </c>
      <c r="BP26" s="250">
        <f t="shared" si="9"/>
        <v>0</v>
      </c>
      <c r="BQ26" s="250">
        <f t="shared" si="9"/>
        <v>0</v>
      </c>
      <c r="BR26" s="250">
        <f t="shared" si="9"/>
        <v>0</v>
      </c>
      <c r="BS26" s="250">
        <f t="shared" si="9"/>
        <v>0</v>
      </c>
      <c r="BT26" s="250">
        <f t="shared" si="9"/>
        <v>0</v>
      </c>
      <c r="BU26" s="250">
        <f t="shared" si="9"/>
        <v>0</v>
      </c>
      <c r="BV26" s="250">
        <f t="shared" si="9"/>
        <v>0</v>
      </c>
      <c r="BW26" s="250">
        <f t="shared" si="9"/>
        <v>0</v>
      </c>
      <c r="BX26" s="250">
        <f t="shared" si="9"/>
        <v>0</v>
      </c>
      <c r="BY26" s="252">
        <f>SUM(BY27:BY33)</f>
        <v>-87771298</v>
      </c>
      <c r="BZ26" s="771"/>
      <c r="CA26" s="226"/>
      <c r="CB26" s="252"/>
      <c r="CC26" s="771"/>
      <c r="CD26" s="226"/>
      <c r="CE26" s="226"/>
    </row>
    <row r="27" spans="1:83" ht="16" outlineLevel="1">
      <c r="A27" s="603"/>
      <c r="B27" s="787"/>
      <c r="C27" s="253" t="s">
        <v>279</v>
      </c>
      <c r="D27" s="254" t="s">
        <v>270</v>
      </c>
      <c r="E27" s="255"/>
      <c r="F27" s="255"/>
      <c r="G27" s="255"/>
      <c r="H27" s="256"/>
      <c r="I27" s="256"/>
      <c r="J27" s="256"/>
      <c r="K27" s="256"/>
      <c r="L27" s="256">
        <f>-4688041</f>
        <v>-4688041</v>
      </c>
      <c r="M27" s="256">
        <f>-3615000-6429501.53</f>
        <v>-10044501.530000001</v>
      </c>
      <c r="N27" s="256">
        <f>-19909473.57</f>
        <v>-19909473.57</v>
      </c>
      <c r="O27" s="256">
        <f>-2929659-2929659-2929659-1171570-1100112</f>
        <v>-11060659</v>
      </c>
      <c r="P27" s="256">
        <f>-(58593172+SUM(L27:O27))-1500000</f>
        <v>-14390496.899999999</v>
      </c>
      <c r="Q27" s="256"/>
      <c r="R27" s="256"/>
      <c r="S27" s="256">
        <f>-(Businessplan_prodej!$F$31)/8</f>
        <v>-2922237.5</v>
      </c>
      <c r="T27" s="256">
        <f>-(Businessplan_prodej!$F$31)/8</f>
        <v>-2922237.5</v>
      </c>
      <c r="U27" s="256">
        <f>-(Businessplan_prodej!$F$31)/8</f>
        <v>-2922237.5</v>
      </c>
      <c r="V27" s="256">
        <f>-(Businessplan_prodej!$F$31)/8</f>
        <v>-2922237.5</v>
      </c>
      <c r="W27" s="256">
        <f>-(Businessplan_prodej!$F$31)/8</f>
        <v>-2922237.5</v>
      </c>
      <c r="X27" s="256">
        <f>-(Businessplan_prodej!$F$31)/8</f>
        <v>-2922237.5</v>
      </c>
      <c r="Y27" s="256">
        <f>-(Businessplan_prodej!$F$31)/8</f>
        <v>-2922237.5</v>
      </c>
      <c r="Z27" s="256">
        <f>-(Businessplan_prodej!$F$31)/8</f>
        <v>-2922237.5</v>
      </c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64"/>
      <c r="BY27" s="265">
        <f t="shared" ref="BY27:BY33" si="10">SUM(E27:BX27)</f>
        <v>-83471072</v>
      </c>
      <c r="BZ27" s="771"/>
      <c r="CA27" s="226"/>
      <c r="CB27" s="252"/>
      <c r="CC27" s="771"/>
      <c r="CD27" s="226"/>
      <c r="CE27" s="226"/>
    </row>
    <row r="28" spans="1:83" ht="16" outlineLevel="1">
      <c r="A28" s="603"/>
      <c r="B28" s="787"/>
      <c r="C28" s="253" t="s">
        <v>280</v>
      </c>
      <c r="D28" s="254" t="s">
        <v>270</v>
      </c>
      <c r="E28" s="255"/>
      <c r="F28" s="255"/>
      <c r="G28" s="255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66">
        <f t="shared" si="10"/>
        <v>0</v>
      </c>
      <c r="BZ28" s="771"/>
      <c r="CA28" s="226"/>
      <c r="CB28" s="252"/>
      <c r="CC28" s="771"/>
      <c r="CD28" s="226"/>
      <c r="CE28" s="226"/>
    </row>
    <row r="29" spans="1:83" ht="16" outlineLevel="1">
      <c r="A29" s="603"/>
      <c r="B29" s="787"/>
      <c r="C29" s="253" t="s">
        <v>281</v>
      </c>
      <c r="D29" s="254" t="s">
        <v>270</v>
      </c>
      <c r="E29" s="255"/>
      <c r="F29" s="255"/>
      <c r="G29" s="255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66">
        <f t="shared" si="10"/>
        <v>0</v>
      </c>
      <c r="BZ29" s="771"/>
      <c r="CA29" s="226"/>
      <c r="CB29" s="252"/>
      <c r="CC29" s="771"/>
      <c r="CD29" s="226"/>
      <c r="CE29" s="226"/>
    </row>
    <row r="30" spans="1:83" ht="16" outlineLevel="1">
      <c r="A30" s="603"/>
      <c r="B30" s="787"/>
      <c r="C30" s="253" t="s">
        <v>282</v>
      </c>
      <c r="D30" s="254" t="s">
        <v>270</v>
      </c>
      <c r="E30" s="255"/>
      <c r="F30" s="255"/>
      <c r="G30" s="255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>
        <f>-Businessplan_prodej!$F$37*0.5</f>
        <v>0</v>
      </c>
      <c r="S30" s="256">
        <f>-Businessplan_prodej!$F$37*0.3</f>
        <v>0</v>
      </c>
      <c r="T30" s="256">
        <f>-Businessplan_prodej!$F$37*0.2</f>
        <v>0</v>
      </c>
      <c r="U30" s="255"/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66">
        <f t="shared" si="10"/>
        <v>0</v>
      </c>
      <c r="BZ30" s="771"/>
      <c r="CA30" s="226"/>
      <c r="CB30" s="252"/>
      <c r="CC30" s="771"/>
      <c r="CD30" s="226"/>
      <c r="CE30" s="226"/>
    </row>
    <row r="31" spans="1:83" ht="16" outlineLevel="1">
      <c r="A31" s="603"/>
      <c r="B31" s="787"/>
      <c r="C31" s="253" t="s">
        <v>283</v>
      </c>
      <c r="D31" s="254" t="s">
        <v>270</v>
      </c>
      <c r="E31" s="255"/>
      <c r="F31" s="255"/>
      <c r="G31" s="255"/>
      <c r="H31" s="256">
        <f>-2420</f>
        <v>-2420</v>
      </c>
      <c r="I31" s="256"/>
      <c r="J31" s="256"/>
      <c r="K31" s="256"/>
      <c r="L31" s="256"/>
      <c r="M31" s="256"/>
      <c r="N31" s="256">
        <f>-500-9107</f>
        <v>-9607</v>
      </c>
      <c r="O31" s="256"/>
      <c r="P31" s="256"/>
      <c r="Q31" s="256"/>
      <c r="R31" s="256"/>
      <c r="S31" s="256">
        <f>-Businessplan_prodej!$F$38/8</f>
        <v>0</v>
      </c>
      <c r="T31" s="256">
        <f>-Businessplan_prodej!$F$38/8</f>
        <v>0</v>
      </c>
      <c r="U31" s="256">
        <f>-Businessplan_prodej!$F$38/8</f>
        <v>0</v>
      </c>
      <c r="V31" s="256">
        <f>-Businessplan_prodej!$F$38/8</f>
        <v>0</v>
      </c>
      <c r="W31" s="256">
        <f>-Businessplan_prodej!$F$38/8</f>
        <v>0</v>
      </c>
      <c r="X31" s="256">
        <f>-Businessplan_prodej!$F$38/8</f>
        <v>0</v>
      </c>
      <c r="Y31" s="256">
        <f>-Businessplan_prodej!$F$38/8</f>
        <v>0</v>
      </c>
      <c r="Z31" s="256">
        <f>-Businessplan_prodej!$F$38/8</f>
        <v>0</v>
      </c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66">
        <f t="shared" si="10"/>
        <v>-12027</v>
      </c>
      <c r="BZ31" s="771"/>
      <c r="CA31" s="226"/>
      <c r="CB31" s="252"/>
      <c r="CC31" s="771"/>
      <c r="CD31" s="226"/>
      <c r="CE31" s="226"/>
    </row>
    <row r="32" spans="1:83" ht="16" outlineLevel="1">
      <c r="A32" s="603"/>
      <c r="B32" s="787"/>
      <c r="C32" s="267" t="s">
        <v>284</v>
      </c>
      <c r="D32" s="254" t="s">
        <v>270</v>
      </c>
      <c r="E32" s="255"/>
      <c r="F32" s="255"/>
      <c r="G32" s="255"/>
      <c r="H32" s="256"/>
      <c r="I32" s="256">
        <f>-1081909</f>
        <v>-1081909</v>
      </c>
      <c r="J32" s="256"/>
      <c r="K32" s="256"/>
      <c r="L32" s="256"/>
      <c r="M32" s="256"/>
      <c r="N32" s="256"/>
      <c r="O32" s="256">
        <f>-868500</f>
        <v>-868500</v>
      </c>
      <c r="P32" s="256"/>
      <c r="Q32" s="256"/>
      <c r="R32" s="256"/>
      <c r="S32" s="256"/>
      <c r="T32" s="256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66">
        <f t="shared" si="10"/>
        <v>-1950409</v>
      </c>
      <c r="BZ32" s="771"/>
      <c r="CA32" s="226"/>
      <c r="CB32" s="252"/>
      <c r="CC32" s="771"/>
      <c r="CD32" s="226"/>
      <c r="CE32" s="226"/>
    </row>
    <row r="33" spans="1:81" ht="16" outlineLevel="1">
      <c r="A33" s="603"/>
      <c r="B33" s="787"/>
      <c r="C33" s="253" t="s">
        <v>285</v>
      </c>
      <c r="D33" s="258" t="s">
        <v>270</v>
      </c>
      <c r="E33" s="255"/>
      <c r="F33" s="255"/>
      <c r="G33" s="255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>
        <f>-Businessplan_prodej!$F$41/8</f>
        <v>-292223.75</v>
      </c>
      <c r="T33" s="256">
        <f>-Businessplan_prodej!$F$41/8</f>
        <v>-292223.75</v>
      </c>
      <c r="U33" s="256">
        <f>-Businessplan_prodej!$F$41/8</f>
        <v>-292223.75</v>
      </c>
      <c r="V33" s="256">
        <f>-Businessplan_prodej!$F$41/8</f>
        <v>-292223.75</v>
      </c>
      <c r="W33" s="256">
        <f>-Businessplan_prodej!$F$41/8</f>
        <v>-292223.75</v>
      </c>
      <c r="X33" s="256">
        <f>-Businessplan_prodej!$F$41/8</f>
        <v>-292223.75</v>
      </c>
      <c r="Y33" s="256">
        <f>-Businessplan_prodej!$F$41/8</f>
        <v>-292223.75</v>
      </c>
      <c r="Z33" s="256">
        <f>-Businessplan_prodej!$F$41/8</f>
        <v>-292223.75</v>
      </c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68">
        <f t="shared" si="10"/>
        <v>-2337790</v>
      </c>
      <c r="BZ33" s="771"/>
      <c r="CA33" s="226"/>
      <c r="CB33" s="252"/>
      <c r="CC33" s="771"/>
    </row>
    <row r="34" spans="1:81" ht="16">
      <c r="A34" s="603"/>
      <c r="B34" s="787"/>
      <c r="C34" s="248" t="s">
        <v>286</v>
      </c>
      <c r="D34" s="249"/>
      <c r="E34" s="250">
        <f t="shared" ref="E34:BX34" si="11">SUM(E35:E36)</f>
        <v>0</v>
      </c>
      <c r="F34" s="250">
        <f t="shared" si="11"/>
        <v>0</v>
      </c>
      <c r="G34" s="250">
        <f t="shared" si="11"/>
        <v>0</v>
      </c>
      <c r="H34" s="250">
        <f t="shared" si="11"/>
        <v>0</v>
      </c>
      <c r="I34" s="250">
        <f t="shared" si="11"/>
        <v>0</v>
      </c>
      <c r="J34" s="250">
        <f t="shared" si="11"/>
        <v>0</v>
      </c>
      <c r="K34" s="250">
        <f t="shared" si="11"/>
        <v>0</v>
      </c>
      <c r="L34" s="250">
        <f t="shared" si="11"/>
        <v>0</v>
      </c>
      <c r="M34" s="250">
        <f t="shared" si="11"/>
        <v>0</v>
      </c>
      <c r="N34" s="250">
        <f t="shared" si="11"/>
        <v>0</v>
      </c>
      <c r="O34" s="250">
        <f t="shared" si="11"/>
        <v>0</v>
      </c>
      <c r="P34" s="250">
        <f t="shared" si="11"/>
        <v>0</v>
      </c>
      <c r="Q34" s="250">
        <f t="shared" si="11"/>
        <v>0</v>
      </c>
      <c r="R34" s="250">
        <f t="shared" si="11"/>
        <v>0</v>
      </c>
      <c r="S34" s="250">
        <f t="shared" si="11"/>
        <v>-577762.5</v>
      </c>
      <c r="T34" s="250">
        <f t="shared" si="11"/>
        <v>-577762.5</v>
      </c>
      <c r="U34" s="250">
        <f t="shared" si="11"/>
        <v>-577762.5</v>
      </c>
      <c r="V34" s="250">
        <f t="shared" si="11"/>
        <v>-577762.5</v>
      </c>
      <c r="W34" s="250">
        <f t="shared" si="11"/>
        <v>-577762.5</v>
      </c>
      <c r="X34" s="250">
        <f t="shared" si="11"/>
        <v>-577762.5</v>
      </c>
      <c r="Y34" s="250">
        <f t="shared" si="11"/>
        <v>-577762.5</v>
      </c>
      <c r="Z34" s="250">
        <f t="shared" si="11"/>
        <v>-577762.5</v>
      </c>
      <c r="AA34" s="250">
        <f t="shared" si="11"/>
        <v>0</v>
      </c>
      <c r="AB34" s="250">
        <f t="shared" si="11"/>
        <v>0</v>
      </c>
      <c r="AC34" s="250">
        <f t="shared" si="11"/>
        <v>0</v>
      </c>
      <c r="AD34" s="250">
        <f t="shared" si="11"/>
        <v>0</v>
      </c>
      <c r="AE34" s="250">
        <f t="shared" si="11"/>
        <v>0</v>
      </c>
      <c r="AF34" s="250">
        <f t="shared" si="11"/>
        <v>0</v>
      </c>
      <c r="AG34" s="250">
        <f t="shared" si="11"/>
        <v>0</v>
      </c>
      <c r="AH34" s="250">
        <f t="shared" si="11"/>
        <v>0</v>
      </c>
      <c r="AI34" s="250">
        <f t="shared" si="11"/>
        <v>0</v>
      </c>
      <c r="AJ34" s="250">
        <f t="shared" si="11"/>
        <v>0</v>
      </c>
      <c r="AK34" s="250">
        <f t="shared" si="11"/>
        <v>0</v>
      </c>
      <c r="AL34" s="250">
        <f t="shared" si="11"/>
        <v>0</v>
      </c>
      <c r="AM34" s="250">
        <f t="shared" si="11"/>
        <v>0</v>
      </c>
      <c r="AN34" s="250">
        <f t="shared" si="11"/>
        <v>0</v>
      </c>
      <c r="AO34" s="250">
        <f t="shared" si="11"/>
        <v>0</v>
      </c>
      <c r="AP34" s="250">
        <f t="shared" si="11"/>
        <v>0</v>
      </c>
      <c r="AQ34" s="250">
        <f t="shared" si="11"/>
        <v>0</v>
      </c>
      <c r="AR34" s="250">
        <f t="shared" si="11"/>
        <v>0</v>
      </c>
      <c r="AS34" s="250">
        <f t="shared" si="11"/>
        <v>0</v>
      </c>
      <c r="AT34" s="250">
        <f t="shared" si="11"/>
        <v>0</v>
      </c>
      <c r="AU34" s="250">
        <f t="shared" si="11"/>
        <v>0</v>
      </c>
      <c r="AV34" s="250">
        <f t="shared" si="11"/>
        <v>0</v>
      </c>
      <c r="AW34" s="250">
        <f t="shared" si="11"/>
        <v>0</v>
      </c>
      <c r="AX34" s="250">
        <f t="shared" si="11"/>
        <v>0</v>
      </c>
      <c r="AY34" s="250">
        <f t="shared" si="11"/>
        <v>0</v>
      </c>
      <c r="AZ34" s="250">
        <f t="shared" si="11"/>
        <v>0</v>
      </c>
      <c r="BA34" s="250">
        <f t="shared" si="11"/>
        <v>0</v>
      </c>
      <c r="BB34" s="250">
        <f t="shared" si="11"/>
        <v>0</v>
      </c>
      <c r="BC34" s="250">
        <f t="shared" si="11"/>
        <v>0</v>
      </c>
      <c r="BD34" s="250">
        <f t="shared" si="11"/>
        <v>0</v>
      </c>
      <c r="BE34" s="250">
        <f t="shared" si="11"/>
        <v>0</v>
      </c>
      <c r="BF34" s="250">
        <f t="shared" si="11"/>
        <v>0</v>
      </c>
      <c r="BG34" s="250">
        <f t="shared" si="11"/>
        <v>0</v>
      </c>
      <c r="BH34" s="250">
        <f t="shared" si="11"/>
        <v>0</v>
      </c>
      <c r="BI34" s="250">
        <f t="shared" si="11"/>
        <v>0</v>
      </c>
      <c r="BJ34" s="250">
        <f t="shared" si="11"/>
        <v>0</v>
      </c>
      <c r="BK34" s="250">
        <f t="shared" si="11"/>
        <v>0</v>
      </c>
      <c r="BL34" s="250">
        <f t="shared" si="11"/>
        <v>0</v>
      </c>
      <c r="BM34" s="250">
        <f t="shared" si="11"/>
        <v>0</v>
      </c>
      <c r="BN34" s="250">
        <f t="shared" si="11"/>
        <v>0</v>
      </c>
      <c r="BO34" s="250">
        <f t="shared" si="11"/>
        <v>0</v>
      </c>
      <c r="BP34" s="250">
        <f t="shared" si="11"/>
        <v>0</v>
      </c>
      <c r="BQ34" s="250">
        <f t="shared" si="11"/>
        <v>0</v>
      </c>
      <c r="BR34" s="250">
        <f t="shared" si="11"/>
        <v>0</v>
      </c>
      <c r="BS34" s="250">
        <f t="shared" si="11"/>
        <v>0</v>
      </c>
      <c r="BT34" s="250">
        <f t="shared" si="11"/>
        <v>0</v>
      </c>
      <c r="BU34" s="250">
        <f t="shared" si="11"/>
        <v>0</v>
      </c>
      <c r="BV34" s="250">
        <f t="shared" si="11"/>
        <v>0</v>
      </c>
      <c r="BW34" s="250">
        <f t="shared" si="11"/>
        <v>0</v>
      </c>
      <c r="BX34" s="250">
        <f t="shared" si="11"/>
        <v>0</v>
      </c>
      <c r="BY34" s="252">
        <f>SUM(BY35:BY36)</f>
        <v>-4622100</v>
      </c>
      <c r="BZ34" s="771"/>
      <c r="CA34" s="226"/>
      <c r="CB34" s="252"/>
      <c r="CC34" s="771"/>
    </row>
    <row r="35" spans="1:81" ht="16" outlineLevel="1">
      <c r="A35" s="603"/>
      <c r="B35" s="787"/>
      <c r="C35" s="253" t="s">
        <v>287</v>
      </c>
      <c r="D35" s="254" t="s">
        <v>270</v>
      </c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70">
        <f>-Businessplan_prodej!$C$51/8</f>
        <v>-577762.5</v>
      </c>
      <c r="T35" s="270">
        <f>-Businessplan_prodej!$C$51/8</f>
        <v>-577762.5</v>
      </c>
      <c r="U35" s="270">
        <f>-Businessplan_prodej!$C$51/8</f>
        <v>-577762.5</v>
      </c>
      <c r="V35" s="270">
        <f>-Businessplan_prodej!$C$51/8</f>
        <v>-577762.5</v>
      </c>
      <c r="W35" s="270">
        <f>-Businessplan_prodej!$C$51/8</f>
        <v>-577762.5</v>
      </c>
      <c r="X35" s="270">
        <f>-Businessplan_prodej!$C$51/8</f>
        <v>-577762.5</v>
      </c>
      <c r="Y35" s="270">
        <f>-Businessplan_prodej!$C$51/8</f>
        <v>-577762.5</v>
      </c>
      <c r="Z35" s="270">
        <f>-Businessplan_prodej!$C$51/8</f>
        <v>-577762.5</v>
      </c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64"/>
      <c r="BY35" s="265">
        <f t="shared" ref="BY35:BY36" si="12">SUM(E35:BX35)</f>
        <v>-4622100</v>
      </c>
      <c r="BZ35" s="771"/>
      <c r="CA35" s="226"/>
      <c r="CB35" s="252"/>
      <c r="CC35" s="771"/>
    </row>
    <row r="36" spans="1:81" ht="16" outlineLevel="1">
      <c r="A36" s="603"/>
      <c r="B36" s="787"/>
      <c r="C36" s="253" t="s">
        <v>288</v>
      </c>
      <c r="D36" s="258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70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68">
        <f t="shared" si="12"/>
        <v>0</v>
      </c>
      <c r="BZ36" s="771"/>
      <c r="CA36" s="226"/>
      <c r="CB36" s="252"/>
      <c r="CC36" s="771"/>
    </row>
    <row r="37" spans="1:81" ht="16">
      <c r="A37" s="603"/>
      <c r="B37" s="787"/>
      <c r="C37" s="248" t="s">
        <v>289</v>
      </c>
      <c r="D37" s="249"/>
      <c r="E37" s="250">
        <f t="shared" ref="E37:G37" si="13">SUM(E38:E48)</f>
        <v>0</v>
      </c>
      <c r="F37" s="250">
        <f t="shared" si="13"/>
        <v>0</v>
      </c>
      <c r="G37" s="250">
        <f t="shared" si="13"/>
        <v>0</v>
      </c>
      <c r="H37" s="250">
        <f t="shared" ref="H37:BM37" si="14">SUM(H38:H41,H42,H45,H46:H48)</f>
        <v>-113225.2</v>
      </c>
      <c r="I37" s="250">
        <f t="shared" si="14"/>
        <v>-414970</v>
      </c>
      <c r="J37" s="250">
        <f t="shared" si="14"/>
        <v>-1007845.81</v>
      </c>
      <c r="K37" s="250">
        <f t="shared" si="14"/>
        <v>-901583.60700000008</v>
      </c>
      <c r="L37" s="250">
        <f t="shared" si="14"/>
        <v>-332396.81</v>
      </c>
      <c r="M37" s="250">
        <f t="shared" si="14"/>
        <v>-666968.62</v>
      </c>
      <c r="N37" s="250">
        <f t="shared" si="14"/>
        <v>-25339</v>
      </c>
      <c r="O37" s="250">
        <f t="shared" si="14"/>
        <v>-662838.45333333337</v>
      </c>
      <c r="P37" s="250">
        <f t="shared" si="14"/>
        <v>-667994.82233333332</v>
      </c>
      <c r="Q37" s="250">
        <f t="shared" si="14"/>
        <v>-204413.10475000003</v>
      </c>
      <c r="R37" s="250">
        <f t="shared" si="14"/>
        <v>-226855.56475000002</v>
      </c>
      <c r="S37" s="250">
        <f t="shared" si="14"/>
        <v>-703085.66016249987</v>
      </c>
      <c r="T37" s="250">
        <f t="shared" si="14"/>
        <v>-274422.23975000001</v>
      </c>
      <c r="U37" s="250">
        <f t="shared" si="14"/>
        <v>-244975.31475000002</v>
      </c>
      <c r="V37" s="250">
        <f t="shared" si="14"/>
        <v>-244975.31475000002</v>
      </c>
      <c r="W37" s="250">
        <f t="shared" si="14"/>
        <v>-244975.31475000002</v>
      </c>
      <c r="X37" s="250">
        <f t="shared" si="14"/>
        <v>-244975.31475000002</v>
      </c>
      <c r="Y37" s="250">
        <f t="shared" si="14"/>
        <v>-244975.31475000002</v>
      </c>
      <c r="Z37" s="250">
        <f t="shared" si="14"/>
        <v>-832532.58516249992</v>
      </c>
      <c r="AA37" s="250">
        <f t="shared" si="14"/>
        <v>-14235</v>
      </c>
      <c r="AB37" s="250">
        <f t="shared" si="14"/>
        <v>0</v>
      </c>
      <c r="AC37" s="250">
        <f t="shared" si="14"/>
        <v>0</v>
      </c>
      <c r="AD37" s="250">
        <f t="shared" si="14"/>
        <v>0</v>
      </c>
      <c r="AE37" s="250">
        <f t="shared" si="14"/>
        <v>0</v>
      </c>
      <c r="AF37" s="250">
        <f t="shared" si="14"/>
        <v>0</v>
      </c>
      <c r="AG37" s="250">
        <f t="shared" si="14"/>
        <v>0</v>
      </c>
      <c r="AH37" s="250">
        <f t="shared" si="14"/>
        <v>0</v>
      </c>
      <c r="AI37" s="250">
        <f t="shared" si="14"/>
        <v>0</v>
      </c>
      <c r="AJ37" s="250">
        <f t="shared" si="14"/>
        <v>0</v>
      </c>
      <c r="AK37" s="250">
        <f t="shared" si="14"/>
        <v>0</v>
      </c>
      <c r="AL37" s="250">
        <f t="shared" si="14"/>
        <v>0</v>
      </c>
      <c r="AM37" s="250">
        <f t="shared" si="14"/>
        <v>0</v>
      </c>
      <c r="AN37" s="250">
        <f t="shared" si="14"/>
        <v>0</v>
      </c>
      <c r="AO37" s="250">
        <f t="shared" si="14"/>
        <v>0</v>
      </c>
      <c r="AP37" s="250">
        <f t="shared" si="14"/>
        <v>0</v>
      </c>
      <c r="AQ37" s="250">
        <f t="shared" si="14"/>
        <v>0</v>
      </c>
      <c r="AR37" s="250">
        <f t="shared" si="14"/>
        <v>0</v>
      </c>
      <c r="AS37" s="250">
        <f t="shared" si="14"/>
        <v>0</v>
      </c>
      <c r="AT37" s="250">
        <f t="shared" si="14"/>
        <v>0</v>
      </c>
      <c r="AU37" s="250">
        <f t="shared" si="14"/>
        <v>0</v>
      </c>
      <c r="AV37" s="250">
        <f t="shared" si="14"/>
        <v>0</v>
      </c>
      <c r="AW37" s="250">
        <f t="shared" si="14"/>
        <v>0</v>
      </c>
      <c r="AX37" s="250">
        <f t="shared" si="14"/>
        <v>0</v>
      </c>
      <c r="AY37" s="250">
        <f t="shared" si="14"/>
        <v>0</v>
      </c>
      <c r="AZ37" s="250">
        <f t="shared" si="14"/>
        <v>0</v>
      </c>
      <c r="BA37" s="250">
        <f t="shared" si="14"/>
        <v>0</v>
      </c>
      <c r="BB37" s="250">
        <f t="shared" si="14"/>
        <v>0</v>
      </c>
      <c r="BC37" s="250">
        <f t="shared" si="14"/>
        <v>0</v>
      </c>
      <c r="BD37" s="250">
        <f t="shared" si="14"/>
        <v>0</v>
      </c>
      <c r="BE37" s="250">
        <f t="shared" si="14"/>
        <v>0</v>
      </c>
      <c r="BF37" s="250">
        <f t="shared" si="14"/>
        <v>0</v>
      </c>
      <c r="BG37" s="250">
        <f t="shared" si="14"/>
        <v>0</v>
      </c>
      <c r="BH37" s="250">
        <f t="shared" si="14"/>
        <v>0</v>
      </c>
      <c r="BI37" s="250">
        <f t="shared" si="14"/>
        <v>0</v>
      </c>
      <c r="BJ37" s="250">
        <f t="shared" si="14"/>
        <v>0</v>
      </c>
      <c r="BK37" s="250">
        <f t="shared" si="14"/>
        <v>0</v>
      </c>
      <c r="BL37" s="250">
        <f t="shared" si="14"/>
        <v>0</v>
      </c>
      <c r="BM37" s="250">
        <f t="shared" si="14"/>
        <v>0</v>
      </c>
      <c r="BN37" s="250">
        <f t="shared" ref="BN37:BX37" si="15">SUM(BN38:BN48)</f>
        <v>0</v>
      </c>
      <c r="BO37" s="250">
        <f t="shared" si="15"/>
        <v>0</v>
      </c>
      <c r="BP37" s="250">
        <f t="shared" si="15"/>
        <v>0</v>
      </c>
      <c r="BQ37" s="250">
        <f t="shared" si="15"/>
        <v>0</v>
      </c>
      <c r="BR37" s="250">
        <f t="shared" si="15"/>
        <v>0</v>
      </c>
      <c r="BS37" s="250">
        <f t="shared" si="15"/>
        <v>0</v>
      </c>
      <c r="BT37" s="250">
        <f t="shared" si="15"/>
        <v>0</v>
      </c>
      <c r="BU37" s="250">
        <f t="shared" si="15"/>
        <v>0</v>
      </c>
      <c r="BV37" s="250">
        <f t="shared" si="15"/>
        <v>0</v>
      </c>
      <c r="BW37" s="250">
        <f t="shared" si="15"/>
        <v>0</v>
      </c>
      <c r="BX37" s="250">
        <f t="shared" si="15"/>
        <v>0</v>
      </c>
      <c r="BY37" s="252">
        <f>SUM(BY38:BY48)</f>
        <v>-8660128.0509916674</v>
      </c>
      <c r="BZ37" s="771"/>
      <c r="CA37" s="226"/>
      <c r="CB37" s="252"/>
      <c r="CC37" s="771"/>
    </row>
    <row r="38" spans="1:81" ht="16" outlineLevel="1">
      <c r="A38" s="603"/>
      <c r="B38" s="787"/>
      <c r="C38" s="267" t="s">
        <v>216</v>
      </c>
      <c r="D38" s="254" t="s">
        <v>270</v>
      </c>
      <c r="E38" s="259"/>
      <c r="F38" s="259"/>
      <c r="G38" s="259"/>
      <c r="H38" s="260"/>
      <c r="I38" s="260">
        <f>-400000</f>
        <v>-400000</v>
      </c>
      <c r="J38" s="260">
        <f>-661353-(23520+28160+192281+20000)*1.21</f>
        <v>-980745.81</v>
      </c>
      <c r="K38" s="260"/>
      <c r="L38" s="260">
        <f>-(23520+28160+192281+20000)*1.21</f>
        <v>-319392.81</v>
      </c>
      <c r="M38" s="260">
        <f>-(23520+28160+192281+20000)*1.21-(23520+28160+192281+20000)*1.21</f>
        <v>-638785.62</v>
      </c>
      <c r="N38" s="260"/>
      <c r="O38" s="260">
        <f>-(23520+28160+192281+20000)*1.21*2</f>
        <v>-638785.62</v>
      </c>
      <c r="P38" s="260">
        <f>-(23520+28160+192281+20000)*1.21</f>
        <v>-319392.81</v>
      </c>
      <c r="Q38" s="260">
        <f>-Businessplan_prodej!$F$78/10*1.21</f>
        <v>-91620.564750000005</v>
      </c>
      <c r="R38" s="260">
        <f>-Businessplan_prodej!$F$78/10*1.21</f>
        <v>-91620.564750000005</v>
      </c>
      <c r="S38" s="260">
        <f>-Businessplan_prodej!$F$78/10*1.21</f>
        <v>-91620.564750000005</v>
      </c>
      <c r="T38" s="260">
        <f>-Businessplan_prodej!$F$78/10*1.21</f>
        <v>-91620.564750000005</v>
      </c>
      <c r="U38" s="260">
        <f>-Businessplan_prodej!$F$78/10*1.21</f>
        <v>-91620.564750000005</v>
      </c>
      <c r="V38" s="260">
        <f>-Businessplan_prodej!$F$78/10*1.21</f>
        <v>-91620.564750000005</v>
      </c>
      <c r="W38" s="260">
        <f>-Businessplan_prodej!$F$78/10*1.21</f>
        <v>-91620.564750000005</v>
      </c>
      <c r="X38" s="260">
        <f>-Businessplan_prodej!$F$78/10*1.21</f>
        <v>-91620.564750000005</v>
      </c>
      <c r="Y38" s="260">
        <f>-Businessplan_prodej!$F$78/10*1.21</f>
        <v>-91620.564750000005</v>
      </c>
      <c r="Z38" s="260">
        <f>-Businessplan_prodej!$F$78/10*1.21</f>
        <v>-91620.564750000005</v>
      </c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71"/>
      <c r="BY38" s="265">
        <f t="shared" ref="BY38:BY48" si="16">SUM(E38:BX38)</f>
        <v>-4213308.3174999999</v>
      </c>
      <c r="BZ38" s="771"/>
      <c r="CA38" s="226"/>
      <c r="CB38" s="252"/>
      <c r="CC38" s="771"/>
    </row>
    <row r="39" spans="1:81" ht="16" outlineLevel="1">
      <c r="A39" s="603"/>
      <c r="B39" s="787"/>
      <c r="C39" s="267" t="s">
        <v>217</v>
      </c>
      <c r="D39" s="254" t="s">
        <v>270</v>
      </c>
      <c r="E39" s="259"/>
      <c r="F39" s="259"/>
      <c r="G39" s="259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>
        <f>-100000*1.21</f>
        <v>-121000</v>
      </c>
      <c r="S39" s="260">
        <f>-Businessplan_prodej!$F$82/8*1.21</f>
        <v>-139119.75</v>
      </c>
      <c r="T39" s="260">
        <f>-Businessplan_prodej!$F$82/8*1.21</f>
        <v>-139119.75</v>
      </c>
      <c r="U39" s="260">
        <f>-Businessplan_prodej!$F$82/8*1.21</f>
        <v>-139119.75</v>
      </c>
      <c r="V39" s="260">
        <f>-Businessplan_prodej!$F$82/8*1.21</f>
        <v>-139119.75</v>
      </c>
      <c r="W39" s="260">
        <f>-Businessplan_prodej!$F$82/8*1.21</f>
        <v>-139119.75</v>
      </c>
      <c r="X39" s="260">
        <f>-Businessplan_prodej!$F$82/8*1.21</f>
        <v>-139119.75</v>
      </c>
      <c r="Y39" s="260">
        <f>-Businessplan_prodej!$F$82/8*1.21</f>
        <v>-139119.75</v>
      </c>
      <c r="Z39" s="260">
        <f>-Businessplan_prodej!$F$82/8*1.21</f>
        <v>-139119.75</v>
      </c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66">
        <f t="shared" si="16"/>
        <v>-1233958</v>
      </c>
      <c r="BZ39" s="771"/>
      <c r="CA39" s="226"/>
      <c r="CB39" s="252"/>
      <c r="CC39" s="771"/>
    </row>
    <row r="40" spans="1:81" ht="16" outlineLevel="1">
      <c r="A40" s="603"/>
      <c r="B40" s="787"/>
      <c r="C40" s="267" t="s">
        <v>218</v>
      </c>
      <c r="D40" s="254" t="s">
        <v>270</v>
      </c>
      <c r="E40" s="259"/>
      <c r="F40" s="259"/>
      <c r="G40" s="259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72"/>
      <c r="T40" s="260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66">
        <f t="shared" si="16"/>
        <v>0</v>
      </c>
      <c r="BZ40" s="771"/>
      <c r="CA40" s="226"/>
      <c r="CB40" s="252"/>
      <c r="CC40" s="771"/>
    </row>
    <row r="41" spans="1:81" ht="16" outlineLevel="1">
      <c r="A41" s="603"/>
      <c r="B41" s="787"/>
      <c r="C41" s="267" t="s">
        <v>222</v>
      </c>
      <c r="D41" s="254" t="s">
        <v>270</v>
      </c>
      <c r="E41" s="259"/>
      <c r="F41" s="259"/>
      <c r="G41" s="259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72">
        <f>-Businessplan_prodej!$F$87/9*1.21</f>
        <v>0</v>
      </c>
      <c r="S41" s="272">
        <f>-Businessplan_prodej!$F$87/9*1.21</f>
        <v>0</v>
      </c>
      <c r="T41" s="272">
        <f>-Businessplan_prodej!$F$87/9*1.21</f>
        <v>0</v>
      </c>
      <c r="U41" s="272">
        <f>-Businessplan_prodej!$F$87/9*1.21</f>
        <v>0</v>
      </c>
      <c r="V41" s="272">
        <f>-Businessplan_prodej!$F$87/9*1.21</f>
        <v>0</v>
      </c>
      <c r="W41" s="272">
        <f>-Businessplan_prodej!$F$87/9*1.21</f>
        <v>0</v>
      </c>
      <c r="X41" s="272">
        <f>-Businessplan_prodej!$F$87/9*1.21</f>
        <v>0</v>
      </c>
      <c r="Y41" s="272">
        <f>-Businessplan_prodej!$F$87/9*1.21</f>
        <v>0</v>
      </c>
      <c r="Z41" s="272">
        <f>-Businessplan_prodej!$F$87/9*1.21</f>
        <v>0</v>
      </c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66">
        <f t="shared" si="16"/>
        <v>0</v>
      </c>
      <c r="BZ41" s="771"/>
      <c r="CA41" s="226"/>
      <c r="CB41" s="252"/>
      <c r="CC41" s="771"/>
    </row>
    <row r="42" spans="1:81" ht="16" outlineLevel="1">
      <c r="A42" s="603"/>
      <c r="B42" s="787"/>
      <c r="C42" s="253" t="s">
        <v>223</v>
      </c>
      <c r="D42" s="273" t="s">
        <v>270</v>
      </c>
      <c r="E42" s="274"/>
      <c r="F42" s="275"/>
      <c r="G42" s="275"/>
      <c r="H42" s="275">
        <f t="shared" ref="H42:AA42" si="17">SUM(H43:H44)</f>
        <v>-36364</v>
      </c>
      <c r="I42" s="275">
        <f t="shared" si="17"/>
        <v>-8194</v>
      </c>
      <c r="J42" s="275">
        <f t="shared" si="17"/>
        <v>-27000</v>
      </c>
      <c r="K42" s="275">
        <f t="shared" si="17"/>
        <v>-7113</v>
      </c>
      <c r="L42" s="275">
        <f t="shared" si="17"/>
        <v>-5262</v>
      </c>
      <c r="M42" s="275">
        <f t="shared" si="17"/>
        <v>-3613</v>
      </c>
      <c r="N42" s="275">
        <f t="shared" si="17"/>
        <v>-3999</v>
      </c>
      <c r="O42" s="275">
        <f t="shared" si="17"/>
        <v>-5000</v>
      </c>
      <c r="P42" s="275">
        <f t="shared" si="17"/>
        <v>-5000</v>
      </c>
      <c r="Q42" s="275">
        <f t="shared" si="17"/>
        <v>-85000</v>
      </c>
      <c r="R42" s="275">
        <f t="shared" si="17"/>
        <v>-10000</v>
      </c>
      <c r="S42" s="275">
        <f t="shared" si="17"/>
        <v>-10000</v>
      </c>
      <c r="T42" s="275">
        <f t="shared" si="17"/>
        <v>-10000</v>
      </c>
      <c r="U42" s="275">
        <f t="shared" si="17"/>
        <v>-10000</v>
      </c>
      <c r="V42" s="275">
        <f t="shared" si="17"/>
        <v>-10000</v>
      </c>
      <c r="W42" s="275">
        <f t="shared" si="17"/>
        <v>-10000</v>
      </c>
      <c r="X42" s="275">
        <f t="shared" si="17"/>
        <v>-10000</v>
      </c>
      <c r="Y42" s="275">
        <f t="shared" si="17"/>
        <v>-10000</v>
      </c>
      <c r="Z42" s="275">
        <f t="shared" si="17"/>
        <v>-110000</v>
      </c>
      <c r="AA42" s="275">
        <f t="shared" si="17"/>
        <v>-10000</v>
      </c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6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64"/>
      <c r="BY42" s="266">
        <f t="shared" si="16"/>
        <v>-386545</v>
      </c>
      <c r="BZ42" s="771"/>
      <c r="CA42" s="226"/>
      <c r="CB42" s="252"/>
      <c r="CC42" s="771"/>
    </row>
    <row r="43" spans="1:81" ht="16" outlineLevel="2">
      <c r="A43" s="603"/>
      <c r="B43" s="787"/>
      <c r="C43" s="277" t="s">
        <v>290</v>
      </c>
      <c r="D43" s="254" t="s">
        <v>270</v>
      </c>
      <c r="E43" s="255"/>
      <c r="F43" s="255"/>
      <c r="G43" s="255"/>
      <c r="H43" s="278">
        <f>-11364</f>
        <v>-11364</v>
      </c>
      <c r="I43" s="278">
        <f>-8194</f>
        <v>-8194</v>
      </c>
      <c r="J43" s="278"/>
      <c r="K43" s="278">
        <f>-3219-3894</f>
        <v>-7113</v>
      </c>
      <c r="L43" s="278">
        <f>-5262</f>
        <v>-5262</v>
      </c>
      <c r="M43" s="278">
        <f>-3613</f>
        <v>-3613</v>
      </c>
      <c r="N43" s="278">
        <f>-3999</f>
        <v>-3999</v>
      </c>
      <c r="O43" s="278">
        <f t="shared" ref="O43:P43" si="18">-5000</f>
        <v>-5000</v>
      </c>
      <c r="P43" s="278">
        <f t="shared" si="18"/>
        <v>-5000</v>
      </c>
      <c r="Q43" s="278">
        <f>-(Businessplan_prodej!$F$88-3000*25)/11</f>
        <v>-10000</v>
      </c>
      <c r="R43" s="278">
        <f>-(Businessplan_prodej!$F$88-3000*25)/11</f>
        <v>-10000</v>
      </c>
      <c r="S43" s="278">
        <f>-(Businessplan_prodej!$F$88-3000*25)/11</f>
        <v>-10000</v>
      </c>
      <c r="T43" s="278">
        <f>-(Businessplan_prodej!$F$88-3000*25)/11</f>
        <v>-10000</v>
      </c>
      <c r="U43" s="278">
        <f>-(Businessplan_prodej!$F$88-3000*25)/11</f>
        <v>-10000</v>
      </c>
      <c r="V43" s="278">
        <f>-(Businessplan_prodej!$F$88-3000*25)/11</f>
        <v>-10000</v>
      </c>
      <c r="W43" s="278">
        <f>-(Businessplan_prodej!$F$88-3000*25)/11</f>
        <v>-10000</v>
      </c>
      <c r="X43" s="278">
        <f>-(Businessplan_prodej!$F$88-3000*25)/11</f>
        <v>-10000</v>
      </c>
      <c r="Y43" s="278">
        <f>-(Businessplan_prodej!$F$88-3000*25)/11</f>
        <v>-10000</v>
      </c>
      <c r="Z43" s="278">
        <f>-(Businessplan_prodej!$F$88-3000*25)/11</f>
        <v>-10000</v>
      </c>
      <c r="AA43" s="278">
        <f>-(Businessplan_prodej!$F$88-3000*25)/11</f>
        <v>-10000</v>
      </c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66">
        <f t="shared" si="16"/>
        <v>-159545</v>
      </c>
      <c r="BZ43" s="771"/>
      <c r="CA43" s="226"/>
      <c r="CB43" s="252"/>
      <c r="CC43" s="771"/>
    </row>
    <row r="44" spans="1:81" ht="16" outlineLevel="2">
      <c r="A44" s="603"/>
      <c r="B44" s="787"/>
      <c r="C44" s="277" t="s">
        <v>291</v>
      </c>
      <c r="D44" s="254" t="s">
        <v>270</v>
      </c>
      <c r="E44" s="255"/>
      <c r="F44" s="255"/>
      <c r="G44" s="255"/>
      <c r="H44" s="278">
        <f>-25000</f>
        <v>-25000</v>
      </c>
      <c r="I44" s="278"/>
      <c r="J44" s="278">
        <f>-27000</f>
        <v>-27000</v>
      </c>
      <c r="K44" s="278"/>
      <c r="L44" s="278"/>
      <c r="M44" s="278"/>
      <c r="N44" s="278"/>
      <c r="O44" s="278"/>
      <c r="P44" s="278"/>
      <c r="Q44" s="278">
        <f>-3000*25</f>
        <v>-75000</v>
      </c>
      <c r="R44" s="278"/>
      <c r="S44" s="278"/>
      <c r="T44" s="278"/>
      <c r="U44" s="278"/>
      <c r="V44" s="278"/>
      <c r="W44" s="278"/>
      <c r="X44" s="278"/>
      <c r="Y44" s="278"/>
      <c r="Z44" s="278">
        <f>-50000*2</f>
        <v>-100000</v>
      </c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278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66">
        <f t="shared" si="16"/>
        <v>-227000</v>
      </c>
      <c r="BZ44" s="771"/>
      <c r="CA44" s="226"/>
      <c r="CB44" s="252"/>
      <c r="CC44" s="771"/>
    </row>
    <row r="45" spans="1:81" ht="16" outlineLevel="1">
      <c r="A45" s="603"/>
      <c r="B45" s="787"/>
      <c r="C45" s="253" t="s">
        <v>224</v>
      </c>
      <c r="D45" s="254" t="s">
        <v>270</v>
      </c>
      <c r="E45" s="255"/>
      <c r="F45" s="255"/>
      <c r="G45" s="255"/>
      <c r="H45" s="256">
        <f>-1000</f>
        <v>-1000</v>
      </c>
      <c r="I45" s="256"/>
      <c r="J45" s="256">
        <f>-100</f>
        <v>-100</v>
      </c>
      <c r="K45" s="256">
        <f>-7230</f>
        <v>-7230</v>
      </c>
      <c r="L45" s="256">
        <f>-1000-6742</f>
        <v>-7742</v>
      </c>
      <c r="M45" s="256">
        <f>-2000-20570-2000</f>
        <v>-24570</v>
      </c>
      <c r="N45" s="256">
        <f>-19360-1980</f>
        <v>-21340</v>
      </c>
      <c r="O45" s="256">
        <f>-Businessplan_prodej!$F$68/12*1.21</f>
        <v>-19052.833333333336</v>
      </c>
      <c r="P45" s="256">
        <f>-Businessplan_prodej!$F$68/12*1.21</f>
        <v>-19052.833333333336</v>
      </c>
      <c r="Q45" s="256">
        <f t="shared" ref="Q45:AA45" si="19">-3500*1.21</f>
        <v>-4235</v>
      </c>
      <c r="R45" s="256">
        <f t="shared" si="19"/>
        <v>-4235</v>
      </c>
      <c r="S45" s="256">
        <f t="shared" si="19"/>
        <v>-4235</v>
      </c>
      <c r="T45" s="256">
        <f t="shared" si="19"/>
        <v>-4235</v>
      </c>
      <c r="U45" s="256">
        <f t="shared" si="19"/>
        <v>-4235</v>
      </c>
      <c r="V45" s="256">
        <f t="shared" si="19"/>
        <v>-4235</v>
      </c>
      <c r="W45" s="256">
        <f t="shared" si="19"/>
        <v>-4235</v>
      </c>
      <c r="X45" s="256">
        <f t="shared" si="19"/>
        <v>-4235</v>
      </c>
      <c r="Y45" s="256">
        <f t="shared" si="19"/>
        <v>-4235</v>
      </c>
      <c r="Z45" s="256">
        <f t="shared" si="19"/>
        <v>-4235</v>
      </c>
      <c r="AA45" s="256">
        <f t="shared" si="19"/>
        <v>-4235</v>
      </c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66">
        <f t="shared" si="16"/>
        <v>-146672.66666666669</v>
      </c>
      <c r="BZ45" s="771"/>
      <c r="CA45" s="226"/>
      <c r="CB45" s="252"/>
      <c r="CC45" s="771"/>
    </row>
    <row r="46" spans="1:81" ht="14.25" customHeight="1" outlineLevel="1">
      <c r="A46" s="603"/>
      <c r="B46" s="787"/>
      <c r="C46" s="253" t="s">
        <v>225</v>
      </c>
      <c r="D46" s="254" t="s">
        <v>270</v>
      </c>
      <c r="E46" s="255"/>
      <c r="F46" s="255"/>
      <c r="G46" s="255"/>
      <c r="H46" s="256">
        <f>-10188.2-65673</f>
        <v>-75861.2</v>
      </c>
      <c r="I46" s="256">
        <f>-6776</f>
        <v>-6776</v>
      </c>
      <c r="J46" s="256"/>
      <c r="K46" s="256">
        <f>-4900.5</f>
        <v>-4900.5</v>
      </c>
      <c r="L46" s="256"/>
      <c r="M46" s="256"/>
      <c r="N46" s="256"/>
      <c r="O46" s="256"/>
      <c r="P46" s="256">
        <f>-Businessplan_prodej!$F$69*0.3*1.21-$K$46</f>
        <v>-30435.809999999998</v>
      </c>
      <c r="Q46" s="256">
        <f>-Businessplan_prodej!$F$69*0.2*1.21</f>
        <v>-23557.54</v>
      </c>
      <c r="R46" s="256"/>
      <c r="S46" s="256"/>
      <c r="T46" s="256">
        <f>-Businessplan_prodej!$F$69*0.25*1.21</f>
        <v>-29446.924999999999</v>
      </c>
      <c r="U46" s="255"/>
      <c r="V46" s="255"/>
      <c r="W46" s="255"/>
      <c r="X46" s="255"/>
      <c r="Y46" s="255"/>
      <c r="Z46" s="256">
        <f>-Businessplan_prodej!$F$69*0.25*1.21</f>
        <v>-29446.924999999999</v>
      </c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66">
        <f t="shared" si="16"/>
        <v>-200424.89999999997</v>
      </c>
      <c r="BZ46" s="771"/>
      <c r="CA46" s="226"/>
      <c r="CB46" s="252"/>
      <c r="CC46" s="771"/>
    </row>
    <row r="47" spans="1:81" ht="14.25" customHeight="1" outlineLevel="1">
      <c r="A47" s="603"/>
      <c r="B47" s="787"/>
      <c r="C47" s="253" t="s">
        <v>226</v>
      </c>
      <c r="D47" s="254" t="s">
        <v>270</v>
      </c>
      <c r="E47" s="255"/>
      <c r="F47" s="255"/>
      <c r="G47" s="255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>
        <f>-Businessplan_prodej!$F$91*0.2*1.21</f>
        <v>0</v>
      </c>
      <c r="T47" s="256"/>
      <c r="U47" s="255"/>
      <c r="V47" s="255"/>
      <c r="W47" s="256">
        <f>-Businessplan_prodej!$F$91*0.3*1.21</f>
        <v>0</v>
      </c>
      <c r="X47" s="255"/>
      <c r="Y47" s="256">
        <f>-Businessplan_prodej!$F$91*0.5*1.21</f>
        <v>0</v>
      </c>
      <c r="Z47" s="256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5"/>
      <c r="BS47" s="255"/>
      <c r="BT47" s="255"/>
      <c r="BU47" s="255"/>
      <c r="BV47" s="255"/>
      <c r="BW47" s="255"/>
      <c r="BX47" s="264"/>
      <c r="BY47" s="266">
        <f t="shared" si="16"/>
        <v>0</v>
      </c>
      <c r="BZ47" s="771"/>
      <c r="CA47" s="226"/>
      <c r="CB47" s="252"/>
      <c r="CC47" s="771"/>
    </row>
    <row r="48" spans="1:81" ht="14.25" customHeight="1" outlineLevel="1">
      <c r="A48" s="603"/>
      <c r="B48" s="787"/>
      <c r="C48" s="253" t="s">
        <v>227</v>
      </c>
      <c r="D48" s="258" t="s">
        <v>270</v>
      </c>
      <c r="E48" s="255"/>
      <c r="F48" s="255"/>
      <c r="G48" s="255"/>
      <c r="H48" s="256"/>
      <c r="I48" s="256"/>
      <c r="J48" s="256"/>
      <c r="K48" s="256">
        <f>-((17529*2*25.2+44407*2)*1.21)*75%</f>
        <v>-882340.10700000008</v>
      </c>
      <c r="L48" s="256"/>
      <c r="M48" s="256"/>
      <c r="N48" s="256"/>
      <c r="O48" s="256"/>
      <c r="P48" s="256">
        <f>-((17529*2*25.2+44407*2)*1.21)*25%</f>
        <v>-294113.36900000001</v>
      </c>
      <c r="Q48" s="256"/>
      <c r="R48" s="256"/>
      <c r="S48" s="256">
        <f>-Businessplan_prodej!$F$92*0.5*1.21</f>
        <v>-458110.34541249991</v>
      </c>
      <c r="T48" s="256"/>
      <c r="U48" s="255"/>
      <c r="V48" s="255"/>
      <c r="W48" s="255"/>
      <c r="X48" s="255"/>
      <c r="Y48" s="255"/>
      <c r="Z48" s="256">
        <f>-Businessplan_prodej!$F$92*0.5*1.21</f>
        <v>-458110.34541249991</v>
      </c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66">
        <f t="shared" si="16"/>
        <v>-2092674.166825</v>
      </c>
      <c r="BZ48" s="771"/>
      <c r="CA48" s="226"/>
      <c r="CB48" s="252"/>
      <c r="CC48" s="771"/>
    </row>
    <row r="49" spans="1:87" ht="16">
      <c r="A49" s="603"/>
      <c r="B49" s="787"/>
      <c r="C49" s="248" t="s">
        <v>292</v>
      </c>
      <c r="D49" s="249"/>
      <c r="E49" s="250">
        <f t="shared" ref="E49:BX49" si="20">SUM(E50:E54)</f>
        <v>0</v>
      </c>
      <c r="F49" s="250">
        <f t="shared" si="20"/>
        <v>0</v>
      </c>
      <c r="G49" s="250">
        <f t="shared" si="20"/>
        <v>0</v>
      </c>
      <c r="H49" s="250">
        <f t="shared" si="20"/>
        <v>-1442.155</v>
      </c>
      <c r="I49" s="250">
        <f t="shared" si="20"/>
        <v>-4792.1949999999997</v>
      </c>
      <c r="J49" s="250">
        <f t="shared" si="20"/>
        <v>-1444.855</v>
      </c>
      <c r="K49" s="250">
        <f t="shared" si="20"/>
        <v>-1290.27</v>
      </c>
      <c r="L49" s="250">
        <f t="shared" si="20"/>
        <v>-1842.35</v>
      </c>
      <c r="M49" s="250">
        <f t="shared" si="20"/>
        <v>-1088.2900000000002</v>
      </c>
      <c r="N49" s="250">
        <f t="shared" si="20"/>
        <v>-1290.27</v>
      </c>
      <c r="O49" s="250">
        <f t="shared" si="20"/>
        <v>-1290.27</v>
      </c>
      <c r="P49" s="250">
        <f t="shared" si="20"/>
        <v>-1290.27</v>
      </c>
      <c r="Q49" s="250">
        <f t="shared" si="20"/>
        <v>-1290.27</v>
      </c>
      <c r="R49" s="250">
        <f t="shared" si="20"/>
        <v>-1290.27</v>
      </c>
      <c r="S49" s="250">
        <f t="shared" si="20"/>
        <v>-1290.27</v>
      </c>
      <c r="T49" s="250">
        <f t="shared" si="20"/>
        <v>-1290.27</v>
      </c>
      <c r="U49" s="250">
        <f t="shared" si="20"/>
        <v>-1290.27</v>
      </c>
      <c r="V49" s="250">
        <f t="shared" si="20"/>
        <v>-1290.27</v>
      </c>
      <c r="W49" s="250">
        <f t="shared" si="20"/>
        <v>-1290.27</v>
      </c>
      <c r="X49" s="250">
        <f t="shared" si="20"/>
        <v>-1290.27</v>
      </c>
      <c r="Y49" s="250">
        <f t="shared" si="20"/>
        <v>-1290.27</v>
      </c>
      <c r="Z49" s="250">
        <f t="shared" si="20"/>
        <v>-1290.27</v>
      </c>
      <c r="AA49" s="250">
        <f t="shared" si="20"/>
        <v>-1290.27</v>
      </c>
      <c r="AB49" s="250">
        <f t="shared" si="20"/>
        <v>0</v>
      </c>
      <c r="AC49" s="250">
        <f t="shared" si="20"/>
        <v>0</v>
      </c>
      <c r="AD49" s="250">
        <f t="shared" si="20"/>
        <v>0</v>
      </c>
      <c r="AE49" s="250">
        <f t="shared" si="20"/>
        <v>0</v>
      </c>
      <c r="AF49" s="250">
        <f t="shared" si="20"/>
        <v>0</v>
      </c>
      <c r="AG49" s="250">
        <f t="shared" si="20"/>
        <v>0</v>
      </c>
      <c r="AH49" s="250">
        <f t="shared" si="20"/>
        <v>0</v>
      </c>
      <c r="AI49" s="250">
        <f t="shared" si="20"/>
        <v>0</v>
      </c>
      <c r="AJ49" s="250">
        <f t="shared" si="20"/>
        <v>0</v>
      </c>
      <c r="AK49" s="250">
        <f t="shared" si="20"/>
        <v>0</v>
      </c>
      <c r="AL49" s="250">
        <f t="shared" si="20"/>
        <v>0</v>
      </c>
      <c r="AM49" s="250">
        <f t="shared" si="20"/>
        <v>0</v>
      </c>
      <c r="AN49" s="250">
        <f t="shared" si="20"/>
        <v>0</v>
      </c>
      <c r="AO49" s="250">
        <f t="shared" si="20"/>
        <v>0</v>
      </c>
      <c r="AP49" s="250">
        <f t="shared" si="20"/>
        <v>0</v>
      </c>
      <c r="AQ49" s="250">
        <f t="shared" si="20"/>
        <v>0</v>
      </c>
      <c r="AR49" s="250">
        <f t="shared" si="20"/>
        <v>0</v>
      </c>
      <c r="AS49" s="250">
        <f t="shared" si="20"/>
        <v>0</v>
      </c>
      <c r="AT49" s="250">
        <f t="shared" si="20"/>
        <v>0</v>
      </c>
      <c r="AU49" s="250">
        <f t="shared" si="20"/>
        <v>0</v>
      </c>
      <c r="AV49" s="250">
        <f t="shared" si="20"/>
        <v>0</v>
      </c>
      <c r="AW49" s="250">
        <f t="shared" si="20"/>
        <v>0</v>
      </c>
      <c r="AX49" s="250">
        <f t="shared" si="20"/>
        <v>0</v>
      </c>
      <c r="AY49" s="250">
        <f t="shared" si="20"/>
        <v>0</v>
      </c>
      <c r="AZ49" s="250">
        <f t="shared" si="20"/>
        <v>0</v>
      </c>
      <c r="BA49" s="250">
        <f t="shared" si="20"/>
        <v>0</v>
      </c>
      <c r="BB49" s="250">
        <f t="shared" si="20"/>
        <v>0</v>
      </c>
      <c r="BC49" s="250">
        <f t="shared" si="20"/>
        <v>0</v>
      </c>
      <c r="BD49" s="250">
        <f t="shared" si="20"/>
        <v>0</v>
      </c>
      <c r="BE49" s="250">
        <f t="shared" si="20"/>
        <v>0</v>
      </c>
      <c r="BF49" s="250">
        <f t="shared" si="20"/>
        <v>0</v>
      </c>
      <c r="BG49" s="250">
        <f t="shared" si="20"/>
        <v>0</v>
      </c>
      <c r="BH49" s="250">
        <f t="shared" si="20"/>
        <v>0</v>
      </c>
      <c r="BI49" s="250">
        <f t="shared" si="20"/>
        <v>0</v>
      </c>
      <c r="BJ49" s="250">
        <f t="shared" si="20"/>
        <v>0</v>
      </c>
      <c r="BK49" s="250">
        <f t="shared" si="20"/>
        <v>0</v>
      </c>
      <c r="BL49" s="250">
        <f t="shared" si="20"/>
        <v>0</v>
      </c>
      <c r="BM49" s="250">
        <f t="shared" si="20"/>
        <v>0</v>
      </c>
      <c r="BN49" s="250">
        <f t="shared" si="20"/>
        <v>0</v>
      </c>
      <c r="BO49" s="250">
        <f t="shared" si="20"/>
        <v>0</v>
      </c>
      <c r="BP49" s="250">
        <f t="shared" si="20"/>
        <v>0</v>
      </c>
      <c r="BQ49" s="250">
        <f t="shared" si="20"/>
        <v>0</v>
      </c>
      <c r="BR49" s="250">
        <f t="shared" si="20"/>
        <v>0</v>
      </c>
      <c r="BS49" s="250">
        <f t="shared" si="20"/>
        <v>0</v>
      </c>
      <c r="BT49" s="250">
        <f t="shared" si="20"/>
        <v>0</v>
      </c>
      <c r="BU49" s="250">
        <f t="shared" si="20"/>
        <v>0</v>
      </c>
      <c r="BV49" s="250">
        <f t="shared" si="20"/>
        <v>0</v>
      </c>
      <c r="BW49" s="250">
        <f t="shared" si="20"/>
        <v>0</v>
      </c>
      <c r="BX49" s="250">
        <f t="shared" si="20"/>
        <v>0</v>
      </c>
      <c r="BY49" s="252">
        <f>SUM(BY50:BY54)</f>
        <v>-29963.895000000008</v>
      </c>
      <c r="BZ49" s="771"/>
      <c r="CA49" s="226"/>
      <c r="CB49" s="252"/>
      <c r="CC49" s="771"/>
      <c r="CD49" s="226"/>
      <c r="CE49" s="226"/>
      <c r="CF49" s="226"/>
      <c r="CG49" s="226"/>
      <c r="CH49" s="226"/>
      <c r="CI49" s="226"/>
    </row>
    <row r="50" spans="1:87" ht="16" outlineLevel="1">
      <c r="A50" s="603"/>
      <c r="B50" s="787"/>
      <c r="C50" s="253" t="s">
        <v>229</v>
      </c>
      <c r="D50" s="254" t="s">
        <v>270</v>
      </c>
      <c r="E50" s="255"/>
      <c r="F50" s="255"/>
      <c r="G50" s="255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64"/>
      <c r="BY50" s="265">
        <f t="shared" ref="BY50:BY54" si="21">SUM(E50:BX50)</f>
        <v>0</v>
      </c>
      <c r="BZ50" s="771"/>
      <c r="CA50" s="226"/>
      <c r="CB50" s="252"/>
      <c r="CC50" s="771"/>
      <c r="CD50" s="226"/>
      <c r="CE50" s="226"/>
      <c r="CF50" s="226"/>
      <c r="CG50" s="226"/>
      <c r="CH50" s="226"/>
      <c r="CI50" s="226"/>
    </row>
    <row r="51" spans="1:87" ht="16" outlineLevel="1">
      <c r="A51" s="603"/>
      <c r="B51" s="787"/>
      <c r="C51" s="253" t="s">
        <v>293</v>
      </c>
      <c r="D51" s="254" t="s">
        <v>270</v>
      </c>
      <c r="E51" s="255"/>
      <c r="F51" s="255"/>
      <c r="G51" s="255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65">
        <f t="shared" si="21"/>
        <v>0</v>
      </c>
      <c r="BZ51" s="771"/>
      <c r="CA51" s="226"/>
      <c r="CB51" s="252"/>
      <c r="CC51" s="771"/>
      <c r="CD51" s="226"/>
      <c r="CE51" s="226"/>
      <c r="CF51" s="226"/>
      <c r="CG51" s="226"/>
      <c r="CH51" s="226"/>
      <c r="CI51" s="226"/>
    </row>
    <row r="52" spans="1:87" ht="16" outlineLevel="1">
      <c r="A52" s="603"/>
      <c r="B52" s="787"/>
      <c r="C52" s="253" t="s">
        <v>294</v>
      </c>
      <c r="D52" s="254" t="s">
        <v>270</v>
      </c>
      <c r="E52" s="255"/>
      <c r="F52" s="255"/>
      <c r="G52" s="255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65">
        <f t="shared" si="21"/>
        <v>0</v>
      </c>
      <c r="BZ52" s="771"/>
      <c r="CA52" s="226"/>
      <c r="CB52" s="252"/>
      <c r="CC52" s="771"/>
      <c r="CD52" s="226"/>
      <c r="CE52" s="226"/>
      <c r="CF52" s="226"/>
      <c r="CG52" s="226"/>
      <c r="CH52" s="226"/>
      <c r="CI52" s="226"/>
    </row>
    <row r="53" spans="1:87" ht="16" outlineLevel="1">
      <c r="A53" s="603"/>
      <c r="B53" s="787"/>
      <c r="C53" s="253" t="s">
        <v>236</v>
      </c>
      <c r="D53" s="254" t="s">
        <v>270</v>
      </c>
      <c r="E53" s="255"/>
      <c r="F53" s="255"/>
      <c r="G53" s="255"/>
      <c r="H53" s="256">
        <f>-3-12-5-200-2-12-400-36-(0.02+0.09+0.21+17.06)*22-15.91*24.5</f>
        <v>-1442.155</v>
      </c>
      <c r="I53" s="256">
        <f>-6-5-200-12-400-24-2-16.19*24.5-17.57*22</f>
        <v>-1432.1949999999999</v>
      </c>
      <c r="J53" s="256">
        <f>-3-32-5-6-200-15-400-2-(0.01+0.08+15.98+0.2)*24.5-(0.02+0.09+0.21+17.1)*22</f>
        <v>-1444.855</v>
      </c>
      <c r="K53" s="256">
        <f>-20-12-3-200-2-400-10-2-10.9*24.5-17.01*22</f>
        <v>-1290.27</v>
      </c>
      <c r="L53" s="256">
        <f>-12-4-6-200-15-400-24-400-15.98*24.5-17.72*22</f>
        <v>-1842.35</v>
      </c>
      <c r="M53" s="256">
        <f>-40-200-15-2-12-400-10-2-400.11-(0.01+0.08+0.2+15.89)*25-(0.03-0.09-17.78-0.22)*22</f>
        <v>-1088.2900000000002</v>
      </c>
      <c r="N53" s="256">
        <f t="shared" ref="N53:AA53" si="22">-20-12-3-200-2-400-10-2-10.9*24.5-17.01*22</f>
        <v>-1290.27</v>
      </c>
      <c r="O53" s="256">
        <f t="shared" si="22"/>
        <v>-1290.27</v>
      </c>
      <c r="P53" s="256">
        <f t="shared" si="22"/>
        <v>-1290.27</v>
      </c>
      <c r="Q53" s="256">
        <f t="shared" si="22"/>
        <v>-1290.27</v>
      </c>
      <c r="R53" s="256">
        <f t="shared" si="22"/>
        <v>-1290.27</v>
      </c>
      <c r="S53" s="256">
        <f t="shared" si="22"/>
        <v>-1290.27</v>
      </c>
      <c r="T53" s="256">
        <f t="shared" si="22"/>
        <v>-1290.27</v>
      </c>
      <c r="U53" s="256">
        <f t="shared" si="22"/>
        <v>-1290.27</v>
      </c>
      <c r="V53" s="256">
        <f t="shared" si="22"/>
        <v>-1290.27</v>
      </c>
      <c r="W53" s="256">
        <f t="shared" si="22"/>
        <v>-1290.27</v>
      </c>
      <c r="X53" s="256">
        <f t="shared" si="22"/>
        <v>-1290.27</v>
      </c>
      <c r="Y53" s="256">
        <f t="shared" si="22"/>
        <v>-1290.27</v>
      </c>
      <c r="Z53" s="256">
        <f t="shared" si="22"/>
        <v>-1290.27</v>
      </c>
      <c r="AA53" s="256">
        <f t="shared" si="22"/>
        <v>-1290.27</v>
      </c>
      <c r="AB53" s="255"/>
      <c r="AC53" s="255"/>
      <c r="AD53" s="255"/>
      <c r="AE53" s="255"/>
      <c r="AF53" s="255"/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  <c r="AT53" s="255"/>
      <c r="AU53" s="255"/>
      <c r="AV53" s="255"/>
      <c r="AW53" s="255"/>
      <c r="AX53" s="255"/>
      <c r="AY53" s="255"/>
      <c r="AZ53" s="255"/>
      <c r="BA53" s="255"/>
      <c r="BB53" s="255"/>
      <c r="BC53" s="255"/>
      <c r="BD53" s="255"/>
      <c r="BE53" s="255"/>
      <c r="BF53" s="255"/>
      <c r="BG53" s="255"/>
      <c r="BH53" s="255"/>
      <c r="BI53" s="255"/>
      <c r="BJ53" s="255"/>
      <c r="BK53" s="255"/>
      <c r="BL53" s="255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64"/>
      <c r="BY53" s="266">
        <f t="shared" si="21"/>
        <v>-26603.895000000008</v>
      </c>
      <c r="BZ53" s="771"/>
      <c r="CA53" s="226"/>
      <c r="CB53" s="252"/>
      <c r="CC53" s="771"/>
      <c r="CD53" s="226"/>
      <c r="CE53" s="226"/>
      <c r="CF53" s="226"/>
      <c r="CG53" s="226"/>
      <c r="CH53" s="226"/>
      <c r="CI53" s="226"/>
    </row>
    <row r="54" spans="1:87" ht="16" outlineLevel="1">
      <c r="A54" s="603"/>
      <c r="B54" s="787"/>
      <c r="C54" s="253" t="s">
        <v>237</v>
      </c>
      <c r="D54" s="258" t="s">
        <v>270</v>
      </c>
      <c r="E54" s="259"/>
      <c r="F54" s="259"/>
      <c r="G54" s="255"/>
      <c r="H54" s="256"/>
      <c r="I54" s="256">
        <f>-3360</f>
        <v>-3360</v>
      </c>
      <c r="J54" s="256"/>
      <c r="K54" s="256"/>
      <c r="L54" s="256"/>
      <c r="M54" s="256"/>
      <c r="N54" s="256"/>
      <c r="O54" s="256"/>
      <c r="P54" s="256"/>
      <c r="Q54" s="256"/>
      <c r="R54" s="256"/>
      <c r="S54" s="256"/>
      <c r="T54" s="256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55"/>
      <c r="BN54" s="255"/>
      <c r="BO54" s="255"/>
      <c r="BP54" s="255"/>
      <c r="BQ54" s="255"/>
      <c r="BR54" s="255"/>
      <c r="BS54" s="255"/>
      <c r="BT54" s="255"/>
      <c r="BU54" s="255"/>
      <c r="BV54" s="255"/>
      <c r="BW54" s="255"/>
      <c r="BX54" s="264"/>
      <c r="BY54" s="268">
        <f t="shared" si="21"/>
        <v>-3360</v>
      </c>
      <c r="BZ54" s="771"/>
      <c r="CA54" s="226"/>
      <c r="CB54" s="252"/>
      <c r="CC54" s="771"/>
      <c r="CD54" s="226"/>
      <c r="CE54" s="226"/>
      <c r="CF54" s="226"/>
      <c r="CG54" s="226"/>
      <c r="CH54" s="226"/>
      <c r="CI54" s="226"/>
    </row>
    <row r="55" spans="1:87" ht="16">
      <c r="A55" s="603"/>
      <c r="B55" s="787"/>
      <c r="C55" s="248" t="s">
        <v>295</v>
      </c>
      <c r="D55" s="249"/>
      <c r="E55" s="250">
        <f t="shared" ref="E55:BX55" si="23">SUM(E56:E62)</f>
        <v>0</v>
      </c>
      <c r="F55" s="250">
        <f t="shared" si="23"/>
        <v>0</v>
      </c>
      <c r="G55" s="250">
        <f t="shared" si="23"/>
        <v>0</v>
      </c>
      <c r="H55" s="250">
        <f t="shared" si="23"/>
        <v>0</v>
      </c>
      <c r="I55" s="250">
        <f t="shared" si="23"/>
        <v>0</v>
      </c>
      <c r="J55" s="250">
        <f t="shared" si="23"/>
        <v>0</v>
      </c>
      <c r="K55" s="250">
        <f t="shared" si="23"/>
        <v>0</v>
      </c>
      <c r="L55" s="250">
        <f t="shared" si="23"/>
        <v>0</v>
      </c>
      <c r="M55" s="250">
        <f t="shared" si="23"/>
        <v>-48944.520000000004</v>
      </c>
      <c r="N55" s="250">
        <f t="shared" si="23"/>
        <v>0</v>
      </c>
      <c r="O55" s="250">
        <f t="shared" si="23"/>
        <v>-271833.33333333337</v>
      </c>
      <c r="P55" s="250">
        <f t="shared" si="23"/>
        <v>-280000.00000000006</v>
      </c>
      <c r="Q55" s="250">
        <f t="shared" si="23"/>
        <v>-267474.3691666667</v>
      </c>
      <c r="R55" s="250">
        <f t="shared" si="23"/>
        <v>-267474.3691666667</v>
      </c>
      <c r="S55" s="250">
        <f t="shared" si="23"/>
        <v>-267474.3691666667</v>
      </c>
      <c r="T55" s="250">
        <f t="shared" si="23"/>
        <v>-267474.3691666667</v>
      </c>
      <c r="U55" s="250">
        <f t="shared" si="23"/>
        <v>-267474.3691666667</v>
      </c>
      <c r="V55" s="250">
        <f t="shared" si="23"/>
        <v>-267474.3691666667</v>
      </c>
      <c r="W55" s="250">
        <f t="shared" si="23"/>
        <v>-267474.3691666667</v>
      </c>
      <c r="X55" s="250">
        <f t="shared" si="23"/>
        <v>-267474.3691666667</v>
      </c>
      <c r="Y55" s="250">
        <f t="shared" si="23"/>
        <v>-267474.3691666667</v>
      </c>
      <c r="Z55" s="250">
        <f t="shared" si="23"/>
        <v>-267474.3691666667</v>
      </c>
      <c r="AA55" s="250">
        <f t="shared" si="23"/>
        <v>-267474.3691666667</v>
      </c>
      <c r="AB55" s="250">
        <f t="shared" si="23"/>
        <v>0</v>
      </c>
      <c r="AC55" s="250">
        <f t="shared" si="23"/>
        <v>0</v>
      </c>
      <c r="AD55" s="250">
        <f t="shared" si="23"/>
        <v>0</v>
      </c>
      <c r="AE55" s="250">
        <f t="shared" si="23"/>
        <v>0</v>
      </c>
      <c r="AF55" s="250">
        <f t="shared" si="23"/>
        <v>0</v>
      </c>
      <c r="AG55" s="250">
        <f t="shared" si="23"/>
        <v>0</v>
      </c>
      <c r="AH55" s="250">
        <f t="shared" si="23"/>
        <v>0</v>
      </c>
      <c r="AI55" s="250">
        <f t="shared" si="23"/>
        <v>0</v>
      </c>
      <c r="AJ55" s="250">
        <f t="shared" si="23"/>
        <v>0</v>
      </c>
      <c r="AK55" s="250">
        <f t="shared" si="23"/>
        <v>0</v>
      </c>
      <c r="AL55" s="250">
        <f t="shared" si="23"/>
        <v>0</v>
      </c>
      <c r="AM55" s="250">
        <f t="shared" si="23"/>
        <v>0</v>
      </c>
      <c r="AN55" s="250">
        <f t="shared" si="23"/>
        <v>0</v>
      </c>
      <c r="AO55" s="250">
        <f t="shared" si="23"/>
        <v>0</v>
      </c>
      <c r="AP55" s="250">
        <f t="shared" si="23"/>
        <v>0</v>
      </c>
      <c r="AQ55" s="250">
        <f t="shared" si="23"/>
        <v>0</v>
      </c>
      <c r="AR55" s="250">
        <f t="shared" si="23"/>
        <v>0</v>
      </c>
      <c r="AS55" s="250">
        <f t="shared" si="23"/>
        <v>0</v>
      </c>
      <c r="AT55" s="250">
        <f t="shared" si="23"/>
        <v>0</v>
      </c>
      <c r="AU55" s="250">
        <f t="shared" si="23"/>
        <v>0</v>
      </c>
      <c r="AV55" s="250">
        <f t="shared" si="23"/>
        <v>0</v>
      </c>
      <c r="AW55" s="250">
        <f t="shared" si="23"/>
        <v>0</v>
      </c>
      <c r="AX55" s="250">
        <f t="shared" si="23"/>
        <v>0</v>
      </c>
      <c r="AY55" s="250">
        <f t="shared" si="23"/>
        <v>0</v>
      </c>
      <c r="AZ55" s="250">
        <f t="shared" si="23"/>
        <v>0</v>
      </c>
      <c r="BA55" s="250">
        <f t="shared" si="23"/>
        <v>0</v>
      </c>
      <c r="BB55" s="250">
        <f t="shared" si="23"/>
        <v>0</v>
      </c>
      <c r="BC55" s="250">
        <f t="shared" si="23"/>
        <v>0</v>
      </c>
      <c r="BD55" s="250">
        <f t="shared" si="23"/>
        <v>0</v>
      </c>
      <c r="BE55" s="250">
        <f t="shared" si="23"/>
        <v>0</v>
      </c>
      <c r="BF55" s="250">
        <f t="shared" si="23"/>
        <v>0</v>
      </c>
      <c r="BG55" s="250">
        <f t="shared" si="23"/>
        <v>0</v>
      </c>
      <c r="BH55" s="250">
        <f t="shared" si="23"/>
        <v>0</v>
      </c>
      <c r="BI55" s="250">
        <f t="shared" si="23"/>
        <v>0</v>
      </c>
      <c r="BJ55" s="250">
        <f t="shared" si="23"/>
        <v>0</v>
      </c>
      <c r="BK55" s="250">
        <f t="shared" si="23"/>
        <v>0</v>
      </c>
      <c r="BL55" s="250">
        <f t="shared" si="23"/>
        <v>0</v>
      </c>
      <c r="BM55" s="250">
        <f t="shared" si="23"/>
        <v>0</v>
      </c>
      <c r="BN55" s="250">
        <f t="shared" si="23"/>
        <v>0</v>
      </c>
      <c r="BO55" s="250">
        <f t="shared" si="23"/>
        <v>0</v>
      </c>
      <c r="BP55" s="250">
        <f t="shared" si="23"/>
        <v>0</v>
      </c>
      <c r="BQ55" s="250">
        <f t="shared" si="23"/>
        <v>0</v>
      </c>
      <c r="BR55" s="250">
        <f t="shared" si="23"/>
        <v>0</v>
      </c>
      <c r="BS55" s="250">
        <f t="shared" si="23"/>
        <v>0</v>
      </c>
      <c r="BT55" s="250">
        <f t="shared" si="23"/>
        <v>0</v>
      </c>
      <c r="BU55" s="250">
        <f t="shared" si="23"/>
        <v>0</v>
      </c>
      <c r="BV55" s="250">
        <f t="shared" si="23"/>
        <v>0</v>
      </c>
      <c r="BW55" s="250">
        <f t="shared" si="23"/>
        <v>0</v>
      </c>
      <c r="BX55" s="250">
        <f t="shared" si="23"/>
        <v>0</v>
      </c>
      <c r="BY55" s="252">
        <f>SUM(BY56:BY62)</f>
        <v>-3542995.9141666666</v>
      </c>
      <c r="BZ55" s="771"/>
      <c r="CA55" s="226"/>
      <c r="CB55" s="252"/>
      <c r="CC55" s="771"/>
      <c r="CD55" s="226"/>
      <c r="CE55" s="226"/>
      <c r="CF55" s="226"/>
      <c r="CG55" s="226"/>
      <c r="CH55" s="226"/>
      <c r="CI55" s="226"/>
    </row>
    <row r="56" spans="1:87" ht="16" outlineLevel="1">
      <c r="A56" s="603"/>
      <c r="B56" s="787"/>
      <c r="C56" s="253" t="s">
        <v>296</v>
      </c>
      <c r="D56" s="279">
        <v>0</v>
      </c>
      <c r="E56" s="255"/>
      <c r="F56" s="255"/>
      <c r="G56" s="255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80">
        <f t="shared" ref="BY56:BY62" si="24">SUM(E56:BX56)</f>
        <v>0</v>
      </c>
      <c r="BZ56" s="771"/>
      <c r="CA56" s="226"/>
      <c r="CB56" s="252"/>
      <c r="CC56" s="771"/>
      <c r="CD56" s="226"/>
      <c r="CE56" s="226"/>
      <c r="CF56" s="226"/>
      <c r="CG56" s="226"/>
      <c r="CH56" s="226"/>
      <c r="CI56" s="226"/>
    </row>
    <row r="57" spans="1:87" ht="16" outlineLevel="1">
      <c r="A57" s="603"/>
      <c r="B57" s="787"/>
      <c r="C57" s="253" t="s">
        <v>297</v>
      </c>
      <c r="D57" s="279">
        <v>0.11</v>
      </c>
      <c r="E57" s="255"/>
      <c r="F57" s="255"/>
      <c r="G57" s="255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80">
        <f t="shared" si="24"/>
        <v>0</v>
      </c>
      <c r="BZ57" s="771"/>
      <c r="CA57" s="226"/>
      <c r="CB57" s="252"/>
      <c r="CC57" s="771"/>
      <c r="CD57" s="226"/>
      <c r="CE57" s="226"/>
      <c r="CF57" s="226"/>
      <c r="CG57" s="226"/>
      <c r="CH57" s="226"/>
      <c r="CI57" s="226"/>
    </row>
    <row r="58" spans="1:87" ht="16" outlineLevel="1">
      <c r="A58" s="603"/>
      <c r="B58" s="787"/>
      <c r="C58" s="253" t="s">
        <v>298</v>
      </c>
      <c r="D58" s="279">
        <v>0.11</v>
      </c>
      <c r="E58" s="255"/>
      <c r="F58" s="255"/>
      <c r="G58" s="255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80">
        <f t="shared" si="24"/>
        <v>0</v>
      </c>
      <c r="BZ58" s="771"/>
      <c r="CA58" s="226"/>
      <c r="CB58" s="252"/>
      <c r="CC58" s="771"/>
      <c r="CD58" s="226"/>
      <c r="CE58" s="226"/>
      <c r="CF58" s="226"/>
      <c r="CG58" s="226"/>
      <c r="CH58" s="226"/>
      <c r="CI58" s="226"/>
    </row>
    <row r="59" spans="1:87" ht="16" outlineLevel="1">
      <c r="A59" s="603"/>
      <c r="B59" s="787"/>
      <c r="C59" s="253" t="s">
        <v>299</v>
      </c>
      <c r="D59" s="279">
        <v>0.105</v>
      </c>
      <c r="E59" s="255"/>
      <c r="F59" s="255"/>
      <c r="G59" s="255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81">
        <f t="shared" si="24"/>
        <v>0</v>
      </c>
      <c r="BZ59" s="771"/>
      <c r="CA59" s="226"/>
      <c r="CB59" s="252"/>
      <c r="CC59" s="771"/>
      <c r="CD59" s="226"/>
      <c r="CE59" s="226"/>
      <c r="CF59" s="226"/>
      <c r="CG59" s="226"/>
      <c r="CH59" s="226"/>
      <c r="CI59" s="226"/>
    </row>
    <row r="60" spans="1:87" ht="16" outlineLevel="1">
      <c r="A60" s="603"/>
      <c r="B60" s="787"/>
      <c r="C60" s="253" t="s">
        <v>300</v>
      </c>
      <c r="D60" s="279">
        <v>0.15</v>
      </c>
      <c r="E60" s="255"/>
      <c r="F60" s="255"/>
      <c r="G60" s="255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5"/>
      <c r="AL60" s="255"/>
      <c r="AM60" s="255"/>
      <c r="AN60" s="255"/>
      <c r="AO60" s="255"/>
      <c r="AP60" s="255"/>
      <c r="AQ60" s="255"/>
      <c r="AR60" s="255"/>
      <c r="AS60" s="255"/>
      <c r="AT60" s="255"/>
      <c r="AU60" s="255"/>
      <c r="AV60" s="255"/>
      <c r="AW60" s="255"/>
      <c r="AX60" s="255"/>
      <c r="AY60" s="255"/>
      <c r="AZ60" s="255"/>
      <c r="BA60" s="255"/>
      <c r="BB60" s="255"/>
      <c r="BC60" s="255"/>
      <c r="BD60" s="255"/>
      <c r="BE60" s="255"/>
      <c r="BF60" s="255"/>
      <c r="BG60" s="255"/>
      <c r="BH60" s="255"/>
      <c r="BI60" s="255"/>
      <c r="BJ60" s="255"/>
      <c r="BK60" s="255"/>
      <c r="BL60" s="255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82">
        <f t="shared" si="24"/>
        <v>0</v>
      </c>
      <c r="BZ60" s="771"/>
      <c r="CA60" s="226"/>
      <c r="CB60" s="252"/>
      <c r="CC60" s="771"/>
      <c r="CD60" s="226"/>
      <c r="CE60" s="226"/>
      <c r="CF60" s="226"/>
      <c r="CG60" s="226"/>
      <c r="CH60" s="226"/>
      <c r="CI60" s="226"/>
    </row>
    <row r="61" spans="1:87" ht="16" outlineLevel="1">
      <c r="A61" s="603"/>
      <c r="B61" s="787"/>
      <c r="C61" s="253" t="s">
        <v>622</v>
      </c>
      <c r="D61" s="283">
        <f>25%/12</f>
        <v>2.0833333333333332E-2</v>
      </c>
      <c r="E61" s="259"/>
      <c r="F61" s="259"/>
      <c r="G61" s="259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59"/>
      <c r="V61" s="259"/>
      <c r="W61" s="259"/>
      <c r="X61" s="259"/>
      <c r="Y61" s="259"/>
      <c r="Z61" s="259"/>
      <c r="AA61" s="259"/>
      <c r="AB61" s="259"/>
      <c r="AC61" s="259"/>
      <c r="AD61" s="259"/>
      <c r="AE61" s="259"/>
      <c r="AF61" s="259"/>
      <c r="AG61" s="259"/>
      <c r="AH61" s="259"/>
      <c r="AI61" s="259"/>
      <c r="AJ61" s="259"/>
      <c r="AK61" s="259"/>
      <c r="AL61" s="259"/>
      <c r="AM61" s="259"/>
      <c r="AN61" s="259"/>
      <c r="AO61" s="259"/>
      <c r="AP61" s="259"/>
      <c r="AQ61" s="259"/>
      <c r="AR61" s="259"/>
      <c r="AS61" s="259"/>
      <c r="AT61" s="259"/>
      <c r="AU61" s="259"/>
      <c r="AV61" s="259"/>
      <c r="AW61" s="259"/>
      <c r="AX61" s="259"/>
      <c r="AY61" s="259"/>
      <c r="AZ61" s="259"/>
      <c r="BA61" s="259"/>
      <c r="BB61" s="259"/>
      <c r="BC61" s="259"/>
      <c r="BD61" s="259"/>
      <c r="BE61" s="259"/>
      <c r="BF61" s="259"/>
      <c r="BG61" s="259"/>
      <c r="BH61" s="259"/>
      <c r="BI61" s="259"/>
      <c r="BJ61" s="259"/>
      <c r="BK61" s="259"/>
      <c r="BL61" s="255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82">
        <f t="shared" si="24"/>
        <v>0</v>
      </c>
      <c r="BZ61" s="771"/>
      <c r="CA61" s="226"/>
      <c r="CB61" s="252"/>
      <c r="CC61" s="771"/>
      <c r="CD61" s="226"/>
      <c r="CE61" s="226"/>
      <c r="CF61" s="226"/>
      <c r="CG61" s="226"/>
      <c r="CH61" s="226"/>
      <c r="CI61" s="226"/>
    </row>
    <row r="62" spans="1:87" ht="16" outlineLevel="1">
      <c r="A62" s="603"/>
      <c r="B62" s="787"/>
      <c r="C62" s="284" t="s">
        <v>302</v>
      </c>
      <c r="D62" s="285">
        <v>7.0000000000000007E-2</v>
      </c>
      <c r="E62" s="286"/>
      <c r="F62" s="286"/>
      <c r="G62" s="286"/>
      <c r="H62" s="287"/>
      <c r="I62" s="287"/>
      <c r="J62" s="287"/>
      <c r="K62" s="287"/>
      <c r="L62" s="287"/>
      <c r="M62" s="287">
        <f>-500-3013.89-17009.89-28420.74</f>
        <v>-48944.520000000004</v>
      </c>
      <c r="N62" s="459"/>
      <c r="O62" s="287">
        <v>-271833.33333333337</v>
      </c>
      <c r="P62" s="287">
        <v>-280000.00000000006</v>
      </c>
      <c r="Q62" s="287">
        <f t="shared" ref="Q62:AA62" si="25">-SUM($K$11:Q11)*$D$62/12</f>
        <v>-267474.3691666667</v>
      </c>
      <c r="R62" s="287">
        <f t="shared" si="25"/>
        <v>-267474.3691666667</v>
      </c>
      <c r="S62" s="287">
        <f t="shared" si="25"/>
        <v>-267474.3691666667</v>
      </c>
      <c r="T62" s="287">
        <f t="shared" si="25"/>
        <v>-267474.3691666667</v>
      </c>
      <c r="U62" s="287">
        <f t="shared" si="25"/>
        <v>-267474.3691666667</v>
      </c>
      <c r="V62" s="287">
        <f t="shared" si="25"/>
        <v>-267474.3691666667</v>
      </c>
      <c r="W62" s="287">
        <f t="shared" si="25"/>
        <v>-267474.3691666667</v>
      </c>
      <c r="X62" s="287">
        <f t="shared" si="25"/>
        <v>-267474.3691666667</v>
      </c>
      <c r="Y62" s="287">
        <f t="shared" si="25"/>
        <v>-267474.3691666667</v>
      </c>
      <c r="Z62" s="287">
        <f t="shared" si="25"/>
        <v>-267474.3691666667</v>
      </c>
      <c r="AA62" s="287">
        <f t="shared" si="25"/>
        <v>-267474.3691666667</v>
      </c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8"/>
      <c r="BN62" s="288"/>
      <c r="BO62" s="288"/>
      <c r="BP62" s="288"/>
      <c r="BQ62" s="288"/>
      <c r="BR62" s="288"/>
      <c r="BS62" s="288"/>
      <c r="BT62" s="288"/>
      <c r="BU62" s="288"/>
      <c r="BV62" s="288"/>
      <c r="BW62" s="288"/>
      <c r="BX62" s="288"/>
      <c r="BY62" s="289">
        <f t="shared" si="24"/>
        <v>-3542995.9141666666</v>
      </c>
      <c r="BZ62" s="771"/>
      <c r="CA62" s="226"/>
      <c r="CB62" s="252"/>
      <c r="CC62" s="771"/>
      <c r="CD62" s="226"/>
      <c r="CE62" s="226"/>
      <c r="CF62" s="226"/>
      <c r="CG62" s="226"/>
      <c r="CH62" s="226"/>
      <c r="CI62" s="226"/>
    </row>
    <row r="63" spans="1:87" ht="16">
      <c r="A63" s="603"/>
      <c r="B63" s="787"/>
      <c r="C63" s="248" t="s">
        <v>303</v>
      </c>
      <c r="D63" s="249"/>
      <c r="E63" s="250">
        <f t="shared" ref="E63:BY63" si="26">SUM(E64:E86)</f>
        <v>0</v>
      </c>
      <c r="F63" s="250">
        <f t="shared" si="26"/>
        <v>0</v>
      </c>
      <c r="G63" s="250">
        <f t="shared" si="26"/>
        <v>0</v>
      </c>
      <c r="H63" s="250">
        <f t="shared" si="26"/>
        <v>0</v>
      </c>
      <c r="I63" s="250">
        <f t="shared" si="26"/>
        <v>0</v>
      </c>
      <c r="J63" s="250">
        <f t="shared" si="26"/>
        <v>0</v>
      </c>
      <c r="K63" s="250">
        <f t="shared" si="26"/>
        <v>0</v>
      </c>
      <c r="L63" s="250">
        <f t="shared" si="26"/>
        <v>0</v>
      </c>
      <c r="M63" s="250">
        <f t="shared" si="26"/>
        <v>0</v>
      </c>
      <c r="N63" s="250">
        <f t="shared" si="26"/>
        <v>0</v>
      </c>
      <c r="O63" s="250">
        <f t="shared" si="26"/>
        <v>0</v>
      </c>
      <c r="P63" s="250">
        <f t="shared" si="26"/>
        <v>0</v>
      </c>
      <c r="Q63" s="250">
        <f t="shared" si="26"/>
        <v>0</v>
      </c>
      <c r="R63" s="250">
        <f t="shared" si="26"/>
        <v>0</v>
      </c>
      <c r="S63" s="250">
        <f t="shared" si="26"/>
        <v>0</v>
      </c>
      <c r="T63" s="250">
        <f t="shared" si="26"/>
        <v>0</v>
      </c>
      <c r="U63" s="250">
        <f t="shared" si="26"/>
        <v>0</v>
      </c>
      <c r="V63" s="250">
        <f t="shared" si="26"/>
        <v>0</v>
      </c>
      <c r="W63" s="250">
        <f t="shared" si="26"/>
        <v>0</v>
      </c>
      <c r="X63" s="250">
        <f t="shared" si="26"/>
        <v>0</v>
      </c>
      <c r="Y63" s="250">
        <f t="shared" si="26"/>
        <v>0</v>
      </c>
      <c r="Z63" s="250">
        <f t="shared" si="26"/>
        <v>0</v>
      </c>
      <c r="AA63" s="250">
        <f t="shared" si="26"/>
        <v>-97718.69249999999</v>
      </c>
      <c r="AB63" s="250">
        <f t="shared" si="26"/>
        <v>0</v>
      </c>
      <c r="AC63" s="250">
        <f t="shared" si="26"/>
        <v>0</v>
      </c>
      <c r="AD63" s="250">
        <f t="shared" si="26"/>
        <v>0</v>
      </c>
      <c r="AE63" s="250">
        <f t="shared" si="26"/>
        <v>0</v>
      </c>
      <c r="AF63" s="250">
        <f t="shared" si="26"/>
        <v>0</v>
      </c>
      <c r="AG63" s="250">
        <f t="shared" si="26"/>
        <v>0</v>
      </c>
      <c r="AH63" s="250">
        <f t="shared" si="26"/>
        <v>0</v>
      </c>
      <c r="AI63" s="250">
        <f t="shared" si="26"/>
        <v>0</v>
      </c>
      <c r="AJ63" s="250">
        <f t="shared" si="26"/>
        <v>0</v>
      </c>
      <c r="AK63" s="250">
        <f t="shared" si="26"/>
        <v>0</v>
      </c>
      <c r="AL63" s="250">
        <f t="shared" si="26"/>
        <v>0</v>
      </c>
      <c r="AM63" s="250">
        <f t="shared" si="26"/>
        <v>0</v>
      </c>
      <c r="AN63" s="250">
        <f t="shared" si="26"/>
        <v>0</v>
      </c>
      <c r="AO63" s="250">
        <f t="shared" si="26"/>
        <v>0</v>
      </c>
      <c r="AP63" s="250">
        <f t="shared" si="26"/>
        <v>0</v>
      </c>
      <c r="AQ63" s="250">
        <f t="shared" si="26"/>
        <v>0</v>
      </c>
      <c r="AR63" s="250">
        <f t="shared" si="26"/>
        <v>0</v>
      </c>
      <c r="AS63" s="250">
        <f t="shared" si="26"/>
        <v>0</v>
      </c>
      <c r="AT63" s="250">
        <f t="shared" si="26"/>
        <v>0</v>
      </c>
      <c r="AU63" s="250">
        <f t="shared" si="26"/>
        <v>0</v>
      </c>
      <c r="AV63" s="250">
        <f t="shared" si="26"/>
        <v>0</v>
      </c>
      <c r="AW63" s="250">
        <f t="shared" si="26"/>
        <v>0</v>
      </c>
      <c r="AX63" s="250">
        <f t="shared" si="26"/>
        <v>0</v>
      </c>
      <c r="AY63" s="250">
        <f t="shared" si="26"/>
        <v>0</v>
      </c>
      <c r="AZ63" s="250">
        <f t="shared" si="26"/>
        <v>0</v>
      </c>
      <c r="BA63" s="250">
        <f t="shared" si="26"/>
        <v>0</v>
      </c>
      <c r="BB63" s="250">
        <f t="shared" si="26"/>
        <v>0</v>
      </c>
      <c r="BC63" s="250">
        <f t="shared" si="26"/>
        <v>0</v>
      </c>
      <c r="BD63" s="250">
        <f t="shared" si="26"/>
        <v>0</v>
      </c>
      <c r="BE63" s="250">
        <f t="shared" si="26"/>
        <v>0</v>
      </c>
      <c r="BF63" s="250">
        <f t="shared" si="26"/>
        <v>0</v>
      </c>
      <c r="BG63" s="250">
        <f t="shared" si="26"/>
        <v>0</v>
      </c>
      <c r="BH63" s="250">
        <f t="shared" si="26"/>
        <v>0</v>
      </c>
      <c r="BI63" s="250">
        <f t="shared" si="26"/>
        <v>0</v>
      </c>
      <c r="BJ63" s="250">
        <f t="shared" si="26"/>
        <v>0</v>
      </c>
      <c r="BK63" s="250">
        <f t="shared" si="26"/>
        <v>0</v>
      </c>
      <c r="BL63" s="250">
        <f t="shared" si="26"/>
        <v>0</v>
      </c>
      <c r="BM63" s="250">
        <f t="shared" si="26"/>
        <v>0</v>
      </c>
      <c r="BN63" s="250">
        <f t="shared" si="26"/>
        <v>0</v>
      </c>
      <c r="BO63" s="250">
        <f t="shared" si="26"/>
        <v>0</v>
      </c>
      <c r="BP63" s="250">
        <f t="shared" si="26"/>
        <v>0</v>
      </c>
      <c r="BQ63" s="250">
        <f t="shared" si="26"/>
        <v>0</v>
      </c>
      <c r="BR63" s="250">
        <f t="shared" si="26"/>
        <v>0</v>
      </c>
      <c r="BS63" s="250">
        <f t="shared" si="26"/>
        <v>0</v>
      </c>
      <c r="BT63" s="250">
        <f t="shared" si="26"/>
        <v>0</v>
      </c>
      <c r="BU63" s="250">
        <f t="shared" si="26"/>
        <v>0</v>
      </c>
      <c r="BV63" s="250">
        <f t="shared" si="26"/>
        <v>0</v>
      </c>
      <c r="BW63" s="250">
        <f t="shared" si="26"/>
        <v>0</v>
      </c>
      <c r="BX63" s="250">
        <f t="shared" si="26"/>
        <v>0</v>
      </c>
      <c r="BY63" s="251">
        <f t="shared" si="26"/>
        <v>-97718.69249999999</v>
      </c>
      <c r="BZ63" s="771"/>
      <c r="CA63" s="226"/>
      <c r="CB63" s="252"/>
      <c r="CC63" s="771"/>
      <c r="CD63" s="226"/>
      <c r="CE63" s="226">
        <v>-165083.33333333334</v>
      </c>
      <c r="CF63" s="226">
        <v>-215833.33333333337</v>
      </c>
      <c r="CG63" s="226">
        <v>-271833.33333333337</v>
      </c>
      <c r="CH63" s="226">
        <v>-280000.00000000006</v>
      </c>
      <c r="CI63" s="226">
        <v>-165083.33333333334</v>
      </c>
    </row>
    <row r="64" spans="1:87" ht="16" outlineLevel="1">
      <c r="A64" s="603"/>
      <c r="B64" s="787"/>
      <c r="C64" s="290" t="s">
        <v>304</v>
      </c>
      <c r="D64" s="254" t="s">
        <v>270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  <c r="AN64" s="256"/>
      <c r="AO64" s="256"/>
      <c r="AP64" s="256"/>
      <c r="AQ64" s="256"/>
      <c r="AR64" s="256"/>
      <c r="AS64" s="256"/>
      <c r="AT64" s="256"/>
      <c r="AU64" s="256"/>
      <c r="AV64" s="256"/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91">
        <f t="shared" ref="BY64:BY86" si="27">SUM(E64:BX64)</f>
        <v>0</v>
      </c>
      <c r="BZ64" s="771"/>
      <c r="CA64" s="226"/>
      <c r="CB64" s="252"/>
      <c r="CC64" s="771"/>
      <c r="CD64" s="226"/>
      <c r="CE64" s="226"/>
      <c r="CF64" s="226"/>
      <c r="CG64" s="226"/>
      <c r="CH64" s="226"/>
      <c r="CI64" s="226"/>
    </row>
    <row r="65" spans="1:81" ht="16" outlineLevel="1">
      <c r="A65" s="603"/>
      <c r="B65" s="787"/>
      <c r="C65" s="292" t="s">
        <v>305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91">
        <f t="shared" si="27"/>
        <v>0</v>
      </c>
      <c r="BZ65" s="771"/>
      <c r="CA65" s="226"/>
      <c r="CB65" s="252"/>
      <c r="CC65" s="771"/>
    </row>
    <row r="66" spans="1:81" ht="16" outlineLevel="1">
      <c r="A66" s="603"/>
      <c r="B66" s="787"/>
      <c r="C66" s="292" t="s">
        <v>306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91">
        <f t="shared" si="27"/>
        <v>0</v>
      </c>
      <c r="BZ66" s="771"/>
      <c r="CA66" s="226"/>
      <c r="CB66" s="252"/>
      <c r="CC66" s="771"/>
    </row>
    <row r="67" spans="1:81" ht="16" outlineLevel="1">
      <c r="A67" s="603"/>
      <c r="B67" s="787"/>
      <c r="C67" s="292" t="s">
        <v>307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91">
        <f t="shared" si="27"/>
        <v>0</v>
      </c>
      <c r="BZ67" s="771"/>
      <c r="CA67" s="226"/>
      <c r="CB67" s="252"/>
      <c r="CC67" s="771"/>
    </row>
    <row r="68" spans="1:81" ht="16" outlineLevel="1">
      <c r="A68" s="603"/>
      <c r="B68" s="787"/>
      <c r="C68" s="292" t="s">
        <v>308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91">
        <f t="shared" si="27"/>
        <v>0</v>
      </c>
      <c r="BZ68" s="771"/>
      <c r="CA68" s="226"/>
      <c r="CB68" s="252"/>
      <c r="CC68" s="771"/>
    </row>
    <row r="69" spans="1:81" ht="16" outlineLevel="1">
      <c r="A69" s="603"/>
      <c r="B69" s="787"/>
      <c r="C69" s="292" t="s">
        <v>309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91">
        <f t="shared" si="27"/>
        <v>0</v>
      </c>
      <c r="BZ69" s="771"/>
      <c r="CA69" s="226"/>
      <c r="CB69" s="252"/>
      <c r="CC69" s="771"/>
    </row>
    <row r="70" spans="1:81" ht="16" outlineLevel="1">
      <c r="A70" s="603"/>
      <c r="B70" s="787"/>
      <c r="C70" s="292" t="s">
        <v>310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91">
        <f t="shared" si="27"/>
        <v>0</v>
      </c>
      <c r="BZ70" s="771"/>
      <c r="CA70" s="226"/>
      <c r="CB70" s="252"/>
      <c r="CC70" s="771"/>
    </row>
    <row r="71" spans="1:81" ht="16" outlineLevel="1">
      <c r="A71" s="603"/>
      <c r="B71" s="787"/>
      <c r="C71" s="292" t="s">
        <v>311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91">
        <f t="shared" si="27"/>
        <v>0</v>
      </c>
      <c r="BZ71" s="771"/>
      <c r="CA71" s="226"/>
      <c r="CB71" s="252"/>
      <c r="CC71" s="771"/>
    </row>
    <row r="72" spans="1:81" ht="16" outlineLevel="1">
      <c r="A72" s="603"/>
      <c r="B72" s="787"/>
      <c r="C72" s="292" t="s">
        <v>312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91">
        <f t="shared" si="27"/>
        <v>0</v>
      </c>
      <c r="BZ72" s="771"/>
      <c r="CA72" s="226"/>
      <c r="CB72" s="252"/>
      <c r="CC72" s="771"/>
    </row>
    <row r="73" spans="1:81" ht="16" outlineLevel="1">
      <c r="A73" s="603"/>
      <c r="B73" s="787"/>
      <c r="C73" s="292" t="s">
        <v>313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91">
        <f t="shared" si="27"/>
        <v>0</v>
      </c>
      <c r="BZ73" s="771"/>
      <c r="CA73" s="226"/>
      <c r="CB73" s="252"/>
      <c r="CC73" s="771"/>
    </row>
    <row r="74" spans="1:81" ht="16" outlineLevel="1">
      <c r="A74" s="603"/>
      <c r="B74" s="787"/>
      <c r="C74" s="292" t="s">
        <v>314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91">
        <f t="shared" si="27"/>
        <v>0</v>
      </c>
      <c r="BZ74" s="771"/>
      <c r="CA74" s="226"/>
      <c r="CB74" s="252"/>
      <c r="CC74" s="771"/>
    </row>
    <row r="75" spans="1:81" ht="16" outlineLevel="1">
      <c r="A75" s="603"/>
      <c r="B75" s="787"/>
      <c r="C75" s="292" t="s">
        <v>315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91">
        <f t="shared" si="27"/>
        <v>0</v>
      </c>
      <c r="BZ75" s="771"/>
      <c r="CA75" s="226"/>
      <c r="CB75" s="252"/>
      <c r="CC75" s="771"/>
    </row>
    <row r="76" spans="1:81" ht="16" outlineLevel="1">
      <c r="A76" s="603"/>
      <c r="B76" s="787"/>
      <c r="C76" s="292" t="s">
        <v>316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91">
        <f t="shared" si="27"/>
        <v>0</v>
      </c>
      <c r="BZ76" s="771"/>
      <c r="CA76" s="226"/>
      <c r="CB76" s="252"/>
      <c r="CC76" s="771"/>
    </row>
    <row r="77" spans="1:81" ht="16" outlineLevel="1">
      <c r="A77" s="603"/>
      <c r="B77" s="787"/>
      <c r="C77" s="292" t="s">
        <v>317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91">
        <f t="shared" si="27"/>
        <v>0</v>
      </c>
      <c r="BZ77" s="771"/>
      <c r="CA77" s="226"/>
      <c r="CB77" s="252"/>
      <c r="CC77" s="771"/>
    </row>
    <row r="78" spans="1:81" ht="16" outlineLevel="1">
      <c r="A78" s="603"/>
      <c r="B78" s="787"/>
      <c r="C78" s="292" t="s">
        <v>318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91">
        <f t="shared" si="27"/>
        <v>0</v>
      </c>
      <c r="BZ78" s="771"/>
      <c r="CA78" s="226"/>
      <c r="CB78" s="252"/>
      <c r="CC78" s="771"/>
    </row>
    <row r="79" spans="1:81" ht="16" outlineLevel="1">
      <c r="A79" s="603"/>
      <c r="B79" s="787"/>
      <c r="C79" s="292" t="s">
        <v>319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91">
        <f t="shared" si="27"/>
        <v>0</v>
      </c>
      <c r="BZ79" s="771"/>
      <c r="CA79" s="226"/>
      <c r="CB79" s="252"/>
      <c r="CC79" s="771"/>
    </row>
    <row r="80" spans="1:81" ht="16" outlineLevel="1">
      <c r="A80" s="603"/>
      <c r="B80" s="787"/>
      <c r="C80" s="292" t="s">
        <v>320</v>
      </c>
      <c r="D80" s="254" t="s">
        <v>270</v>
      </c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  <c r="BX80" s="256"/>
      <c r="BY80" s="291">
        <f t="shared" si="27"/>
        <v>0</v>
      </c>
      <c r="BZ80" s="771"/>
      <c r="CA80" s="226"/>
      <c r="CB80" s="252"/>
      <c r="CC80" s="771"/>
    </row>
    <row r="81" spans="1:81" ht="16" outlineLevel="1">
      <c r="A81" s="603"/>
      <c r="B81" s="787"/>
      <c r="C81" s="292" t="s">
        <v>321</v>
      </c>
      <c r="D81" s="254" t="s">
        <v>270</v>
      </c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/>
      <c r="AP81" s="256"/>
      <c r="AQ81" s="256"/>
      <c r="AR81" s="256"/>
      <c r="AS81" s="256"/>
      <c r="AT81" s="256"/>
      <c r="AU81" s="256"/>
      <c r="AV81" s="256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6"/>
      <c r="BR81" s="256"/>
      <c r="BS81" s="256"/>
      <c r="BT81" s="256"/>
      <c r="BU81" s="256"/>
      <c r="BV81" s="256"/>
      <c r="BW81" s="256"/>
      <c r="BX81" s="256"/>
      <c r="BY81" s="291">
        <f t="shared" si="27"/>
        <v>0</v>
      </c>
      <c r="BZ81" s="771"/>
      <c r="CA81" s="226"/>
      <c r="CB81" s="252"/>
      <c r="CC81" s="771"/>
    </row>
    <row r="82" spans="1:81" ht="16" outlineLevel="1">
      <c r="A82" s="603"/>
      <c r="B82" s="787"/>
      <c r="C82" s="293" t="s">
        <v>224</v>
      </c>
      <c r="D82" s="254" t="s">
        <v>270</v>
      </c>
      <c r="E82" s="256"/>
      <c r="F82" s="255"/>
      <c r="G82" s="255"/>
      <c r="H82" s="256"/>
      <c r="I82" s="256"/>
      <c r="J82" s="256"/>
      <c r="K82" s="256"/>
      <c r="L82" s="256"/>
      <c r="M82" s="256"/>
      <c r="N82" s="256"/>
      <c r="O82" s="256"/>
      <c r="P82" s="256"/>
      <c r="Q82" s="256">
        <f>-Businessplan_prodej!$N$19/12*1.21*Businessplan_prodej!$J$27</f>
        <v>0</v>
      </c>
      <c r="R82" s="256">
        <f>-Businessplan_prodej!$N$19/12*1.21*Businessplan_prodej!$J$27</f>
        <v>0</v>
      </c>
      <c r="S82" s="256">
        <f>-Businessplan_prodej!$N$19/12*1.21*Businessplan_prodej!$J$27</f>
        <v>0</v>
      </c>
      <c r="T82" s="256">
        <f>-Businessplan_prodej!$N$19/12*1.21*Businessplan_prodej!$J$27</f>
        <v>0</v>
      </c>
      <c r="U82" s="256">
        <f>-Businessplan_prodej!$N$19/12*1.21*Businessplan_prodej!$J$27</f>
        <v>0</v>
      </c>
      <c r="V82" s="256">
        <f>-Businessplan_prodej!$N$19/12*1.21*Businessplan_prodej!$J$27</f>
        <v>0</v>
      </c>
      <c r="W82" s="256">
        <f>-Businessplan_prodej!$N$19/12*1.21*Businessplan_prodej!$J$27</f>
        <v>0</v>
      </c>
      <c r="X82" s="256">
        <f>-Businessplan_prodej!$N$19/12*1.21*Businessplan_prodej!$J$27</f>
        <v>0</v>
      </c>
      <c r="Y82" s="256">
        <f>-Businessplan_prodej!$N$19/12*1.21*Businessplan_prodej!$J$27</f>
        <v>0</v>
      </c>
      <c r="Z82" s="256">
        <f>-Businessplan_prodej!$N$19/12*1.21*Businessplan_prodej!$J$27</f>
        <v>0</v>
      </c>
      <c r="AA82" s="256">
        <f>-Businessplan_prodej!$N$19/12*1.21</f>
        <v>-97718.69249999999</v>
      </c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91">
        <f t="shared" si="27"/>
        <v>-97718.69249999999</v>
      </c>
      <c r="BZ82" s="771"/>
      <c r="CA82" s="226"/>
      <c r="CB82" s="252"/>
      <c r="CC82" s="771"/>
    </row>
    <row r="83" spans="1:81" ht="16" outlineLevel="1">
      <c r="A83" s="603"/>
      <c r="B83" s="787"/>
      <c r="C83" s="292" t="s">
        <v>225</v>
      </c>
      <c r="D83" s="254" t="s">
        <v>270</v>
      </c>
      <c r="E83" s="256"/>
      <c r="F83" s="255"/>
      <c r="G83" s="255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5"/>
      <c r="V83" s="255"/>
      <c r="W83" s="255"/>
      <c r="X83" s="255"/>
      <c r="Y83" s="255"/>
      <c r="Z83" s="255"/>
      <c r="AA83" s="255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91">
        <f t="shared" si="27"/>
        <v>0</v>
      </c>
      <c r="BZ83" s="771"/>
      <c r="CA83" s="226"/>
      <c r="CB83" s="252"/>
      <c r="CC83" s="771"/>
    </row>
    <row r="84" spans="1:81" ht="16" outlineLevel="1">
      <c r="A84" s="603"/>
      <c r="B84" s="787"/>
      <c r="C84" s="292" t="s">
        <v>236</v>
      </c>
      <c r="D84" s="254" t="s">
        <v>270</v>
      </c>
      <c r="E84" s="256"/>
      <c r="F84" s="255"/>
      <c r="G84" s="255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5"/>
      <c r="V84" s="255"/>
      <c r="W84" s="255"/>
      <c r="X84" s="255"/>
      <c r="Y84" s="255"/>
      <c r="Z84" s="255"/>
      <c r="AA84" s="255"/>
      <c r="AB84" s="255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5"/>
      <c r="BD84" s="255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91">
        <f t="shared" si="27"/>
        <v>0</v>
      </c>
      <c r="BZ84" s="771"/>
      <c r="CA84" s="226"/>
      <c r="CB84" s="252"/>
      <c r="CC84" s="771"/>
    </row>
    <row r="85" spans="1:81" ht="16" outlineLevel="1">
      <c r="A85" s="603"/>
      <c r="B85" s="787"/>
      <c r="C85" s="292" t="s">
        <v>237</v>
      </c>
      <c r="D85" s="254" t="s">
        <v>270</v>
      </c>
      <c r="E85" s="256"/>
      <c r="F85" s="255"/>
      <c r="G85" s="255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P85" s="255"/>
      <c r="AQ85" s="255"/>
      <c r="AR85" s="255"/>
      <c r="AS85" s="255"/>
      <c r="AT85" s="255"/>
      <c r="AU85" s="255"/>
      <c r="AV85" s="255"/>
      <c r="AW85" s="255"/>
      <c r="AX85" s="255"/>
      <c r="AY85" s="255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91">
        <f t="shared" si="27"/>
        <v>0</v>
      </c>
      <c r="BZ85" s="771"/>
      <c r="CA85" s="226"/>
      <c r="CB85" s="252"/>
      <c r="CC85" s="771"/>
    </row>
    <row r="86" spans="1:81" ht="16" outlineLevel="1">
      <c r="A86" s="603"/>
      <c r="B86" s="787"/>
      <c r="C86" s="294" t="s">
        <v>322</v>
      </c>
      <c r="D86" s="258" t="s">
        <v>270</v>
      </c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5"/>
      <c r="BQ86" s="295"/>
      <c r="BR86" s="295"/>
      <c r="BS86" s="295"/>
      <c r="BT86" s="295"/>
      <c r="BU86" s="295"/>
      <c r="BV86" s="295"/>
      <c r="BW86" s="295"/>
      <c r="BX86" s="295"/>
      <c r="BY86" s="291">
        <f t="shared" si="27"/>
        <v>0</v>
      </c>
      <c r="BZ86" s="771"/>
      <c r="CA86" s="226"/>
      <c r="CB86" s="252"/>
      <c r="CC86" s="771"/>
    </row>
    <row r="87" spans="1:81" ht="16">
      <c r="A87" s="603"/>
      <c r="B87" s="787"/>
      <c r="C87" s="248" t="s">
        <v>323</v>
      </c>
      <c r="D87" s="249"/>
      <c r="E87" s="250">
        <f t="shared" ref="E87:BY87" si="28">SUM(E88:E89)</f>
        <v>0</v>
      </c>
      <c r="F87" s="250">
        <f t="shared" si="28"/>
        <v>0</v>
      </c>
      <c r="G87" s="250">
        <f t="shared" si="28"/>
        <v>0</v>
      </c>
      <c r="H87" s="250">
        <f t="shared" si="28"/>
        <v>0</v>
      </c>
      <c r="I87" s="250">
        <f t="shared" si="28"/>
        <v>0</v>
      </c>
      <c r="J87" s="250">
        <f t="shared" si="28"/>
        <v>0</v>
      </c>
      <c r="K87" s="250">
        <f t="shared" si="28"/>
        <v>0</v>
      </c>
      <c r="L87" s="250">
        <f t="shared" si="28"/>
        <v>0</v>
      </c>
      <c r="M87" s="250">
        <f t="shared" si="28"/>
        <v>0</v>
      </c>
      <c r="N87" s="250">
        <f t="shared" si="28"/>
        <v>0</v>
      </c>
      <c r="O87" s="250">
        <f t="shared" si="28"/>
        <v>0</v>
      </c>
      <c r="P87" s="250">
        <f t="shared" si="28"/>
        <v>0</v>
      </c>
      <c r="Q87" s="250">
        <f t="shared" si="28"/>
        <v>0</v>
      </c>
      <c r="R87" s="250">
        <f t="shared" si="28"/>
        <v>0</v>
      </c>
      <c r="S87" s="250">
        <f t="shared" si="28"/>
        <v>0</v>
      </c>
      <c r="T87" s="250">
        <f t="shared" si="28"/>
        <v>0</v>
      </c>
      <c r="U87" s="250">
        <f t="shared" si="28"/>
        <v>0</v>
      </c>
      <c r="V87" s="250">
        <f t="shared" si="28"/>
        <v>0</v>
      </c>
      <c r="W87" s="250">
        <f t="shared" si="28"/>
        <v>0</v>
      </c>
      <c r="X87" s="250">
        <f t="shared" si="28"/>
        <v>0</v>
      </c>
      <c r="Y87" s="250">
        <f t="shared" si="28"/>
        <v>0</v>
      </c>
      <c r="Z87" s="250">
        <f t="shared" si="28"/>
        <v>0</v>
      </c>
      <c r="AA87" s="250">
        <f t="shared" si="28"/>
        <v>0</v>
      </c>
      <c r="AB87" s="250">
        <f t="shared" si="28"/>
        <v>0</v>
      </c>
      <c r="AC87" s="250">
        <f t="shared" si="28"/>
        <v>0</v>
      </c>
      <c r="AD87" s="250">
        <f t="shared" si="28"/>
        <v>0</v>
      </c>
      <c r="AE87" s="250">
        <f t="shared" si="28"/>
        <v>0</v>
      </c>
      <c r="AF87" s="250">
        <f t="shared" si="28"/>
        <v>0</v>
      </c>
      <c r="AG87" s="250">
        <f t="shared" si="28"/>
        <v>0</v>
      </c>
      <c r="AH87" s="250">
        <f t="shared" si="28"/>
        <v>0</v>
      </c>
      <c r="AI87" s="250">
        <f t="shared" si="28"/>
        <v>0</v>
      </c>
      <c r="AJ87" s="250">
        <f t="shared" si="28"/>
        <v>0</v>
      </c>
      <c r="AK87" s="250">
        <f t="shared" si="28"/>
        <v>0</v>
      </c>
      <c r="AL87" s="250">
        <f t="shared" si="28"/>
        <v>0</v>
      </c>
      <c r="AM87" s="250">
        <f t="shared" si="28"/>
        <v>0</v>
      </c>
      <c r="AN87" s="250">
        <f t="shared" si="28"/>
        <v>0</v>
      </c>
      <c r="AO87" s="250">
        <f t="shared" si="28"/>
        <v>0</v>
      </c>
      <c r="AP87" s="250">
        <f t="shared" si="28"/>
        <v>0</v>
      </c>
      <c r="AQ87" s="250">
        <f t="shared" si="28"/>
        <v>0</v>
      </c>
      <c r="AR87" s="250">
        <f t="shared" si="28"/>
        <v>0</v>
      </c>
      <c r="AS87" s="250">
        <f t="shared" si="28"/>
        <v>0</v>
      </c>
      <c r="AT87" s="250">
        <f t="shared" si="28"/>
        <v>0</v>
      </c>
      <c r="AU87" s="250">
        <f t="shared" si="28"/>
        <v>0</v>
      </c>
      <c r="AV87" s="250">
        <f t="shared" si="28"/>
        <v>0</v>
      </c>
      <c r="AW87" s="250">
        <f t="shared" si="28"/>
        <v>0</v>
      </c>
      <c r="AX87" s="250">
        <f t="shared" si="28"/>
        <v>0</v>
      </c>
      <c r="AY87" s="250">
        <f t="shared" si="28"/>
        <v>0</v>
      </c>
      <c r="AZ87" s="250">
        <f t="shared" si="28"/>
        <v>0</v>
      </c>
      <c r="BA87" s="250">
        <f t="shared" si="28"/>
        <v>0</v>
      </c>
      <c r="BB87" s="250">
        <f t="shared" si="28"/>
        <v>0</v>
      </c>
      <c r="BC87" s="250">
        <f t="shared" si="28"/>
        <v>0</v>
      </c>
      <c r="BD87" s="250">
        <f t="shared" si="28"/>
        <v>0</v>
      </c>
      <c r="BE87" s="250">
        <f t="shared" si="28"/>
        <v>0</v>
      </c>
      <c r="BF87" s="250">
        <f t="shared" si="28"/>
        <v>0</v>
      </c>
      <c r="BG87" s="250">
        <f t="shared" si="28"/>
        <v>0</v>
      </c>
      <c r="BH87" s="250">
        <f t="shared" si="28"/>
        <v>0</v>
      </c>
      <c r="BI87" s="250">
        <f t="shared" si="28"/>
        <v>0</v>
      </c>
      <c r="BJ87" s="250">
        <f t="shared" si="28"/>
        <v>0</v>
      </c>
      <c r="BK87" s="250">
        <f t="shared" si="28"/>
        <v>0</v>
      </c>
      <c r="BL87" s="250">
        <f t="shared" si="28"/>
        <v>0</v>
      </c>
      <c r="BM87" s="250">
        <f t="shared" si="28"/>
        <v>0</v>
      </c>
      <c r="BN87" s="250">
        <f t="shared" si="28"/>
        <v>0</v>
      </c>
      <c r="BO87" s="250">
        <f t="shared" si="28"/>
        <v>0</v>
      </c>
      <c r="BP87" s="250">
        <f t="shared" si="28"/>
        <v>0</v>
      </c>
      <c r="BQ87" s="250">
        <f t="shared" si="28"/>
        <v>0</v>
      </c>
      <c r="BR87" s="250">
        <f t="shared" si="28"/>
        <v>0</v>
      </c>
      <c r="BS87" s="250">
        <f t="shared" si="28"/>
        <v>0</v>
      </c>
      <c r="BT87" s="250">
        <f t="shared" si="28"/>
        <v>0</v>
      </c>
      <c r="BU87" s="250">
        <f t="shared" si="28"/>
        <v>0</v>
      </c>
      <c r="BV87" s="250">
        <f t="shared" si="28"/>
        <v>0</v>
      </c>
      <c r="BW87" s="250">
        <f t="shared" si="28"/>
        <v>0</v>
      </c>
      <c r="BX87" s="250">
        <f t="shared" si="28"/>
        <v>0</v>
      </c>
      <c r="BY87" s="251">
        <f t="shared" si="28"/>
        <v>0</v>
      </c>
      <c r="BZ87" s="771"/>
      <c r="CA87" s="226"/>
      <c r="CB87" s="252"/>
      <c r="CC87" s="771"/>
    </row>
    <row r="88" spans="1:81" ht="16" outlineLevel="1">
      <c r="A88" s="603"/>
      <c r="B88" s="787"/>
      <c r="C88" s="290" t="s">
        <v>324</v>
      </c>
      <c r="D88" s="254" t="s">
        <v>270</v>
      </c>
      <c r="E88" s="260"/>
      <c r="F88" s="260"/>
      <c r="G88" s="260"/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0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60"/>
      <c r="AV88" s="260"/>
      <c r="AW88" s="260"/>
      <c r="AX88" s="260"/>
      <c r="AY88" s="260"/>
      <c r="AZ88" s="260"/>
      <c r="BA88" s="260"/>
      <c r="BB88" s="260"/>
      <c r="BC88" s="260"/>
      <c r="BD88" s="260"/>
      <c r="BE88" s="260"/>
      <c r="BF88" s="260"/>
      <c r="BG88" s="260"/>
      <c r="BH88" s="260"/>
      <c r="BI88" s="260"/>
      <c r="BJ88" s="260"/>
      <c r="BK88" s="260"/>
      <c r="BL88" s="260"/>
      <c r="BM88" s="260"/>
      <c r="BN88" s="260"/>
      <c r="BO88" s="260"/>
      <c r="BP88" s="260"/>
      <c r="BQ88" s="260"/>
      <c r="BR88" s="260"/>
      <c r="BS88" s="260"/>
      <c r="BT88" s="260"/>
      <c r="BU88" s="260"/>
      <c r="BV88" s="260"/>
      <c r="BW88" s="260"/>
      <c r="BX88" s="260"/>
      <c r="BY88" s="296">
        <f t="shared" ref="BY88:BY89" si="29">SUM(E88:BX88)</f>
        <v>0</v>
      </c>
      <c r="BZ88" s="771"/>
      <c r="CA88" s="226"/>
      <c r="CB88" s="252"/>
      <c r="CC88" s="771"/>
    </row>
    <row r="89" spans="1:81" ht="16" outlineLevel="1">
      <c r="A89" s="603"/>
      <c r="B89" s="787"/>
      <c r="C89" s="294" t="s">
        <v>325</v>
      </c>
      <c r="D89" s="258" t="s">
        <v>270</v>
      </c>
      <c r="E89" s="287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97">
        <f t="shared" si="29"/>
        <v>0</v>
      </c>
      <c r="BZ89" s="774"/>
      <c r="CA89" s="226"/>
      <c r="CB89" s="252"/>
      <c r="CC89" s="774"/>
    </row>
    <row r="90" spans="1:81">
      <c r="A90" s="603"/>
      <c r="B90" s="787"/>
      <c r="C90" s="248" t="s">
        <v>326</v>
      </c>
      <c r="D90" s="249"/>
      <c r="E90" s="250">
        <f t="shared" ref="E90:BX90" si="30">SUM(E91:E97)</f>
        <v>0</v>
      </c>
      <c r="F90" s="250">
        <f t="shared" si="30"/>
        <v>0</v>
      </c>
      <c r="G90" s="250">
        <f t="shared" si="30"/>
        <v>0</v>
      </c>
      <c r="H90" s="250">
        <f t="shared" si="30"/>
        <v>0</v>
      </c>
      <c r="I90" s="250">
        <f t="shared" si="30"/>
        <v>0</v>
      </c>
      <c r="J90" s="250">
        <f t="shared" si="30"/>
        <v>0</v>
      </c>
      <c r="K90" s="250">
        <f t="shared" si="30"/>
        <v>0</v>
      </c>
      <c r="L90" s="250">
        <f t="shared" si="30"/>
        <v>0</v>
      </c>
      <c r="M90" s="250">
        <f t="shared" si="30"/>
        <v>0</v>
      </c>
      <c r="N90" s="250">
        <f t="shared" si="30"/>
        <v>0</v>
      </c>
      <c r="O90" s="250">
        <f t="shared" si="30"/>
        <v>0</v>
      </c>
      <c r="P90" s="250">
        <f t="shared" si="30"/>
        <v>0</v>
      </c>
      <c r="Q90" s="250">
        <f t="shared" si="30"/>
        <v>-56603.322144095961</v>
      </c>
      <c r="R90" s="250">
        <f t="shared" si="30"/>
        <v>-56603.322144095961</v>
      </c>
      <c r="S90" s="250">
        <f t="shared" si="30"/>
        <v>-56603.322144095961</v>
      </c>
      <c r="T90" s="250">
        <f t="shared" si="30"/>
        <v>-56603.322144095961</v>
      </c>
      <c r="U90" s="250">
        <f t="shared" si="30"/>
        <v>-56603.322144095961</v>
      </c>
      <c r="V90" s="250">
        <f t="shared" si="30"/>
        <v>-56603.322144095961</v>
      </c>
      <c r="W90" s="250">
        <f t="shared" si="30"/>
        <v>-56603.322144095961</v>
      </c>
      <c r="X90" s="250">
        <f t="shared" si="30"/>
        <v>-56603.322144095961</v>
      </c>
      <c r="Y90" s="250">
        <f t="shared" si="30"/>
        <v>-56603.322144095961</v>
      </c>
      <c r="Z90" s="250">
        <f t="shared" si="30"/>
        <v>-56603.322144095961</v>
      </c>
      <c r="AA90" s="250">
        <f t="shared" si="30"/>
        <v>-69536717.778559044</v>
      </c>
      <c r="AB90" s="250">
        <f t="shared" si="30"/>
        <v>0</v>
      </c>
      <c r="AC90" s="250">
        <f t="shared" si="30"/>
        <v>0</v>
      </c>
      <c r="AD90" s="250">
        <f t="shared" si="30"/>
        <v>0</v>
      </c>
      <c r="AE90" s="250">
        <f t="shared" si="30"/>
        <v>0</v>
      </c>
      <c r="AF90" s="250">
        <f t="shared" si="30"/>
        <v>0</v>
      </c>
      <c r="AG90" s="250">
        <f t="shared" si="30"/>
        <v>0</v>
      </c>
      <c r="AH90" s="250">
        <f t="shared" si="30"/>
        <v>0</v>
      </c>
      <c r="AI90" s="250">
        <f t="shared" si="30"/>
        <v>0</v>
      </c>
      <c r="AJ90" s="250">
        <f t="shared" si="30"/>
        <v>0</v>
      </c>
      <c r="AK90" s="250">
        <f t="shared" si="30"/>
        <v>0</v>
      </c>
      <c r="AL90" s="250">
        <f t="shared" si="30"/>
        <v>0</v>
      </c>
      <c r="AM90" s="250">
        <f t="shared" si="30"/>
        <v>0</v>
      </c>
      <c r="AN90" s="250">
        <f t="shared" si="30"/>
        <v>0</v>
      </c>
      <c r="AO90" s="250">
        <f t="shared" si="30"/>
        <v>0</v>
      </c>
      <c r="AP90" s="250">
        <f t="shared" si="30"/>
        <v>0</v>
      </c>
      <c r="AQ90" s="250">
        <f t="shared" si="30"/>
        <v>0</v>
      </c>
      <c r="AR90" s="250">
        <f t="shared" si="30"/>
        <v>0</v>
      </c>
      <c r="AS90" s="250">
        <f t="shared" si="30"/>
        <v>0</v>
      </c>
      <c r="AT90" s="250">
        <f t="shared" si="30"/>
        <v>0</v>
      </c>
      <c r="AU90" s="250">
        <f t="shared" si="30"/>
        <v>0</v>
      </c>
      <c r="AV90" s="250">
        <f t="shared" si="30"/>
        <v>0</v>
      </c>
      <c r="AW90" s="250">
        <f t="shared" si="30"/>
        <v>0</v>
      </c>
      <c r="AX90" s="250">
        <f t="shared" si="30"/>
        <v>0</v>
      </c>
      <c r="AY90" s="250">
        <f t="shared" si="30"/>
        <v>0</v>
      </c>
      <c r="AZ90" s="250">
        <f t="shared" si="30"/>
        <v>0</v>
      </c>
      <c r="BA90" s="250">
        <f t="shared" si="30"/>
        <v>0</v>
      </c>
      <c r="BB90" s="250">
        <f t="shared" si="30"/>
        <v>0</v>
      </c>
      <c r="BC90" s="250">
        <f t="shared" si="30"/>
        <v>0</v>
      </c>
      <c r="BD90" s="250">
        <f t="shared" si="30"/>
        <v>0</v>
      </c>
      <c r="BE90" s="250">
        <f t="shared" si="30"/>
        <v>0</v>
      </c>
      <c r="BF90" s="250">
        <f t="shared" si="30"/>
        <v>0</v>
      </c>
      <c r="BG90" s="250">
        <f t="shared" si="30"/>
        <v>0</v>
      </c>
      <c r="BH90" s="250">
        <f t="shared" si="30"/>
        <v>0</v>
      </c>
      <c r="BI90" s="250">
        <f t="shared" si="30"/>
        <v>0</v>
      </c>
      <c r="BJ90" s="250">
        <f t="shared" si="30"/>
        <v>0</v>
      </c>
      <c r="BK90" s="250">
        <f t="shared" si="30"/>
        <v>0</v>
      </c>
      <c r="BL90" s="250">
        <f t="shared" si="30"/>
        <v>0</v>
      </c>
      <c r="BM90" s="250">
        <f t="shared" si="30"/>
        <v>0</v>
      </c>
      <c r="BN90" s="250">
        <f t="shared" si="30"/>
        <v>0</v>
      </c>
      <c r="BO90" s="250">
        <f t="shared" si="30"/>
        <v>0</v>
      </c>
      <c r="BP90" s="250">
        <f t="shared" si="30"/>
        <v>0</v>
      </c>
      <c r="BQ90" s="250">
        <f t="shared" si="30"/>
        <v>0</v>
      </c>
      <c r="BR90" s="250">
        <f t="shared" si="30"/>
        <v>0</v>
      </c>
      <c r="BS90" s="250">
        <f t="shared" si="30"/>
        <v>0</v>
      </c>
      <c r="BT90" s="250">
        <f t="shared" si="30"/>
        <v>0</v>
      </c>
      <c r="BU90" s="250">
        <f t="shared" si="30"/>
        <v>0</v>
      </c>
      <c r="BV90" s="250">
        <f t="shared" si="30"/>
        <v>0</v>
      </c>
      <c r="BW90" s="250">
        <f t="shared" si="30"/>
        <v>0</v>
      </c>
      <c r="BX90" s="250">
        <f t="shared" si="30"/>
        <v>0</v>
      </c>
      <c r="BY90" s="779">
        <f>BZ17</f>
        <v>-117860499.05265832</v>
      </c>
      <c r="BZ90" s="768"/>
      <c r="CA90" s="226"/>
      <c r="CB90" s="226"/>
      <c r="CC90" s="226"/>
    </row>
    <row r="91" spans="1:81" outlineLevel="1">
      <c r="A91" s="603"/>
      <c r="B91" s="787"/>
      <c r="C91" s="253" t="s">
        <v>327</v>
      </c>
      <c r="D91" s="254" t="s">
        <v>270</v>
      </c>
      <c r="E91" s="255"/>
      <c r="F91" s="255"/>
      <c r="G91" s="255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5"/>
      <c r="V91" s="255"/>
      <c r="W91" s="255"/>
      <c r="X91" s="255"/>
      <c r="Y91" s="255"/>
      <c r="Z91" s="255"/>
      <c r="AA91" s="256">
        <f>-BY5-SUM(L91:Z91)</f>
        <v>-16365002</v>
      </c>
      <c r="AB91" s="255"/>
      <c r="AC91" s="255"/>
      <c r="AD91" s="255"/>
      <c r="AE91" s="255"/>
      <c r="AF91" s="255"/>
      <c r="AG91" s="255"/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6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64"/>
      <c r="BY91" s="296">
        <f t="shared" ref="BY91:BY97" si="31">SUM(E91:BX91)</f>
        <v>-16365002</v>
      </c>
      <c r="BZ91" s="777">
        <f>SUM(BY91:BY97)</f>
        <v>-70102751</v>
      </c>
      <c r="CA91" s="226"/>
      <c r="CB91" s="226"/>
      <c r="CC91" s="226"/>
    </row>
    <row r="92" spans="1:81" outlineLevel="1">
      <c r="A92" s="253" t="s">
        <v>328</v>
      </c>
      <c r="B92" s="787"/>
      <c r="C92" s="253" t="s">
        <v>329</v>
      </c>
      <c r="D92" s="254" t="s">
        <v>270</v>
      </c>
      <c r="E92" s="255"/>
      <c r="F92" s="255"/>
      <c r="G92" s="255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5"/>
      <c r="V92" s="255"/>
      <c r="W92" s="255"/>
      <c r="X92" s="255"/>
      <c r="Y92" s="255"/>
      <c r="Z92" s="255"/>
      <c r="AA92" s="256">
        <f>-BY6-SUM(E92:Z92)</f>
        <v>-7885000</v>
      </c>
      <c r="AB92" s="255"/>
      <c r="AC92" s="255"/>
      <c r="AD92" s="255"/>
      <c r="AE92" s="255"/>
      <c r="AF92" s="255"/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91">
        <f t="shared" si="31"/>
        <v>-7885000</v>
      </c>
      <c r="BZ92" s="771"/>
      <c r="CA92" s="226"/>
      <c r="CB92" s="226"/>
      <c r="CC92" s="226"/>
    </row>
    <row r="93" spans="1:81" outlineLevel="1">
      <c r="A93" s="253" t="s">
        <v>330</v>
      </c>
      <c r="B93" s="787"/>
      <c r="C93" s="293" t="s">
        <v>328</v>
      </c>
      <c r="D93" s="254" t="s">
        <v>270</v>
      </c>
      <c r="E93" s="255"/>
      <c r="F93" s="255"/>
      <c r="G93" s="255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5"/>
      <c r="V93" s="255"/>
      <c r="W93" s="255"/>
      <c r="X93" s="255"/>
      <c r="Y93" s="255"/>
      <c r="Z93" s="255"/>
      <c r="AA93" s="256">
        <f>-CF7</f>
        <v>0</v>
      </c>
      <c r="AB93" s="255"/>
      <c r="AC93" s="255"/>
      <c r="AD93" s="255"/>
      <c r="AE93" s="255"/>
      <c r="AF93" s="255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5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91">
        <f t="shared" si="31"/>
        <v>0</v>
      </c>
      <c r="BZ93" s="771"/>
      <c r="CA93" s="226"/>
      <c r="CB93" s="226"/>
      <c r="CC93" s="226"/>
    </row>
    <row r="94" spans="1:81" outlineLevel="1">
      <c r="A94" s="603"/>
      <c r="B94" s="787"/>
      <c r="C94" s="292" t="s">
        <v>330</v>
      </c>
      <c r="D94" s="254" t="s">
        <v>270</v>
      </c>
      <c r="E94" s="255"/>
      <c r="F94" s="255"/>
      <c r="G94" s="255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91">
        <f t="shared" si="31"/>
        <v>0</v>
      </c>
      <c r="BZ94" s="771"/>
      <c r="CA94" s="226"/>
      <c r="CB94" s="226"/>
      <c r="CC94" s="226"/>
    </row>
    <row r="95" spans="1:81" outlineLevel="1">
      <c r="A95" s="603"/>
      <c r="B95" s="787"/>
      <c r="C95" s="253" t="s">
        <v>331</v>
      </c>
      <c r="D95" s="254" t="s">
        <v>270</v>
      </c>
      <c r="E95" s="255"/>
      <c r="F95" s="255"/>
      <c r="G95" s="255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6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64"/>
      <c r="BY95" s="291">
        <f t="shared" si="31"/>
        <v>0</v>
      </c>
      <c r="BZ95" s="771"/>
      <c r="CA95" s="226"/>
      <c r="CB95" s="226"/>
      <c r="CC95" s="226"/>
    </row>
    <row r="96" spans="1:81" outlineLevel="1">
      <c r="A96" s="603"/>
      <c r="B96" s="787"/>
      <c r="C96" s="253" t="s">
        <v>624</v>
      </c>
      <c r="D96" s="254" t="s">
        <v>270</v>
      </c>
      <c r="E96" s="255"/>
      <c r="F96" s="255"/>
      <c r="G96" s="255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5"/>
      <c r="V96" s="255"/>
      <c r="W96" s="255"/>
      <c r="X96" s="255"/>
      <c r="Y96" s="255"/>
      <c r="Z96" s="255"/>
      <c r="AA96" s="255"/>
      <c r="AB96" s="255"/>
      <c r="AC96" s="255"/>
      <c r="AD96" s="255"/>
      <c r="AE96" s="255"/>
      <c r="AF96" s="255"/>
      <c r="AG96" s="255"/>
      <c r="AH96" s="255"/>
      <c r="AI96" s="255"/>
      <c r="AJ96" s="255"/>
      <c r="AK96" s="255"/>
      <c r="AL96" s="255"/>
      <c r="AM96" s="255"/>
      <c r="AN96" s="255"/>
      <c r="AO96" s="255"/>
      <c r="AP96" s="255"/>
      <c r="AQ96" s="255"/>
      <c r="AR96" s="255"/>
      <c r="AS96" s="255"/>
      <c r="AT96" s="255"/>
      <c r="AU96" s="255"/>
      <c r="AV96" s="255"/>
      <c r="AW96" s="255"/>
      <c r="AX96" s="255"/>
      <c r="AY96" s="255"/>
      <c r="AZ96" s="255"/>
      <c r="BA96" s="255"/>
      <c r="BB96" s="255"/>
      <c r="BC96" s="256"/>
      <c r="BD96" s="255"/>
      <c r="BE96" s="255"/>
      <c r="BF96" s="255"/>
      <c r="BG96" s="255"/>
      <c r="BH96" s="255"/>
      <c r="BI96" s="255"/>
      <c r="BJ96" s="255"/>
      <c r="BK96" s="255"/>
      <c r="BL96" s="255"/>
      <c r="BM96" s="255"/>
      <c r="BN96" s="255"/>
      <c r="BO96" s="255"/>
      <c r="BP96" s="255"/>
      <c r="BQ96" s="255"/>
      <c r="BR96" s="255"/>
      <c r="BS96" s="255"/>
      <c r="BT96" s="255"/>
      <c r="BU96" s="255"/>
      <c r="BV96" s="255"/>
      <c r="BW96" s="255"/>
      <c r="BX96" s="264"/>
      <c r="BY96" s="298">
        <f t="shared" si="31"/>
        <v>0</v>
      </c>
      <c r="BZ96" s="771"/>
      <c r="CA96" s="226"/>
      <c r="CB96" s="226"/>
      <c r="CC96" s="226"/>
    </row>
    <row r="97" spans="1:81" outlineLevel="1">
      <c r="A97" s="603"/>
      <c r="B97" s="781"/>
      <c r="C97" s="284" t="s">
        <v>333</v>
      </c>
      <c r="D97" s="299" t="s">
        <v>270</v>
      </c>
      <c r="E97" s="286"/>
      <c r="F97" s="286"/>
      <c r="G97" s="286"/>
      <c r="H97" s="287"/>
      <c r="I97" s="287"/>
      <c r="J97" s="287"/>
      <c r="K97" s="287"/>
      <c r="L97" s="287"/>
      <c r="M97" s="287"/>
      <c r="N97" s="287"/>
      <c r="O97" s="287"/>
      <c r="P97" s="287"/>
      <c r="Q97" s="287">
        <f t="shared" ref="Q97:Z97" si="32">PMT($D$62/12,25*12,$BY11)-Q62</f>
        <v>-56603.322144095961</v>
      </c>
      <c r="R97" s="287">
        <f t="shared" si="32"/>
        <v>-56603.322144095961</v>
      </c>
      <c r="S97" s="287">
        <f t="shared" si="32"/>
        <v>-56603.322144095961</v>
      </c>
      <c r="T97" s="287">
        <f t="shared" si="32"/>
        <v>-56603.322144095961</v>
      </c>
      <c r="U97" s="287">
        <f t="shared" si="32"/>
        <v>-56603.322144095961</v>
      </c>
      <c r="V97" s="287">
        <f t="shared" si="32"/>
        <v>-56603.322144095961</v>
      </c>
      <c r="W97" s="287">
        <f t="shared" si="32"/>
        <v>-56603.322144095961</v>
      </c>
      <c r="X97" s="287">
        <f t="shared" si="32"/>
        <v>-56603.322144095961</v>
      </c>
      <c r="Y97" s="287">
        <f t="shared" si="32"/>
        <v>-56603.322144095961</v>
      </c>
      <c r="Z97" s="287">
        <f t="shared" si="32"/>
        <v>-56603.322144095961</v>
      </c>
      <c r="AA97" s="287">
        <f>-$BY$11-SUM($P$97:Z97)</f>
        <v>-45286715.778559044</v>
      </c>
      <c r="AB97" s="286"/>
      <c r="AC97" s="286"/>
      <c r="AD97" s="286"/>
      <c r="AE97" s="286"/>
      <c r="AF97" s="286"/>
      <c r="AG97" s="286"/>
      <c r="AH97" s="286"/>
      <c r="AI97" s="286"/>
      <c r="AJ97" s="286"/>
      <c r="AK97" s="286"/>
      <c r="AL97" s="286"/>
      <c r="AM97" s="286"/>
      <c r="AN97" s="286"/>
      <c r="AO97" s="286"/>
      <c r="AP97" s="286"/>
      <c r="AQ97" s="286"/>
      <c r="AR97" s="286"/>
      <c r="AS97" s="286"/>
      <c r="AT97" s="286"/>
      <c r="AU97" s="286"/>
      <c r="AV97" s="286"/>
      <c r="AW97" s="286"/>
      <c r="AX97" s="286"/>
      <c r="AY97" s="286"/>
      <c r="AZ97" s="286"/>
      <c r="BA97" s="286"/>
      <c r="BB97" s="286"/>
      <c r="BC97" s="286"/>
      <c r="BD97" s="286"/>
      <c r="BE97" s="286"/>
      <c r="BF97" s="286"/>
      <c r="BG97" s="286"/>
      <c r="BH97" s="286"/>
      <c r="BI97" s="286"/>
      <c r="BJ97" s="286"/>
      <c r="BK97" s="286"/>
      <c r="BL97" s="286"/>
      <c r="BM97" s="286"/>
      <c r="BN97" s="286"/>
      <c r="BO97" s="286"/>
      <c r="BP97" s="286"/>
      <c r="BQ97" s="286"/>
      <c r="BR97" s="286"/>
      <c r="BS97" s="286"/>
      <c r="BT97" s="286"/>
      <c r="BU97" s="286"/>
      <c r="BV97" s="286"/>
      <c r="BW97" s="286"/>
      <c r="BX97" s="288"/>
      <c r="BY97" s="268">
        <f t="shared" si="31"/>
        <v>-45852749</v>
      </c>
      <c r="BZ97" s="776"/>
      <c r="CA97" s="226"/>
      <c r="CB97" s="226"/>
      <c r="CC97" s="226"/>
    </row>
    <row r="98" spans="1:81" ht="16">
      <c r="A98" s="603"/>
      <c r="B98" s="790" t="s">
        <v>334</v>
      </c>
      <c r="C98" s="774"/>
      <c r="D98" s="300" t="s">
        <v>270</v>
      </c>
      <c r="E98" s="301">
        <f t="shared" ref="E98:BX98" si="33">(E17+E23+E26+E34+E37+E49+E55+E63+E87+E90)</f>
        <v>0</v>
      </c>
      <c r="F98" s="301">
        <f t="shared" si="33"/>
        <v>0</v>
      </c>
      <c r="G98" s="301">
        <f t="shared" si="33"/>
        <v>0</v>
      </c>
      <c r="H98" s="301">
        <f t="shared" si="33"/>
        <v>-10737799.354999999</v>
      </c>
      <c r="I98" s="301">
        <f t="shared" si="33"/>
        <v>-1867696.1950000001</v>
      </c>
      <c r="J98" s="301">
        <f t="shared" si="33"/>
        <v>-1817623.665</v>
      </c>
      <c r="K98" s="301">
        <f t="shared" si="33"/>
        <v>-902873.87700000009</v>
      </c>
      <c r="L98" s="301">
        <f t="shared" si="33"/>
        <v>-5038194.0799999991</v>
      </c>
      <c r="M98" s="301">
        <f t="shared" si="33"/>
        <v>-10761502.959999999</v>
      </c>
      <c r="N98" s="301">
        <f t="shared" si="33"/>
        <v>-19945709.84</v>
      </c>
      <c r="O98" s="301">
        <f t="shared" si="33"/>
        <v>-13049646.056666667</v>
      </c>
      <c r="P98" s="301">
        <f t="shared" si="33"/>
        <v>-15694067.572333332</v>
      </c>
      <c r="Q98" s="301">
        <f t="shared" si="33"/>
        <v>-923031.06606076285</v>
      </c>
      <c r="R98" s="301">
        <f t="shared" si="33"/>
        <v>-945473.52606076282</v>
      </c>
      <c r="S98" s="301">
        <f t="shared" si="33"/>
        <v>-4820677.3714732621</v>
      </c>
      <c r="T98" s="301">
        <f t="shared" si="33"/>
        <v>-4392013.9510607626</v>
      </c>
      <c r="U98" s="301">
        <f t="shared" si="33"/>
        <v>-4362567.0260607628</v>
      </c>
      <c r="V98" s="301">
        <f t="shared" si="33"/>
        <v>-4362567.0260607628</v>
      </c>
      <c r="W98" s="301">
        <f t="shared" si="33"/>
        <v>-4362567.0260607628</v>
      </c>
      <c r="X98" s="301">
        <f t="shared" si="33"/>
        <v>-4362567.0260607628</v>
      </c>
      <c r="Y98" s="301">
        <f t="shared" si="33"/>
        <v>-4362567.0260607628</v>
      </c>
      <c r="Z98" s="301">
        <f t="shared" si="33"/>
        <v>-4950124.2964732619</v>
      </c>
      <c r="AA98" s="301">
        <f t="shared" si="33"/>
        <v>-69917436.110225707</v>
      </c>
      <c r="AB98" s="301">
        <f t="shared" si="33"/>
        <v>0</v>
      </c>
      <c r="AC98" s="301">
        <f t="shared" si="33"/>
        <v>0</v>
      </c>
      <c r="AD98" s="301">
        <f t="shared" si="33"/>
        <v>0</v>
      </c>
      <c r="AE98" s="301">
        <f t="shared" si="33"/>
        <v>0</v>
      </c>
      <c r="AF98" s="301">
        <f t="shared" si="33"/>
        <v>0</v>
      </c>
      <c r="AG98" s="301">
        <f t="shared" si="33"/>
        <v>0</v>
      </c>
      <c r="AH98" s="301">
        <f t="shared" si="33"/>
        <v>0</v>
      </c>
      <c r="AI98" s="301">
        <f t="shared" si="33"/>
        <v>0</v>
      </c>
      <c r="AJ98" s="301">
        <f t="shared" si="33"/>
        <v>0</v>
      </c>
      <c r="AK98" s="301">
        <f t="shared" si="33"/>
        <v>0</v>
      </c>
      <c r="AL98" s="301">
        <f t="shared" si="33"/>
        <v>0</v>
      </c>
      <c r="AM98" s="301">
        <f t="shared" si="33"/>
        <v>0</v>
      </c>
      <c r="AN98" s="301">
        <f t="shared" si="33"/>
        <v>0</v>
      </c>
      <c r="AO98" s="301">
        <f t="shared" si="33"/>
        <v>0</v>
      </c>
      <c r="AP98" s="301">
        <f t="shared" si="33"/>
        <v>0</v>
      </c>
      <c r="AQ98" s="301">
        <f t="shared" si="33"/>
        <v>0</v>
      </c>
      <c r="AR98" s="301">
        <f t="shared" si="33"/>
        <v>0</v>
      </c>
      <c r="AS98" s="301">
        <f t="shared" si="33"/>
        <v>0</v>
      </c>
      <c r="AT98" s="301">
        <f t="shared" si="33"/>
        <v>0</v>
      </c>
      <c r="AU98" s="301">
        <f t="shared" si="33"/>
        <v>0</v>
      </c>
      <c r="AV98" s="301">
        <f t="shared" si="33"/>
        <v>0</v>
      </c>
      <c r="AW98" s="301">
        <f t="shared" si="33"/>
        <v>0</v>
      </c>
      <c r="AX98" s="301">
        <f t="shared" si="33"/>
        <v>0</v>
      </c>
      <c r="AY98" s="301">
        <f t="shared" si="33"/>
        <v>0</v>
      </c>
      <c r="AZ98" s="301">
        <f t="shared" si="33"/>
        <v>0</v>
      </c>
      <c r="BA98" s="301">
        <f t="shared" si="33"/>
        <v>0</v>
      </c>
      <c r="BB98" s="301">
        <f t="shared" si="33"/>
        <v>0</v>
      </c>
      <c r="BC98" s="301">
        <f t="shared" si="33"/>
        <v>0</v>
      </c>
      <c r="BD98" s="301">
        <f t="shared" si="33"/>
        <v>0</v>
      </c>
      <c r="BE98" s="301">
        <f t="shared" si="33"/>
        <v>0</v>
      </c>
      <c r="BF98" s="301">
        <f t="shared" si="33"/>
        <v>0</v>
      </c>
      <c r="BG98" s="301">
        <f t="shared" si="33"/>
        <v>0</v>
      </c>
      <c r="BH98" s="301">
        <f t="shared" si="33"/>
        <v>0</v>
      </c>
      <c r="BI98" s="301">
        <f t="shared" si="33"/>
        <v>0</v>
      </c>
      <c r="BJ98" s="301">
        <f t="shared" si="33"/>
        <v>0</v>
      </c>
      <c r="BK98" s="301">
        <f t="shared" si="33"/>
        <v>0</v>
      </c>
      <c r="BL98" s="301">
        <f t="shared" si="33"/>
        <v>0</v>
      </c>
      <c r="BM98" s="301">
        <f t="shared" si="33"/>
        <v>0</v>
      </c>
      <c r="BN98" s="301">
        <f t="shared" si="33"/>
        <v>0</v>
      </c>
      <c r="BO98" s="301">
        <f t="shared" si="33"/>
        <v>0</v>
      </c>
      <c r="BP98" s="301">
        <f t="shared" si="33"/>
        <v>0</v>
      </c>
      <c r="BQ98" s="301">
        <f t="shared" si="33"/>
        <v>0</v>
      </c>
      <c r="BR98" s="301">
        <f t="shared" si="33"/>
        <v>0</v>
      </c>
      <c r="BS98" s="301">
        <f t="shared" si="33"/>
        <v>0</v>
      </c>
      <c r="BT98" s="301">
        <f t="shared" si="33"/>
        <v>0</v>
      </c>
      <c r="BU98" s="301">
        <f t="shared" si="33"/>
        <v>0</v>
      </c>
      <c r="BV98" s="301">
        <f t="shared" si="33"/>
        <v>0</v>
      </c>
      <c r="BW98" s="301">
        <f t="shared" si="33"/>
        <v>0</v>
      </c>
      <c r="BX98" s="301">
        <f t="shared" si="33"/>
        <v>0</v>
      </c>
      <c r="BY98" s="780">
        <f>BZ91</f>
        <v>-70102751</v>
      </c>
      <c r="BZ98" s="781"/>
      <c r="CA98" s="226"/>
      <c r="CB98" s="226"/>
      <c r="CC98" s="226"/>
    </row>
    <row r="99" spans="1:81" ht="16">
      <c r="A99" s="603"/>
      <c r="B99" s="605"/>
      <c r="C99" s="605"/>
      <c r="D99" s="302"/>
      <c r="E99" s="303"/>
      <c r="F99" s="303"/>
      <c r="G99" s="303"/>
      <c r="H99" s="303">
        <f>H98</f>
        <v>-10737799.354999999</v>
      </c>
      <c r="I99" s="303">
        <f t="shared" ref="I99:N99" si="34">H99+I98</f>
        <v>-12605495.549999999</v>
      </c>
      <c r="J99" s="303">
        <f t="shared" si="34"/>
        <v>-14423119.215</v>
      </c>
      <c r="K99" s="303">
        <f t="shared" si="34"/>
        <v>-15325993.092</v>
      </c>
      <c r="L99" s="303">
        <f t="shared" si="34"/>
        <v>-20364187.171999998</v>
      </c>
      <c r="M99" s="303">
        <f t="shared" si="34"/>
        <v>-31125690.131999999</v>
      </c>
      <c r="N99" s="303">
        <f t="shared" si="34"/>
        <v>-51071399.972000003</v>
      </c>
      <c r="O99" s="304"/>
      <c r="P99" s="304"/>
      <c r="Q99" s="304"/>
      <c r="R99" s="304"/>
      <c r="S99" s="304"/>
      <c r="T99" s="304"/>
      <c r="U99" s="303"/>
      <c r="V99" s="303"/>
      <c r="W99" s="303"/>
      <c r="X99" s="304"/>
      <c r="Y99" s="304"/>
      <c r="Z99" s="304"/>
      <c r="AA99" s="304"/>
      <c r="AB99" s="304"/>
      <c r="AC99" s="303"/>
      <c r="AD99" s="304"/>
      <c r="AE99" s="304"/>
      <c r="AF99" s="304"/>
      <c r="AG99" s="304"/>
      <c r="AH99" s="304"/>
      <c r="AI99" s="304"/>
      <c r="AJ99" s="304"/>
      <c r="AK99" s="304"/>
      <c r="AL99" s="304"/>
      <c r="AM99" s="304"/>
      <c r="AN99" s="304"/>
      <c r="AO99" s="303"/>
      <c r="AP99" s="304"/>
      <c r="AQ99" s="304"/>
      <c r="AR99" s="304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  <c r="BJ99" s="303"/>
      <c r="BK99" s="303"/>
      <c r="BL99" s="305"/>
      <c r="BM99" s="305"/>
      <c r="BN99" s="305"/>
      <c r="BO99" s="305"/>
      <c r="BP99" s="305"/>
      <c r="BQ99" s="305"/>
      <c r="BR99" s="305"/>
      <c r="BS99" s="305"/>
      <c r="BT99" s="305"/>
      <c r="BU99" s="305"/>
      <c r="BV99" s="305"/>
      <c r="BW99" s="305"/>
      <c r="BX99" s="305"/>
      <c r="BY99" s="306"/>
      <c r="BZ99" s="306"/>
      <c r="CA99" s="226"/>
      <c r="CB99" s="226"/>
      <c r="CC99" s="226"/>
    </row>
    <row r="100" spans="1:81" ht="16">
      <c r="A100" s="603"/>
      <c r="B100" s="791" t="s">
        <v>335</v>
      </c>
      <c r="C100" s="774"/>
      <c r="D100" s="307"/>
      <c r="E100" s="303">
        <f t="shared" ref="E100:BX100" si="35">E16+E98</f>
        <v>0</v>
      </c>
      <c r="F100" s="303">
        <f t="shared" si="35"/>
        <v>0</v>
      </c>
      <c r="G100" s="303">
        <f t="shared" si="35"/>
        <v>0</v>
      </c>
      <c r="H100" s="303">
        <f t="shared" si="35"/>
        <v>5627202.6450000014</v>
      </c>
      <c r="I100" s="303">
        <f t="shared" si="35"/>
        <v>-1861469.1950000001</v>
      </c>
      <c r="J100" s="303">
        <f t="shared" si="35"/>
        <v>-1803035.665</v>
      </c>
      <c r="K100" s="303">
        <f t="shared" si="35"/>
        <v>439594.12299999991</v>
      </c>
      <c r="L100" s="303">
        <f t="shared" si="35"/>
        <v>-3040677.0799999991</v>
      </c>
      <c r="M100" s="304">
        <f t="shared" si="35"/>
        <v>57291.090000001714</v>
      </c>
      <c r="N100" s="303">
        <f t="shared" si="35"/>
        <v>48223.109999999404</v>
      </c>
      <c r="O100" s="304">
        <f t="shared" si="35"/>
        <v>-3062058.1722038575</v>
      </c>
      <c r="P100" s="304">
        <f t="shared" si="35"/>
        <v>3754982.1053526178</v>
      </c>
      <c r="Q100" s="304">
        <f t="shared" si="35"/>
        <v>-775967.98738307692</v>
      </c>
      <c r="R100" s="304">
        <f t="shared" si="35"/>
        <v>-768052.96036654792</v>
      </c>
      <c r="S100" s="304">
        <f t="shared" si="35"/>
        <v>-4716950.7169298735</v>
      </c>
      <c r="T100" s="304">
        <f t="shared" si="35"/>
        <v>-798678.03840639396</v>
      </c>
      <c r="U100" s="303">
        <f t="shared" si="35"/>
        <v>-754829.60924389446</v>
      </c>
      <c r="V100" s="303">
        <f t="shared" si="35"/>
        <v>-829225.74005928682</v>
      </c>
      <c r="W100" s="303">
        <f t="shared" si="35"/>
        <v>-834336.36340639414</v>
      </c>
      <c r="X100" s="304">
        <f t="shared" si="35"/>
        <v>-834336.36340639414</v>
      </c>
      <c r="Y100" s="304">
        <f t="shared" si="35"/>
        <v>-834336.36340639414</v>
      </c>
      <c r="Z100" s="304">
        <f t="shared" si="35"/>
        <v>-1421893.6338188932</v>
      </c>
      <c r="AA100" s="304">
        <f t="shared" si="35"/>
        <v>65398778.29030776</v>
      </c>
      <c r="AB100" s="304">
        <f t="shared" si="35"/>
        <v>0</v>
      </c>
      <c r="AC100" s="303">
        <f t="shared" si="35"/>
        <v>0</v>
      </c>
      <c r="AD100" s="304">
        <f t="shared" si="35"/>
        <v>0</v>
      </c>
      <c r="AE100" s="304">
        <f t="shared" si="35"/>
        <v>0</v>
      </c>
      <c r="AF100" s="304">
        <f t="shared" si="35"/>
        <v>0</v>
      </c>
      <c r="AG100" s="304">
        <f t="shared" si="35"/>
        <v>0</v>
      </c>
      <c r="AH100" s="304">
        <f t="shared" si="35"/>
        <v>0</v>
      </c>
      <c r="AI100" s="304">
        <f t="shared" si="35"/>
        <v>0</v>
      </c>
      <c r="AJ100" s="304">
        <f t="shared" si="35"/>
        <v>0</v>
      </c>
      <c r="AK100" s="304">
        <f t="shared" si="35"/>
        <v>0</v>
      </c>
      <c r="AL100" s="304">
        <f t="shared" si="35"/>
        <v>0</v>
      </c>
      <c r="AM100" s="304">
        <f t="shared" si="35"/>
        <v>0</v>
      </c>
      <c r="AN100" s="304">
        <f t="shared" si="35"/>
        <v>0</v>
      </c>
      <c r="AO100" s="303">
        <f t="shared" si="35"/>
        <v>0</v>
      </c>
      <c r="AP100" s="304">
        <f t="shared" si="35"/>
        <v>0</v>
      </c>
      <c r="AQ100" s="304">
        <f t="shared" si="35"/>
        <v>0</v>
      </c>
      <c r="AR100" s="304">
        <f t="shared" si="35"/>
        <v>0</v>
      </c>
      <c r="AS100" s="303">
        <f t="shared" si="35"/>
        <v>0</v>
      </c>
      <c r="AT100" s="303">
        <f t="shared" si="35"/>
        <v>0</v>
      </c>
      <c r="AU100" s="303">
        <f t="shared" si="35"/>
        <v>0</v>
      </c>
      <c r="AV100" s="303">
        <f t="shared" si="35"/>
        <v>0</v>
      </c>
      <c r="AW100" s="303">
        <f t="shared" si="35"/>
        <v>0</v>
      </c>
      <c r="AX100" s="303">
        <f t="shared" si="35"/>
        <v>0</v>
      </c>
      <c r="AY100" s="303">
        <f t="shared" si="35"/>
        <v>0</v>
      </c>
      <c r="AZ100" s="303">
        <f t="shared" si="35"/>
        <v>0</v>
      </c>
      <c r="BA100" s="303">
        <f t="shared" si="35"/>
        <v>0</v>
      </c>
      <c r="BB100" s="303">
        <f t="shared" si="35"/>
        <v>0</v>
      </c>
      <c r="BC100" s="303">
        <f t="shared" si="35"/>
        <v>0</v>
      </c>
      <c r="BD100" s="303">
        <f t="shared" si="35"/>
        <v>0</v>
      </c>
      <c r="BE100" s="303">
        <f t="shared" si="35"/>
        <v>0</v>
      </c>
      <c r="BF100" s="303">
        <f t="shared" si="35"/>
        <v>0</v>
      </c>
      <c r="BG100" s="303">
        <f t="shared" si="35"/>
        <v>0</v>
      </c>
      <c r="BH100" s="303">
        <f t="shared" si="35"/>
        <v>0</v>
      </c>
      <c r="BI100" s="303">
        <f t="shared" si="35"/>
        <v>0</v>
      </c>
      <c r="BJ100" s="303">
        <f t="shared" si="35"/>
        <v>0</v>
      </c>
      <c r="BK100" s="303">
        <f t="shared" si="35"/>
        <v>0</v>
      </c>
      <c r="BL100" s="308">
        <f t="shared" si="35"/>
        <v>0</v>
      </c>
      <c r="BM100" s="308">
        <f t="shared" si="35"/>
        <v>0</v>
      </c>
      <c r="BN100" s="308">
        <f t="shared" si="35"/>
        <v>0</v>
      </c>
      <c r="BO100" s="308">
        <f t="shared" si="35"/>
        <v>0</v>
      </c>
      <c r="BP100" s="308">
        <f t="shared" si="35"/>
        <v>0</v>
      </c>
      <c r="BQ100" s="308">
        <f t="shared" si="35"/>
        <v>0</v>
      </c>
      <c r="BR100" s="308">
        <f t="shared" si="35"/>
        <v>0</v>
      </c>
      <c r="BS100" s="308">
        <f t="shared" si="35"/>
        <v>0</v>
      </c>
      <c r="BT100" s="308">
        <f t="shared" si="35"/>
        <v>0</v>
      </c>
      <c r="BU100" s="308">
        <f t="shared" si="35"/>
        <v>0</v>
      </c>
      <c r="BV100" s="308">
        <f t="shared" si="35"/>
        <v>0</v>
      </c>
      <c r="BW100" s="308">
        <f t="shared" si="35"/>
        <v>0</v>
      </c>
      <c r="BX100" s="308">
        <f t="shared" si="35"/>
        <v>0</v>
      </c>
      <c r="BY100" s="782">
        <f>BY16+BY90+BY98</f>
        <v>52603678.475029409</v>
      </c>
      <c r="BZ100" s="783"/>
      <c r="CA100" s="226"/>
      <c r="CB100" s="226"/>
      <c r="CC100" s="226"/>
    </row>
    <row r="101" spans="1:81">
      <c r="A101" s="603"/>
      <c r="B101" s="792" t="s">
        <v>336</v>
      </c>
      <c r="C101" s="774"/>
      <c r="D101" s="309"/>
      <c r="E101" s="310">
        <f>E100</f>
        <v>0</v>
      </c>
      <c r="F101" s="310">
        <f>F100+E101</f>
        <v>0</v>
      </c>
      <c r="G101" s="310">
        <f>655760.63+24.98*24.5-16.85*22</f>
        <v>656001.94000000006</v>
      </c>
      <c r="H101" s="310">
        <f>H100+G101-66</f>
        <v>6283138.5850000018</v>
      </c>
      <c r="I101" s="310">
        <f t="shared" ref="I101:BX101" si="36">I100+H101</f>
        <v>4421669.3900000015</v>
      </c>
      <c r="J101" s="310">
        <f t="shared" si="36"/>
        <v>2618633.7250000015</v>
      </c>
      <c r="K101" s="310">
        <f t="shared" si="36"/>
        <v>3058227.8480000012</v>
      </c>
      <c r="L101" s="310">
        <f t="shared" si="36"/>
        <v>17550.768000002019</v>
      </c>
      <c r="M101" s="310">
        <f t="shared" si="36"/>
        <v>74841.858000003733</v>
      </c>
      <c r="N101" s="310">
        <f t="shared" si="36"/>
        <v>123064.96800000314</v>
      </c>
      <c r="O101" s="310">
        <f t="shared" si="36"/>
        <v>-2938993.2042038543</v>
      </c>
      <c r="P101" s="310">
        <f t="shared" si="36"/>
        <v>815988.90114876349</v>
      </c>
      <c r="Q101" s="310">
        <f t="shared" si="36"/>
        <v>40020.913765686564</v>
      </c>
      <c r="R101" s="310">
        <f t="shared" si="36"/>
        <v>-728032.04660086136</v>
      </c>
      <c r="S101" s="310">
        <f t="shared" si="36"/>
        <v>-5444982.7635307349</v>
      </c>
      <c r="T101" s="310">
        <f t="shared" si="36"/>
        <v>-6243660.8019371293</v>
      </c>
      <c r="U101" s="310">
        <f t="shared" si="36"/>
        <v>-6998490.4111810233</v>
      </c>
      <c r="V101" s="310">
        <f t="shared" si="36"/>
        <v>-7827716.1512403097</v>
      </c>
      <c r="W101" s="310">
        <f t="shared" si="36"/>
        <v>-8662052.5146467034</v>
      </c>
      <c r="X101" s="310">
        <f t="shared" si="36"/>
        <v>-9496388.8780530971</v>
      </c>
      <c r="Y101" s="310">
        <f t="shared" si="36"/>
        <v>-10330725.241459491</v>
      </c>
      <c r="Z101" s="310">
        <f t="shared" si="36"/>
        <v>-11752618.875278383</v>
      </c>
      <c r="AA101" s="310">
        <f t="shared" si="36"/>
        <v>53646159.415029377</v>
      </c>
      <c r="AB101" s="310">
        <f t="shared" si="36"/>
        <v>53646159.415029377</v>
      </c>
      <c r="AC101" s="310">
        <f t="shared" si="36"/>
        <v>53646159.415029377</v>
      </c>
      <c r="AD101" s="310">
        <f t="shared" si="36"/>
        <v>53646159.415029377</v>
      </c>
      <c r="AE101" s="310">
        <f t="shared" si="36"/>
        <v>53646159.415029377</v>
      </c>
      <c r="AF101" s="310">
        <f t="shared" si="36"/>
        <v>53646159.415029377</v>
      </c>
      <c r="AG101" s="310">
        <f t="shared" si="36"/>
        <v>53646159.415029377</v>
      </c>
      <c r="AH101" s="310">
        <f t="shared" si="36"/>
        <v>53646159.415029377</v>
      </c>
      <c r="AI101" s="310">
        <f t="shared" si="36"/>
        <v>53646159.415029377</v>
      </c>
      <c r="AJ101" s="310">
        <f t="shared" si="36"/>
        <v>53646159.415029377</v>
      </c>
      <c r="AK101" s="310">
        <f t="shared" si="36"/>
        <v>53646159.415029377</v>
      </c>
      <c r="AL101" s="310">
        <f t="shared" si="36"/>
        <v>53646159.415029377</v>
      </c>
      <c r="AM101" s="310">
        <f t="shared" si="36"/>
        <v>53646159.415029377</v>
      </c>
      <c r="AN101" s="310">
        <f t="shared" si="36"/>
        <v>53646159.415029377</v>
      </c>
      <c r="AO101" s="310">
        <f t="shared" si="36"/>
        <v>53646159.415029377</v>
      </c>
      <c r="AP101" s="310">
        <f t="shared" si="36"/>
        <v>53646159.415029377</v>
      </c>
      <c r="AQ101" s="310">
        <f t="shared" si="36"/>
        <v>53646159.415029377</v>
      </c>
      <c r="AR101" s="310">
        <f t="shared" si="36"/>
        <v>53646159.415029377</v>
      </c>
      <c r="AS101" s="310">
        <f t="shared" si="36"/>
        <v>53646159.415029377</v>
      </c>
      <c r="AT101" s="310">
        <f t="shared" si="36"/>
        <v>53646159.415029377</v>
      </c>
      <c r="AU101" s="310">
        <f t="shared" si="36"/>
        <v>53646159.415029377</v>
      </c>
      <c r="AV101" s="310">
        <f t="shared" si="36"/>
        <v>53646159.415029377</v>
      </c>
      <c r="AW101" s="310">
        <f t="shared" si="36"/>
        <v>53646159.415029377</v>
      </c>
      <c r="AX101" s="310">
        <f t="shared" si="36"/>
        <v>53646159.415029377</v>
      </c>
      <c r="AY101" s="310">
        <f t="shared" si="36"/>
        <v>53646159.415029377</v>
      </c>
      <c r="AZ101" s="310">
        <f t="shared" si="36"/>
        <v>53646159.415029377</v>
      </c>
      <c r="BA101" s="310">
        <f t="shared" si="36"/>
        <v>53646159.415029377</v>
      </c>
      <c r="BB101" s="310">
        <f t="shared" si="36"/>
        <v>53646159.415029377</v>
      </c>
      <c r="BC101" s="310">
        <f t="shared" si="36"/>
        <v>53646159.415029377</v>
      </c>
      <c r="BD101" s="310">
        <f t="shared" si="36"/>
        <v>53646159.415029377</v>
      </c>
      <c r="BE101" s="310">
        <f t="shared" si="36"/>
        <v>53646159.415029377</v>
      </c>
      <c r="BF101" s="310">
        <f t="shared" si="36"/>
        <v>53646159.415029377</v>
      </c>
      <c r="BG101" s="310">
        <f t="shared" si="36"/>
        <v>53646159.415029377</v>
      </c>
      <c r="BH101" s="310">
        <f t="shared" si="36"/>
        <v>53646159.415029377</v>
      </c>
      <c r="BI101" s="310">
        <f t="shared" si="36"/>
        <v>53646159.415029377</v>
      </c>
      <c r="BJ101" s="310">
        <f t="shared" si="36"/>
        <v>53646159.415029377</v>
      </c>
      <c r="BK101" s="310">
        <f t="shared" si="36"/>
        <v>53646159.415029377</v>
      </c>
      <c r="BL101" s="310">
        <f t="shared" si="36"/>
        <v>53646159.415029377</v>
      </c>
      <c r="BM101" s="310">
        <f t="shared" si="36"/>
        <v>53646159.415029377</v>
      </c>
      <c r="BN101" s="310">
        <f t="shared" si="36"/>
        <v>53646159.415029377</v>
      </c>
      <c r="BO101" s="310">
        <f t="shared" si="36"/>
        <v>53646159.415029377</v>
      </c>
      <c r="BP101" s="310">
        <f t="shared" si="36"/>
        <v>53646159.415029377</v>
      </c>
      <c r="BQ101" s="310">
        <f t="shared" si="36"/>
        <v>53646159.415029377</v>
      </c>
      <c r="BR101" s="310">
        <f t="shared" si="36"/>
        <v>53646159.415029377</v>
      </c>
      <c r="BS101" s="310">
        <f t="shared" si="36"/>
        <v>53646159.415029377</v>
      </c>
      <c r="BT101" s="310">
        <f t="shared" si="36"/>
        <v>53646159.415029377</v>
      </c>
      <c r="BU101" s="310">
        <f t="shared" si="36"/>
        <v>53646159.415029377</v>
      </c>
      <c r="BV101" s="310">
        <f t="shared" si="36"/>
        <v>53646159.415029377</v>
      </c>
      <c r="BW101" s="310">
        <f t="shared" si="36"/>
        <v>53646159.415029377</v>
      </c>
      <c r="BX101" s="310">
        <f t="shared" si="36"/>
        <v>53646159.415029377</v>
      </c>
      <c r="BY101" s="226"/>
      <c r="BZ101" s="226"/>
      <c r="CA101" s="226"/>
      <c r="CB101" s="226"/>
      <c r="CC101" s="226"/>
    </row>
    <row r="102" spans="1:81">
      <c r="A102" s="226"/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26"/>
      <c r="AG102" s="226"/>
      <c r="AH102" s="226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6"/>
      <c r="AT102" s="226"/>
      <c r="AU102" s="226"/>
      <c r="AV102" s="226"/>
      <c r="AW102" s="226"/>
      <c r="AX102" s="226"/>
      <c r="AY102" s="226"/>
      <c r="AZ102" s="226"/>
      <c r="BA102" s="226"/>
      <c r="BB102" s="226"/>
      <c r="BC102" s="226"/>
      <c r="BD102" s="226"/>
      <c r="BE102" s="226"/>
      <c r="BF102" s="226"/>
      <c r="BG102" s="226"/>
      <c r="BH102" s="226"/>
      <c r="BI102" s="226"/>
      <c r="BJ102" s="226"/>
      <c r="BK102" s="226"/>
      <c r="BL102" s="226"/>
      <c r="BM102" s="226"/>
      <c r="BN102" s="226"/>
      <c r="BO102" s="226"/>
      <c r="BP102" s="226"/>
      <c r="BQ102" s="226"/>
      <c r="BR102" s="226"/>
      <c r="BS102" s="226"/>
      <c r="BT102" s="226"/>
      <c r="BU102" s="226"/>
      <c r="BV102" s="226"/>
      <c r="BW102" s="226"/>
      <c r="BX102" s="226"/>
      <c r="BY102" s="311"/>
      <c r="BZ102" s="226">
        <f>T101-8333333</f>
        <v>-14576993.801937129</v>
      </c>
      <c r="CA102" s="226"/>
      <c r="CB102" s="226"/>
      <c r="CC102" s="226"/>
    </row>
    <row r="103" spans="1:81" hidden="1">
      <c r="A103" s="226"/>
      <c r="B103" s="226"/>
      <c r="C103" s="226"/>
      <c r="D103" s="312" t="s">
        <v>337</v>
      </c>
      <c r="E103" s="312"/>
      <c r="F103" s="312"/>
      <c r="G103" s="312"/>
      <c r="H103" s="312"/>
      <c r="I103" s="312"/>
      <c r="J103" s="312"/>
      <c r="K103" s="312"/>
      <c r="L103" s="312"/>
      <c r="M103" s="312"/>
      <c r="N103" s="312"/>
      <c r="O103" s="312"/>
      <c r="P103" s="312"/>
      <c r="Q103" s="312"/>
      <c r="R103" s="312"/>
      <c r="S103" s="312"/>
      <c r="T103" s="312"/>
      <c r="U103" s="312"/>
      <c r="V103" s="313"/>
      <c r="W103" s="313"/>
      <c r="X103" s="313"/>
      <c r="Y103" s="313"/>
      <c r="Z103" s="313"/>
      <c r="AA103" s="313"/>
      <c r="AB103" s="313"/>
      <c r="AC103" s="313"/>
      <c r="AD103" s="313"/>
      <c r="AE103" s="313"/>
      <c r="AF103" s="313"/>
      <c r="AG103" s="313"/>
      <c r="AH103" s="313"/>
      <c r="AI103" s="313"/>
      <c r="AJ103" s="313"/>
      <c r="AK103" s="313"/>
      <c r="AL103" s="313"/>
      <c r="AM103" s="313"/>
      <c r="AN103" s="313"/>
      <c r="AO103" s="313"/>
      <c r="AP103" s="313"/>
      <c r="AQ103" s="313"/>
      <c r="AR103" s="313"/>
      <c r="AS103" s="313"/>
      <c r="AT103" s="313"/>
      <c r="AU103" s="313"/>
      <c r="AV103" s="313"/>
      <c r="AW103" s="313"/>
      <c r="AX103" s="313"/>
      <c r="AY103" s="313"/>
      <c r="AZ103" s="313"/>
      <c r="BA103" s="313"/>
      <c r="BB103" s="313"/>
      <c r="BC103" s="313"/>
      <c r="BD103" s="313"/>
      <c r="BE103" s="313"/>
      <c r="BF103" s="313"/>
      <c r="BG103" s="313"/>
      <c r="BH103" s="313"/>
      <c r="BI103" s="313"/>
      <c r="BJ103" s="313"/>
      <c r="BK103" s="313"/>
      <c r="BL103" s="313"/>
      <c r="BM103" s="313"/>
      <c r="BN103" s="313"/>
      <c r="BO103" s="313"/>
      <c r="BP103" s="313"/>
      <c r="BQ103" s="313"/>
      <c r="BR103" s="313"/>
      <c r="BS103" s="313"/>
      <c r="BT103" s="313"/>
      <c r="BU103" s="313"/>
      <c r="BV103" s="313"/>
      <c r="BW103" s="313"/>
      <c r="BX103" s="313"/>
      <c r="BY103" s="311"/>
      <c r="BZ103" s="226"/>
      <c r="CA103" s="226"/>
      <c r="CB103" s="226"/>
      <c r="CC103" s="226"/>
    </row>
    <row r="104" spans="1:81" hidden="1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6"/>
      <c r="BN104" s="226"/>
      <c r="BO104" s="226"/>
      <c r="BP104" s="226"/>
      <c r="BQ104" s="226"/>
      <c r="BR104" s="226"/>
      <c r="BS104" s="226"/>
      <c r="BT104" s="226"/>
      <c r="BU104" s="226"/>
      <c r="BV104" s="226"/>
      <c r="BW104" s="226"/>
      <c r="BX104" s="226"/>
      <c r="BY104" s="311"/>
      <c r="BZ104" s="226"/>
      <c r="CA104" s="226"/>
      <c r="CB104" s="226"/>
      <c r="CC104" s="226"/>
    </row>
    <row r="105" spans="1:81" hidden="1">
      <c r="A105" s="226"/>
      <c r="B105" s="226"/>
      <c r="C105" s="314" t="s">
        <v>338</v>
      </c>
      <c r="D105" s="315"/>
      <c r="E105" s="316">
        <f>E113+E131+E163+E179</f>
        <v>0</v>
      </c>
      <c r="F105" s="316">
        <f t="shared" ref="F105:BW105" si="37">F113+F179</f>
        <v>0</v>
      </c>
      <c r="G105" s="316">
        <f t="shared" si="37"/>
        <v>0</v>
      </c>
      <c r="H105" s="316">
        <f t="shared" si="37"/>
        <v>-21706207.5</v>
      </c>
      <c r="I105" s="316">
        <f t="shared" si="37"/>
        <v>0</v>
      </c>
      <c r="J105" s="316">
        <f t="shared" si="37"/>
        <v>0</v>
      </c>
      <c r="K105" s="316">
        <f t="shared" si="37"/>
        <v>-885000</v>
      </c>
      <c r="L105" s="316">
        <f t="shared" si="37"/>
        <v>-1940000</v>
      </c>
      <c r="M105" s="316">
        <f t="shared" si="37"/>
        <v>-4260000</v>
      </c>
      <c r="N105" s="316">
        <f t="shared" si="37"/>
        <v>0</v>
      </c>
      <c r="O105" s="316">
        <f t="shared" si="37"/>
        <v>0</v>
      </c>
      <c r="P105" s="316">
        <f t="shared" si="37"/>
        <v>-800000</v>
      </c>
      <c r="Q105" s="316">
        <f t="shared" si="37"/>
        <v>0</v>
      </c>
      <c r="R105" s="316">
        <f t="shared" si="37"/>
        <v>0</v>
      </c>
      <c r="S105" s="316">
        <f t="shared" si="37"/>
        <v>0</v>
      </c>
      <c r="T105" s="316">
        <f t="shared" si="37"/>
        <v>5341205.5</v>
      </c>
      <c r="U105" s="316">
        <f t="shared" si="37"/>
        <v>0</v>
      </c>
      <c r="V105" s="316">
        <f t="shared" si="37"/>
        <v>0</v>
      </c>
      <c r="W105" s="316">
        <f t="shared" si="37"/>
        <v>0</v>
      </c>
      <c r="X105" s="316">
        <f t="shared" si="37"/>
        <v>0</v>
      </c>
      <c r="Y105" s="316">
        <f t="shared" si="37"/>
        <v>0</v>
      </c>
      <c r="Z105" s="316">
        <f t="shared" si="37"/>
        <v>0</v>
      </c>
      <c r="AA105" s="316">
        <f t="shared" si="37"/>
        <v>24250002</v>
      </c>
      <c r="AB105" s="316">
        <f t="shared" si="37"/>
        <v>0</v>
      </c>
      <c r="AC105" s="316">
        <f t="shared" si="37"/>
        <v>0</v>
      </c>
      <c r="AD105" s="316">
        <f t="shared" si="37"/>
        <v>0</v>
      </c>
      <c r="AE105" s="316">
        <f t="shared" si="37"/>
        <v>0</v>
      </c>
      <c r="AF105" s="316">
        <f t="shared" si="37"/>
        <v>0</v>
      </c>
      <c r="AG105" s="316">
        <f t="shared" si="37"/>
        <v>0</v>
      </c>
      <c r="AH105" s="316">
        <f t="shared" si="37"/>
        <v>0</v>
      </c>
      <c r="AI105" s="316">
        <f t="shared" si="37"/>
        <v>0</v>
      </c>
      <c r="AJ105" s="316">
        <f t="shared" si="37"/>
        <v>0</v>
      </c>
      <c r="AK105" s="316">
        <f t="shared" si="37"/>
        <v>0</v>
      </c>
      <c r="AL105" s="316">
        <f t="shared" si="37"/>
        <v>0</v>
      </c>
      <c r="AM105" s="316">
        <f t="shared" si="37"/>
        <v>0</v>
      </c>
      <c r="AN105" s="316">
        <f t="shared" si="37"/>
        <v>0</v>
      </c>
      <c r="AO105" s="316">
        <f t="shared" si="37"/>
        <v>0</v>
      </c>
      <c r="AP105" s="316">
        <f t="shared" si="37"/>
        <v>0</v>
      </c>
      <c r="AQ105" s="316">
        <f t="shared" si="37"/>
        <v>0</v>
      </c>
      <c r="AR105" s="316">
        <f t="shared" si="37"/>
        <v>0</v>
      </c>
      <c r="AS105" s="316">
        <f t="shared" si="37"/>
        <v>0</v>
      </c>
      <c r="AT105" s="316">
        <f t="shared" si="37"/>
        <v>0</v>
      </c>
      <c r="AU105" s="316">
        <f t="shared" si="37"/>
        <v>0</v>
      </c>
      <c r="AV105" s="316">
        <f t="shared" si="37"/>
        <v>0</v>
      </c>
      <c r="AW105" s="316">
        <f t="shared" si="37"/>
        <v>0</v>
      </c>
      <c r="AX105" s="316">
        <f t="shared" si="37"/>
        <v>0</v>
      </c>
      <c r="AY105" s="316">
        <f t="shared" si="37"/>
        <v>0</v>
      </c>
      <c r="AZ105" s="316">
        <f t="shared" si="37"/>
        <v>0</v>
      </c>
      <c r="BA105" s="316">
        <f t="shared" si="37"/>
        <v>0</v>
      </c>
      <c r="BB105" s="316">
        <f t="shared" si="37"/>
        <v>0</v>
      </c>
      <c r="BC105" s="316">
        <f t="shared" si="37"/>
        <v>0</v>
      </c>
      <c r="BD105" s="316">
        <f t="shared" si="37"/>
        <v>0</v>
      </c>
      <c r="BE105" s="316">
        <f t="shared" si="37"/>
        <v>0</v>
      </c>
      <c r="BF105" s="316">
        <f t="shared" si="37"/>
        <v>0</v>
      </c>
      <c r="BG105" s="316">
        <f t="shared" si="37"/>
        <v>0</v>
      </c>
      <c r="BH105" s="316">
        <f t="shared" si="37"/>
        <v>0</v>
      </c>
      <c r="BI105" s="316">
        <f t="shared" si="37"/>
        <v>0</v>
      </c>
      <c r="BJ105" s="316">
        <f t="shared" si="37"/>
        <v>0</v>
      </c>
      <c r="BK105" s="316">
        <f t="shared" si="37"/>
        <v>0</v>
      </c>
      <c r="BL105" s="316">
        <f t="shared" si="37"/>
        <v>0</v>
      </c>
      <c r="BM105" s="316">
        <f t="shared" si="37"/>
        <v>0</v>
      </c>
      <c r="BN105" s="316">
        <f t="shared" si="37"/>
        <v>0</v>
      </c>
      <c r="BO105" s="316">
        <f t="shared" si="37"/>
        <v>0</v>
      </c>
      <c r="BP105" s="316">
        <f t="shared" si="37"/>
        <v>0</v>
      </c>
      <c r="BQ105" s="316">
        <f t="shared" si="37"/>
        <v>0</v>
      </c>
      <c r="BR105" s="316">
        <f t="shared" si="37"/>
        <v>0</v>
      </c>
      <c r="BS105" s="316">
        <f t="shared" si="37"/>
        <v>0</v>
      </c>
      <c r="BT105" s="316">
        <f t="shared" si="37"/>
        <v>0</v>
      </c>
      <c r="BU105" s="316">
        <f t="shared" si="37"/>
        <v>0</v>
      </c>
      <c r="BV105" s="316">
        <f t="shared" si="37"/>
        <v>0</v>
      </c>
      <c r="BW105" s="316">
        <f t="shared" si="37"/>
        <v>0</v>
      </c>
      <c r="BX105" s="316">
        <f>BX113+BX179+BX101</f>
        <v>53646159.415029377</v>
      </c>
      <c r="BY105" s="311"/>
      <c r="BZ105" s="226"/>
      <c r="CA105" s="226"/>
      <c r="CB105" s="226"/>
      <c r="CC105" s="226"/>
    </row>
    <row r="106" spans="1:81" hidden="1">
      <c r="A106" s="226"/>
      <c r="B106" s="226"/>
      <c r="C106" s="317" t="s">
        <v>339</v>
      </c>
      <c r="D106" s="793">
        <f>IRR(E105:BX105)*12</f>
        <v>0.30557989908447158</v>
      </c>
      <c r="E106" s="768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AY106" s="226"/>
      <c r="AZ106" s="226"/>
      <c r="BA106" s="226"/>
      <c r="BB106" s="226"/>
      <c r="BC106" s="226"/>
      <c r="BD106" s="226"/>
      <c r="BE106" s="226"/>
      <c r="BF106" s="226"/>
      <c r="BG106" s="226"/>
      <c r="BH106" s="226"/>
      <c r="BI106" s="226"/>
      <c r="BJ106" s="226"/>
      <c r="BK106" s="226"/>
      <c r="BL106" s="226"/>
      <c r="BM106" s="226"/>
      <c r="BN106" s="226"/>
      <c r="BO106" s="226"/>
      <c r="BP106" s="226"/>
      <c r="BQ106" s="226"/>
      <c r="BR106" s="226"/>
      <c r="BS106" s="226"/>
      <c r="BT106" s="226"/>
      <c r="BU106" s="226"/>
      <c r="BV106" s="226"/>
      <c r="BW106" s="226"/>
      <c r="BX106" s="226"/>
      <c r="BY106" s="311"/>
      <c r="BZ106" s="226"/>
      <c r="CA106" s="226"/>
      <c r="CB106" s="226"/>
      <c r="CC106" s="226"/>
    </row>
    <row r="107" spans="1:81" hidden="1">
      <c r="A107" s="226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  <c r="CA107" s="226"/>
      <c r="CB107" s="226"/>
      <c r="CC107" s="226"/>
    </row>
    <row r="108" spans="1:81" hidden="1">
      <c r="A108" s="226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  <c r="AY108" s="226"/>
      <c r="AZ108" s="226"/>
      <c r="BA108" s="226"/>
      <c r="BB108" s="226"/>
      <c r="BC108" s="226"/>
      <c r="BD108" s="226"/>
      <c r="BE108" s="226"/>
      <c r="BF108" s="226"/>
      <c r="BG108" s="226"/>
      <c r="BH108" s="226"/>
      <c r="BI108" s="226"/>
      <c r="BJ108" s="226"/>
      <c r="BK108" s="226"/>
      <c r="BL108" s="226"/>
      <c r="BM108" s="226"/>
      <c r="BN108" s="226"/>
      <c r="BO108" s="226"/>
      <c r="BP108" s="226"/>
      <c r="BQ108" s="226"/>
      <c r="BR108" s="226"/>
      <c r="BS108" s="226"/>
      <c r="BT108" s="226"/>
      <c r="BU108" s="226"/>
      <c r="BV108" s="226"/>
      <c r="BW108" s="226"/>
      <c r="BX108" s="226"/>
      <c r="BY108" s="311"/>
      <c r="BZ108" s="226"/>
      <c r="CA108" s="226"/>
      <c r="CB108" s="226"/>
      <c r="CC108" s="226"/>
    </row>
    <row r="109" spans="1:81" ht="17" hidden="1">
      <c r="A109" s="226"/>
      <c r="B109" s="226"/>
      <c r="C109" s="314" t="s">
        <v>340</v>
      </c>
      <c r="D109" s="794"/>
      <c r="E109" s="767"/>
      <c r="F109" s="767"/>
      <c r="G109" s="767"/>
      <c r="H109" s="767"/>
      <c r="I109" s="767"/>
      <c r="J109" s="767"/>
      <c r="K109" s="767"/>
      <c r="L109" s="767"/>
      <c r="M109" s="767"/>
      <c r="N109" s="767"/>
      <c r="O109" s="767"/>
      <c r="P109" s="767"/>
      <c r="Q109" s="767"/>
      <c r="R109" s="767"/>
      <c r="S109" s="767"/>
      <c r="T109" s="767"/>
      <c r="U109" s="767"/>
      <c r="V109" s="767"/>
      <c r="W109" s="767"/>
      <c r="X109" s="767"/>
      <c r="Y109" s="767"/>
      <c r="Z109" s="767"/>
      <c r="AA109" s="767"/>
      <c r="AB109" s="767"/>
      <c r="AC109" s="767"/>
      <c r="AD109" s="767"/>
      <c r="AE109" s="767"/>
      <c r="AF109" s="767"/>
      <c r="AG109" s="767"/>
      <c r="AH109" s="767"/>
      <c r="AI109" s="767"/>
      <c r="AJ109" s="767"/>
      <c r="AK109" s="767"/>
      <c r="AL109" s="767"/>
      <c r="AM109" s="767"/>
      <c r="AN109" s="767"/>
      <c r="AO109" s="767"/>
      <c r="AP109" s="767"/>
      <c r="AQ109" s="767"/>
      <c r="AR109" s="767"/>
      <c r="AS109" s="767"/>
      <c r="AT109" s="767"/>
      <c r="AU109" s="767"/>
      <c r="AV109" s="767"/>
      <c r="AW109" s="767"/>
      <c r="AX109" s="767"/>
      <c r="AY109" s="767"/>
      <c r="AZ109" s="767"/>
      <c r="BA109" s="767"/>
      <c r="BB109" s="767"/>
      <c r="BC109" s="767"/>
      <c r="BD109" s="767"/>
      <c r="BE109" s="767"/>
      <c r="BF109" s="767"/>
      <c r="BG109" s="767"/>
      <c r="BH109" s="767"/>
      <c r="BI109" s="767"/>
      <c r="BJ109" s="767"/>
      <c r="BK109" s="767"/>
      <c r="BL109" s="767"/>
      <c r="BM109" s="767"/>
      <c r="BN109" s="767"/>
      <c r="BO109" s="767"/>
      <c r="BP109" s="767"/>
      <c r="BQ109" s="767"/>
      <c r="BR109" s="767"/>
      <c r="BS109" s="767"/>
      <c r="BT109" s="767"/>
      <c r="BU109" s="767"/>
      <c r="BV109" s="767"/>
      <c r="BW109" s="768"/>
      <c r="BX109" s="319">
        <f>BX101*C110</f>
        <v>10729231.883005876</v>
      </c>
      <c r="BY109" s="311"/>
      <c r="BZ109" s="226"/>
      <c r="CA109" s="226"/>
      <c r="CB109" s="226"/>
      <c r="CC109" s="226"/>
    </row>
    <row r="110" spans="1:81" ht="19" hidden="1">
      <c r="A110" s="226"/>
      <c r="B110" s="226"/>
      <c r="C110" s="320">
        <v>0.2</v>
      </c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6"/>
      <c r="BF110" s="226"/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6"/>
      <c r="BQ110" s="226"/>
      <c r="BR110" s="226"/>
      <c r="BS110" s="226"/>
      <c r="BT110" s="226"/>
      <c r="BU110" s="226"/>
      <c r="BV110" s="226"/>
      <c r="BW110" s="226"/>
      <c r="BX110" s="226"/>
      <c r="BY110" s="311"/>
      <c r="BZ110" s="226"/>
      <c r="CA110" s="226"/>
      <c r="CB110" s="226"/>
      <c r="CC110" s="226"/>
    </row>
    <row r="113" spans="3:76">
      <c r="C113" s="314" t="s">
        <v>341</v>
      </c>
      <c r="D113" s="315"/>
      <c r="E113" s="316">
        <f t="shared" ref="E113:BM113" si="38">-(E5+E6+E91+E92)</f>
        <v>0</v>
      </c>
      <c r="F113" s="316">
        <f t="shared" si="38"/>
        <v>0</v>
      </c>
      <c r="G113" s="316">
        <f t="shared" si="38"/>
        <v>0</v>
      </c>
      <c r="H113" s="316">
        <f t="shared" si="38"/>
        <v>-16365002</v>
      </c>
      <c r="I113" s="316">
        <f t="shared" si="38"/>
        <v>0</v>
      </c>
      <c r="J113" s="316">
        <f t="shared" si="38"/>
        <v>0</v>
      </c>
      <c r="K113" s="316">
        <f t="shared" si="38"/>
        <v>-885000</v>
      </c>
      <c r="L113" s="316">
        <f t="shared" si="38"/>
        <v>-1940000</v>
      </c>
      <c r="M113" s="316">
        <f t="shared" si="38"/>
        <v>-4260000</v>
      </c>
      <c r="N113" s="316">
        <f t="shared" si="38"/>
        <v>0</v>
      </c>
      <c r="O113" s="316">
        <f t="shared" si="38"/>
        <v>0</v>
      </c>
      <c r="P113" s="316">
        <f t="shared" si="38"/>
        <v>-800000</v>
      </c>
      <c r="Q113" s="316">
        <f t="shared" si="38"/>
        <v>0</v>
      </c>
      <c r="R113" s="316">
        <f t="shared" si="38"/>
        <v>0</v>
      </c>
      <c r="S113" s="316">
        <f t="shared" si="38"/>
        <v>0</v>
      </c>
      <c r="T113" s="316">
        <f t="shared" si="38"/>
        <v>0</v>
      </c>
      <c r="U113" s="316">
        <f t="shared" si="38"/>
        <v>0</v>
      </c>
      <c r="V113" s="316">
        <f t="shared" si="38"/>
        <v>0</v>
      </c>
      <c r="W113" s="316">
        <f t="shared" si="38"/>
        <v>0</v>
      </c>
      <c r="X113" s="316">
        <f t="shared" si="38"/>
        <v>0</v>
      </c>
      <c r="Y113" s="316">
        <f t="shared" si="38"/>
        <v>0</v>
      </c>
      <c r="Z113" s="316">
        <f t="shared" si="38"/>
        <v>0</v>
      </c>
      <c r="AA113" s="316">
        <f t="shared" si="38"/>
        <v>24250002</v>
      </c>
      <c r="AB113" s="316">
        <f t="shared" si="38"/>
        <v>0</v>
      </c>
      <c r="AC113" s="316">
        <f t="shared" si="38"/>
        <v>0</v>
      </c>
      <c r="AD113" s="316">
        <f t="shared" si="38"/>
        <v>0</v>
      </c>
      <c r="AE113" s="316">
        <f t="shared" si="38"/>
        <v>0</v>
      </c>
      <c r="AF113" s="316">
        <f t="shared" si="38"/>
        <v>0</v>
      </c>
      <c r="AG113" s="316">
        <f t="shared" si="38"/>
        <v>0</v>
      </c>
      <c r="AH113" s="316">
        <f t="shared" si="38"/>
        <v>0</v>
      </c>
      <c r="AI113" s="316">
        <f t="shared" si="38"/>
        <v>0</v>
      </c>
      <c r="AJ113" s="316">
        <f t="shared" si="38"/>
        <v>0</v>
      </c>
      <c r="AK113" s="316">
        <f t="shared" si="38"/>
        <v>0</v>
      </c>
      <c r="AL113" s="316">
        <f t="shared" si="38"/>
        <v>0</v>
      </c>
      <c r="AM113" s="316">
        <f t="shared" si="38"/>
        <v>0</v>
      </c>
      <c r="AN113" s="316">
        <f t="shared" si="38"/>
        <v>0</v>
      </c>
      <c r="AO113" s="316">
        <f t="shared" si="38"/>
        <v>0</v>
      </c>
      <c r="AP113" s="316">
        <f t="shared" si="38"/>
        <v>0</v>
      </c>
      <c r="AQ113" s="316">
        <f t="shared" si="38"/>
        <v>0</v>
      </c>
      <c r="AR113" s="316">
        <f t="shared" si="38"/>
        <v>0</v>
      </c>
      <c r="AS113" s="316">
        <f t="shared" si="38"/>
        <v>0</v>
      </c>
      <c r="AT113" s="316">
        <f t="shared" si="38"/>
        <v>0</v>
      </c>
      <c r="AU113" s="316">
        <f t="shared" si="38"/>
        <v>0</v>
      </c>
      <c r="AV113" s="316">
        <f t="shared" si="38"/>
        <v>0</v>
      </c>
      <c r="AW113" s="316">
        <f t="shared" si="38"/>
        <v>0</v>
      </c>
      <c r="AX113" s="316">
        <f t="shared" si="38"/>
        <v>0</v>
      </c>
      <c r="AY113" s="316">
        <f t="shared" si="38"/>
        <v>0</v>
      </c>
      <c r="AZ113" s="316">
        <f t="shared" si="38"/>
        <v>0</v>
      </c>
      <c r="BA113" s="316">
        <f t="shared" si="38"/>
        <v>0</v>
      </c>
      <c r="BB113" s="316">
        <f t="shared" si="38"/>
        <v>0</v>
      </c>
      <c r="BC113" s="316">
        <f t="shared" si="38"/>
        <v>0</v>
      </c>
      <c r="BD113" s="316">
        <f t="shared" si="38"/>
        <v>0</v>
      </c>
      <c r="BE113" s="316">
        <f t="shared" si="38"/>
        <v>0</v>
      </c>
      <c r="BF113" s="316">
        <f t="shared" si="38"/>
        <v>0</v>
      </c>
      <c r="BG113" s="316">
        <f t="shared" si="38"/>
        <v>0</v>
      </c>
      <c r="BH113" s="316">
        <f t="shared" si="38"/>
        <v>0</v>
      </c>
      <c r="BI113" s="316">
        <f t="shared" si="38"/>
        <v>0</v>
      </c>
      <c r="BJ113" s="316">
        <f t="shared" si="38"/>
        <v>0</v>
      </c>
      <c r="BK113" s="316">
        <f t="shared" si="38"/>
        <v>0</v>
      </c>
      <c r="BL113" s="316">
        <f t="shared" si="38"/>
        <v>0</v>
      </c>
      <c r="BM113" s="316">
        <f t="shared" si="38"/>
        <v>0</v>
      </c>
      <c r="BN113" s="316">
        <f t="shared" ref="BN113:BX113" si="39">-(BN5+BN91)</f>
        <v>0</v>
      </c>
      <c r="BO113" s="316">
        <f t="shared" si="39"/>
        <v>0</v>
      </c>
      <c r="BP113" s="316">
        <f t="shared" si="39"/>
        <v>0</v>
      </c>
      <c r="BQ113" s="316">
        <f t="shared" si="39"/>
        <v>0</v>
      </c>
      <c r="BR113" s="316">
        <f t="shared" si="39"/>
        <v>0</v>
      </c>
      <c r="BS113" s="316">
        <f t="shared" si="39"/>
        <v>0</v>
      </c>
      <c r="BT113" s="316">
        <f t="shared" si="39"/>
        <v>0</v>
      </c>
      <c r="BU113" s="316">
        <f t="shared" si="39"/>
        <v>0</v>
      </c>
      <c r="BV113" s="316">
        <f t="shared" si="39"/>
        <v>0</v>
      </c>
      <c r="BW113" s="316">
        <f t="shared" si="39"/>
        <v>0</v>
      </c>
      <c r="BX113" s="316">
        <f t="shared" si="39"/>
        <v>0</v>
      </c>
    </row>
    <row r="114" spans="3:76">
      <c r="C114" s="314" t="s">
        <v>342</v>
      </c>
      <c r="D114" s="323"/>
      <c r="E114" s="315"/>
      <c r="F114" s="315"/>
      <c r="G114" s="315"/>
      <c r="H114" s="315">
        <f>-8333333</f>
        <v>-8333333</v>
      </c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15"/>
      <c r="AH114" s="315"/>
      <c r="AI114" s="315"/>
      <c r="AJ114" s="315"/>
      <c r="AK114" s="315"/>
      <c r="AL114" s="315"/>
      <c r="AM114" s="315"/>
      <c r="AN114" s="315"/>
      <c r="AO114" s="315"/>
      <c r="AP114" s="315"/>
      <c r="AQ114" s="315"/>
      <c r="AR114" s="315"/>
      <c r="AS114" s="315"/>
      <c r="AT114" s="315"/>
      <c r="AU114" s="315"/>
      <c r="AV114" s="315"/>
      <c r="AW114" s="315"/>
      <c r="AX114" s="315"/>
      <c r="AY114" s="315"/>
      <c r="AZ114" s="315"/>
      <c r="BA114" s="315"/>
      <c r="BB114" s="315"/>
      <c r="BC114" s="315"/>
      <c r="BD114" s="315"/>
      <c r="BE114" s="315"/>
      <c r="BF114" s="315"/>
      <c r="BG114" s="315"/>
      <c r="BH114" s="315"/>
      <c r="BI114" s="315"/>
      <c r="BJ114" s="315"/>
      <c r="BK114" s="315"/>
      <c r="BL114" s="315"/>
      <c r="BM114" s="315"/>
      <c r="BN114" s="315"/>
      <c r="BO114" s="315"/>
      <c r="BP114" s="315"/>
      <c r="BQ114" s="315"/>
      <c r="BR114" s="315"/>
      <c r="BS114" s="315"/>
      <c r="BT114" s="315"/>
      <c r="BU114" s="315"/>
      <c r="BV114" s="315"/>
      <c r="BW114" s="315"/>
      <c r="BX114" s="315"/>
    </row>
    <row r="115" spans="3:76">
      <c r="C115" s="314" t="s">
        <v>343</v>
      </c>
      <c r="D115" s="323"/>
      <c r="E115" s="315">
        <f t="shared" ref="E115:S115" si="40">-E56</f>
        <v>0</v>
      </c>
      <c r="F115" s="315">
        <f t="shared" si="40"/>
        <v>0</v>
      </c>
      <c r="G115" s="315">
        <f t="shared" si="40"/>
        <v>0</v>
      </c>
      <c r="H115" s="315">
        <f t="shared" si="40"/>
        <v>0</v>
      </c>
      <c r="I115" s="315">
        <f t="shared" si="40"/>
        <v>0</v>
      </c>
      <c r="J115" s="315">
        <f t="shared" si="40"/>
        <v>0</v>
      </c>
      <c r="K115" s="315">
        <f t="shared" si="40"/>
        <v>0</v>
      </c>
      <c r="L115" s="315">
        <f t="shared" si="40"/>
        <v>0</v>
      </c>
      <c r="M115" s="315">
        <f t="shared" si="40"/>
        <v>0</v>
      </c>
      <c r="N115" s="315">
        <f t="shared" si="40"/>
        <v>0</v>
      </c>
      <c r="O115" s="315">
        <f t="shared" si="40"/>
        <v>0</v>
      </c>
      <c r="P115" s="315">
        <f t="shared" si="40"/>
        <v>0</v>
      </c>
      <c r="Q115" s="315">
        <f t="shared" si="40"/>
        <v>0</v>
      </c>
      <c r="R115" s="315">
        <f t="shared" si="40"/>
        <v>0</v>
      </c>
      <c r="S115" s="315">
        <f t="shared" si="40"/>
        <v>0</v>
      </c>
      <c r="T115" s="315">
        <f>-T56-T57</f>
        <v>0</v>
      </c>
      <c r="U115" s="315">
        <f t="shared" ref="U115:BX115" si="41">-U56</f>
        <v>0</v>
      </c>
      <c r="V115" s="315">
        <f t="shared" si="41"/>
        <v>0</v>
      </c>
      <c r="W115" s="315">
        <f t="shared" si="41"/>
        <v>0</v>
      </c>
      <c r="X115" s="315">
        <f t="shared" si="41"/>
        <v>0</v>
      </c>
      <c r="Y115" s="315">
        <f t="shared" si="41"/>
        <v>0</v>
      </c>
      <c r="Z115" s="315">
        <f t="shared" si="41"/>
        <v>0</v>
      </c>
      <c r="AA115" s="315">
        <f t="shared" si="41"/>
        <v>0</v>
      </c>
      <c r="AB115" s="315">
        <f t="shared" si="41"/>
        <v>0</v>
      </c>
      <c r="AC115" s="315">
        <f t="shared" si="41"/>
        <v>0</v>
      </c>
      <c r="AD115" s="315">
        <f t="shared" si="41"/>
        <v>0</v>
      </c>
      <c r="AE115" s="315">
        <f t="shared" si="41"/>
        <v>0</v>
      </c>
      <c r="AF115" s="315">
        <f t="shared" si="41"/>
        <v>0</v>
      </c>
      <c r="AG115" s="315">
        <f t="shared" si="41"/>
        <v>0</v>
      </c>
      <c r="AH115" s="315">
        <f t="shared" si="41"/>
        <v>0</v>
      </c>
      <c r="AI115" s="315">
        <f t="shared" si="41"/>
        <v>0</v>
      </c>
      <c r="AJ115" s="315">
        <f t="shared" si="41"/>
        <v>0</v>
      </c>
      <c r="AK115" s="315">
        <f t="shared" si="41"/>
        <v>0</v>
      </c>
      <c r="AL115" s="315">
        <f t="shared" si="41"/>
        <v>0</v>
      </c>
      <c r="AM115" s="315">
        <f t="shared" si="41"/>
        <v>0</v>
      </c>
      <c r="AN115" s="315">
        <f t="shared" si="41"/>
        <v>0</v>
      </c>
      <c r="AO115" s="315">
        <f t="shared" si="41"/>
        <v>0</v>
      </c>
      <c r="AP115" s="315">
        <f t="shared" si="41"/>
        <v>0</v>
      </c>
      <c r="AQ115" s="315">
        <f t="shared" si="41"/>
        <v>0</v>
      </c>
      <c r="AR115" s="315">
        <f t="shared" si="41"/>
        <v>0</v>
      </c>
      <c r="AS115" s="315">
        <f t="shared" si="41"/>
        <v>0</v>
      </c>
      <c r="AT115" s="315">
        <f t="shared" si="41"/>
        <v>0</v>
      </c>
      <c r="AU115" s="315">
        <f t="shared" si="41"/>
        <v>0</v>
      </c>
      <c r="AV115" s="315">
        <f t="shared" si="41"/>
        <v>0</v>
      </c>
      <c r="AW115" s="315">
        <f t="shared" si="41"/>
        <v>0</v>
      </c>
      <c r="AX115" s="315">
        <f t="shared" si="41"/>
        <v>0</v>
      </c>
      <c r="AY115" s="315">
        <f t="shared" si="41"/>
        <v>0</v>
      </c>
      <c r="AZ115" s="315">
        <f t="shared" si="41"/>
        <v>0</v>
      </c>
      <c r="BA115" s="315">
        <f t="shared" si="41"/>
        <v>0</v>
      </c>
      <c r="BB115" s="315">
        <f t="shared" si="41"/>
        <v>0</v>
      </c>
      <c r="BC115" s="315">
        <f t="shared" si="41"/>
        <v>0</v>
      </c>
      <c r="BD115" s="315">
        <f t="shared" si="41"/>
        <v>0</v>
      </c>
      <c r="BE115" s="315">
        <f t="shared" si="41"/>
        <v>0</v>
      </c>
      <c r="BF115" s="315">
        <f t="shared" si="41"/>
        <v>0</v>
      </c>
      <c r="BG115" s="315">
        <f t="shared" si="41"/>
        <v>0</v>
      </c>
      <c r="BH115" s="315">
        <f t="shared" si="41"/>
        <v>0</v>
      </c>
      <c r="BI115" s="315">
        <f t="shared" si="41"/>
        <v>0</v>
      </c>
      <c r="BJ115" s="315">
        <f t="shared" si="41"/>
        <v>0</v>
      </c>
      <c r="BK115" s="315">
        <f t="shared" si="41"/>
        <v>0</v>
      </c>
      <c r="BL115" s="315">
        <f t="shared" si="41"/>
        <v>0</v>
      </c>
      <c r="BM115" s="315">
        <f t="shared" si="41"/>
        <v>0</v>
      </c>
      <c r="BN115" s="315">
        <f t="shared" si="41"/>
        <v>0</v>
      </c>
      <c r="BO115" s="315">
        <f t="shared" si="41"/>
        <v>0</v>
      </c>
      <c r="BP115" s="315">
        <f t="shared" si="41"/>
        <v>0</v>
      </c>
      <c r="BQ115" s="315">
        <f t="shared" si="41"/>
        <v>0</v>
      </c>
      <c r="BR115" s="315">
        <f t="shared" si="41"/>
        <v>0</v>
      </c>
      <c r="BS115" s="315">
        <f t="shared" si="41"/>
        <v>0</v>
      </c>
      <c r="BT115" s="315">
        <f t="shared" si="41"/>
        <v>0</v>
      </c>
      <c r="BU115" s="315">
        <f t="shared" si="41"/>
        <v>0</v>
      </c>
      <c r="BV115" s="315">
        <f t="shared" si="41"/>
        <v>0</v>
      </c>
      <c r="BW115" s="315">
        <f t="shared" si="41"/>
        <v>0</v>
      </c>
      <c r="BX115" s="315">
        <f t="shared" si="41"/>
        <v>0</v>
      </c>
    </row>
    <row r="116" spans="3:76">
      <c r="C116" s="314" t="s">
        <v>344</v>
      </c>
      <c r="D116" s="323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15"/>
      <c r="AH116" s="315"/>
      <c r="AI116" s="315"/>
      <c r="AJ116" s="315"/>
      <c r="AK116" s="315"/>
      <c r="AL116" s="315"/>
      <c r="AM116" s="315"/>
      <c r="AN116" s="315"/>
      <c r="AO116" s="315"/>
      <c r="AP116" s="315"/>
      <c r="AQ116" s="315"/>
      <c r="AR116" s="315"/>
      <c r="AS116" s="315"/>
      <c r="AT116" s="315"/>
      <c r="AU116" s="315"/>
      <c r="AV116" s="315"/>
      <c r="AW116" s="315"/>
      <c r="AX116" s="315"/>
      <c r="AY116" s="315"/>
      <c r="AZ116" s="315"/>
      <c r="BA116" s="315"/>
      <c r="BB116" s="315"/>
      <c r="BC116" s="315"/>
      <c r="BD116" s="315"/>
      <c r="BE116" s="315"/>
      <c r="BF116" s="315"/>
      <c r="BG116" s="315"/>
      <c r="BH116" s="315"/>
      <c r="BI116" s="315"/>
      <c r="BJ116" s="315"/>
      <c r="BK116" s="315"/>
      <c r="BL116" s="315"/>
      <c r="BM116" s="315"/>
      <c r="BN116" s="315"/>
      <c r="BO116" s="315"/>
      <c r="BP116" s="315"/>
      <c r="BQ116" s="315"/>
      <c r="BR116" s="315"/>
      <c r="BS116" s="315"/>
      <c r="BT116" s="315"/>
      <c r="BU116" s="315"/>
      <c r="BV116" s="315"/>
      <c r="BW116" s="315"/>
      <c r="BX116" s="315">
        <f>IF(D106&gt;0.25,(BX101-BX109)*D118,BX101*D118)</f>
        <v>42916927.532023504</v>
      </c>
    </row>
    <row r="117" spans="3:76">
      <c r="C117" s="314" t="s">
        <v>340</v>
      </c>
      <c r="D117" s="323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15"/>
      <c r="AH117" s="315"/>
      <c r="AI117" s="315"/>
      <c r="AJ117" s="315"/>
      <c r="AK117" s="315"/>
      <c r="AL117" s="315"/>
      <c r="AM117" s="315"/>
      <c r="AN117" s="315"/>
      <c r="AO117" s="315"/>
      <c r="AP117" s="315"/>
      <c r="AQ117" s="315"/>
      <c r="AR117" s="315"/>
      <c r="AS117" s="315"/>
      <c r="AT117" s="315"/>
      <c r="AU117" s="315"/>
      <c r="AV117" s="315"/>
      <c r="AW117" s="315"/>
      <c r="AX117" s="315"/>
      <c r="AY117" s="315"/>
      <c r="AZ117" s="315"/>
      <c r="BA117" s="315"/>
      <c r="BB117" s="315"/>
      <c r="BC117" s="315"/>
      <c r="BD117" s="315"/>
      <c r="BE117" s="315"/>
      <c r="BF117" s="315"/>
      <c r="BG117" s="315"/>
      <c r="BH117" s="315"/>
      <c r="BI117" s="315"/>
      <c r="BJ117" s="315"/>
      <c r="BK117" s="315"/>
      <c r="BL117" s="315"/>
      <c r="BM117" s="315"/>
      <c r="BN117" s="315"/>
      <c r="BO117" s="315"/>
      <c r="BP117" s="315"/>
      <c r="BQ117" s="315"/>
      <c r="BR117" s="315"/>
      <c r="BS117" s="315"/>
      <c r="BT117" s="315"/>
      <c r="BU117" s="315"/>
      <c r="BV117" s="315"/>
      <c r="BW117" s="315"/>
      <c r="BX117" s="315">
        <f>IF(D106&gt;0.25,BX109,0)</f>
        <v>10729231.883005876</v>
      </c>
    </row>
    <row r="118" spans="3:76">
      <c r="C118" s="317" t="s">
        <v>345</v>
      </c>
      <c r="D118" s="323">
        <v>1</v>
      </c>
      <c r="E118" s="246"/>
      <c r="F118" s="246"/>
      <c r="G118" s="246"/>
      <c r="H118" s="246"/>
      <c r="I118" s="246"/>
      <c r="J118" s="246"/>
      <c r="K118" s="246"/>
      <c r="L118" s="246"/>
      <c r="M118" s="246"/>
      <c r="N118" s="246"/>
      <c r="O118" s="246"/>
      <c r="P118" s="246"/>
      <c r="Q118" s="246"/>
      <c r="R118" s="246"/>
      <c r="S118" s="246"/>
      <c r="T118" s="246">
        <f>T101</f>
        <v>-6243660.8019371293</v>
      </c>
      <c r="U118" s="246"/>
      <c r="V118" s="246"/>
      <c r="W118" s="246"/>
      <c r="X118" s="246"/>
      <c r="Y118" s="246"/>
      <c r="Z118" s="246"/>
      <c r="AA118" s="246"/>
      <c r="AB118" s="246"/>
      <c r="AC118" s="246"/>
      <c r="AD118" s="246"/>
      <c r="AE118" s="246"/>
      <c r="AF118" s="246"/>
      <c r="AG118" s="246"/>
      <c r="AH118" s="246"/>
      <c r="AI118" s="246"/>
      <c r="AJ118" s="246"/>
      <c r="AK118" s="246"/>
      <c r="AL118" s="246"/>
      <c r="AM118" s="246"/>
      <c r="AN118" s="246"/>
      <c r="AO118" s="246"/>
      <c r="AP118" s="246"/>
      <c r="AQ118" s="246"/>
      <c r="AR118" s="246"/>
      <c r="AS118" s="246"/>
      <c r="AT118" s="246"/>
      <c r="AU118" s="246"/>
      <c r="AV118" s="246"/>
      <c r="AW118" s="246"/>
      <c r="AX118" s="246"/>
      <c r="AY118" s="246"/>
      <c r="AZ118" s="246"/>
      <c r="BA118" s="246"/>
      <c r="BB118" s="246"/>
      <c r="BC118" s="324"/>
      <c r="BD118" s="246"/>
      <c r="BE118" s="246"/>
      <c r="BF118" s="246"/>
      <c r="BG118" s="246"/>
      <c r="BH118" s="246"/>
      <c r="BI118" s="246"/>
      <c r="BJ118" s="246"/>
      <c r="BK118" s="246"/>
      <c r="BL118" s="246"/>
      <c r="BM118" s="246"/>
      <c r="BN118" s="246"/>
      <c r="BO118" s="246"/>
      <c r="BP118" s="246"/>
      <c r="BQ118" s="246"/>
      <c r="BR118" s="246"/>
      <c r="BS118" s="246"/>
      <c r="BT118" s="246"/>
      <c r="BU118" s="246"/>
      <c r="BV118" s="246"/>
      <c r="BW118" s="246"/>
      <c r="BX118" s="246"/>
    </row>
    <row r="119" spans="3:76">
      <c r="C119" s="314" t="s">
        <v>346</v>
      </c>
      <c r="D119" s="318"/>
      <c r="E119" s="325">
        <f t="shared" ref="E119:BW119" si="42">E113+E114+E115+E116+E118</f>
        <v>0</v>
      </c>
      <c r="F119" s="325">
        <f t="shared" si="42"/>
        <v>0</v>
      </c>
      <c r="G119" s="325">
        <f t="shared" si="42"/>
        <v>0</v>
      </c>
      <c r="H119" s="325">
        <f t="shared" si="42"/>
        <v>-24698335</v>
      </c>
      <c r="I119" s="325">
        <f t="shared" si="42"/>
        <v>0</v>
      </c>
      <c r="J119" s="325">
        <f t="shared" si="42"/>
        <v>0</v>
      </c>
      <c r="K119" s="325">
        <f t="shared" si="42"/>
        <v>-885000</v>
      </c>
      <c r="L119" s="325">
        <f t="shared" si="42"/>
        <v>-1940000</v>
      </c>
      <c r="M119" s="325">
        <f t="shared" si="42"/>
        <v>-4260000</v>
      </c>
      <c r="N119" s="325">
        <f t="shared" si="42"/>
        <v>0</v>
      </c>
      <c r="O119" s="325">
        <f t="shared" si="42"/>
        <v>0</v>
      </c>
      <c r="P119" s="325">
        <f t="shared" si="42"/>
        <v>-800000</v>
      </c>
      <c r="Q119" s="325">
        <f t="shared" si="42"/>
        <v>0</v>
      </c>
      <c r="R119" s="325">
        <f t="shared" si="42"/>
        <v>0</v>
      </c>
      <c r="S119" s="325">
        <f t="shared" si="42"/>
        <v>0</v>
      </c>
      <c r="T119" s="325">
        <f t="shared" si="42"/>
        <v>-6243660.8019371293</v>
      </c>
      <c r="U119" s="325">
        <f t="shared" si="42"/>
        <v>0</v>
      </c>
      <c r="V119" s="325">
        <f t="shared" si="42"/>
        <v>0</v>
      </c>
      <c r="W119" s="325">
        <f t="shared" si="42"/>
        <v>0</v>
      </c>
      <c r="X119" s="325">
        <f t="shared" si="42"/>
        <v>0</v>
      </c>
      <c r="Y119" s="325">
        <f t="shared" si="42"/>
        <v>0</v>
      </c>
      <c r="Z119" s="325">
        <f t="shared" si="42"/>
        <v>0</v>
      </c>
      <c r="AA119" s="325">
        <f t="shared" si="42"/>
        <v>24250002</v>
      </c>
      <c r="AB119" s="325">
        <f t="shared" si="42"/>
        <v>0</v>
      </c>
      <c r="AC119" s="325">
        <f t="shared" si="42"/>
        <v>0</v>
      </c>
      <c r="AD119" s="325">
        <f t="shared" si="42"/>
        <v>0</v>
      </c>
      <c r="AE119" s="325">
        <f t="shared" si="42"/>
        <v>0</v>
      </c>
      <c r="AF119" s="325">
        <f t="shared" si="42"/>
        <v>0</v>
      </c>
      <c r="AG119" s="325">
        <f t="shared" si="42"/>
        <v>0</v>
      </c>
      <c r="AH119" s="325">
        <f t="shared" si="42"/>
        <v>0</v>
      </c>
      <c r="AI119" s="325">
        <f t="shared" si="42"/>
        <v>0</v>
      </c>
      <c r="AJ119" s="325">
        <f t="shared" si="42"/>
        <v>0</v>
      </c>
      <c r="AK119" s="325">
        <f t="shared" si="42"/>
        <v>0</v>
      </c>
      <c r="AL119" s="325">
        <f t="shared" si="42"/>
        <v>0</v>
      </c>
      <c r="AM119" s="325">
        <f t="shared" si="42"/>
        <v>0</v>
      </c>
      <c r="AN119" s="325">
        <f t="shared" si="42"/>
        <v>0</v>
      </c>
      <c r="AO119" s="325">
        <f t="shared" si="42"/>
        <v>0</v>
      </c>
      <c r="AP119" s="325">
        <f t="shared" si="42"/>
        <v>0</v>
      </c>
      <c r="AQ119" s="325">
        <f t="shared" si="42"/>
        <v>0</v>
      </c>
      <c r="AR119" s="325">
        <f t="shared" si="42"/>
        <v>0</v>
      </c>
      <c r="AS119" s="325">
        <f t="shared" si="42"/>
        <v>0</v>
      </c>
      <c r="AT119" s="325">
        <f t="shared" si="42"/>
        <v>0</v>
      </c>
      <c r="AU119" s="325">
        <f t="shared" si="42"/>
        <v>0</v>
      </c>
      <c r="AV119" s="325">
        <f t="shared" si="42"/>
        <v>0</v>
      </c>
      <c r="AW119" s="325">
        <f t="shared" si="42"/>
        <v>0</v>
      </c>
      <c r="AX119" s="325">
        <f t="shared" si="42"/>
        <v>0</v>
      </c>
      <c r="AY119" s="325">
        <f t="shared" si="42"/>
        <v>0</v>
      </c>
      <c r="AZ119" s="325">
        <f t="shared" si="42"/>
        <v>0</v>
      </c>
      <c r="BA119" s="325">
        <f t="shared" si="42"/>
        <v>0</v>
      </c>
      <c r="BB119" s="325">
        <f t="shared" si="42"/>
        <v>0</v>
      </c>
      <c r="BC119" s="325">
        <f t="shared" si="42"/>
        <v>0</v>
      </c>
      <c r="BD119" s="325">
        <f t="shared" si="42"/>
        <v>0</v>
      </c>
      <c r="BE119" s="325">
        <f t="shared" si="42"/>
        <v>0</v>
      </c>
      <c r="BF119" s="325">
        <f t="shared" si="42"/>
        <v>0</v>
      </c>
      <c r="BG119" s="325">
        <f t="shared" si="42"/>
        <v>0</v>
      </c>
      <c r="BH119" s="325">
        <f t="shared" si="42"/>
        <v>0</v>
      </c>
      <c r="BI119" s="325">
        <f t="shared" si="42"/>
        <v>0</v>
      </c>
      <c r="BJ119" s="325">
        <f t="shared" si="42"/>
        <v>0</v>
      </c>
      <c r="BK119" s="325">
        <f t="shared" si="42"/>
        <v>0</v>
      </c>
      <c r="BL119" s="325">
        <f t="shared" si="42"/>
        <v>0</v>
      </c>
      <c r="BM119" s="325">
        <f t="shared" si="42"/>
        <v>0</v>
      </c>
      <c r="BN119" s="325">
        <f t="shared" si="42"/>
        <v>0</v>
      </c>
      <c r="BO119" s="325">
        <f t="shared" si="42"/>
        <v>0</v>
      </c>
      <c r="BP119" s="325">
        <f t="shared" si="42"/>
        <v>0</v>
      </c>
      <c r="BQ119" s="325">
        <f t="shared" si="42"/>
        <v>0</v>
      </c>
      <c r="BR119" s="325">
        <f t="shared" si="42"/>
        <v>0</v>
      </c>
      <c r="BS119" s="325">
        <f t="shared" si="42"/>
        <v>0</v>
      </c>
      <c r="BT119" s="325">
        <f t="shared" si="42"/>
        <v>0</v>
      </c>
      <c r="BU119" s="325">
        <f t="shared" si="42"/>
        <v>0</v>
      </c>
      <c r="BV119" s="325">
        <f t="shared" si="42"/>
        <v>0</v>
      </c>
      <c r="BW119" s="325">
        <f t="shared" si="42"/>
        <v>0</v>
      </c>
      <c r="BX119" s="325">
        <f>BX113+BX114+BX115+BX116+BX117+BX118</f>
        <v>53646159.415029377</v>
      </c>
    </row>
    <row r="120" spans="3:76">
      <c r="C120" s="317" t="s">
        <v>339</v>
      </c>
      <c r="D120" s="326">
        <f>IRR(E119:BX119)*12</f>
        <v>0.18396431775192212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6"/>
      <c r="BQ120" s="226"/>
      <c r="BR120" s="226"/>
      <c r="BS120" s="226"/>
      <c r="BT120" s="226"/>
      <c r="BU120" s="226"/>
      <c r="BV120" s="226"/>
      <c r="BW120" s="226"/>
      <c r="BX120" s="226"/>
    </row>
    <row r="121" spans="3:76">
      <c r="C121" s="327" t="s">
        <v>347</v>
      </c>
      <c r="D121" s="328">
        <f>SUM(BY5:BY6)</f>
        <v>24250002</v>
      </c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  <c r="BX121" s="226"/>
    </row>
    <row r="122" spans="3:76">
      <c r="C122" s="327" t="s">
        <v>348</v>
      </c>
      <c r="D122" s="328">
        <f>-SUM(E114:BM114)</f>
        <v>8333333</v>
      </c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34">
        <f>SUM(Rentroll!$P$2:$P$4)</f>
        <v>613346.05139999976</v>
      </c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  <c r="BX122" s="226"/>
    </row>
    <row r="123" spans="3:76">
      <c r="C123" s="317" t="s">
        <v>349</v>
      </c>
      <c r="D123" s="329">
        <f>D121+D122</f>
        <v>32583335</v>
      </c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784" t="s">
        <v>625</v>
      </c>
      <c r="T123" s="772"/>
      <c r="U123" s="226"/>
      <c r="V123" s="226">
        <f>T113+5000000+3333333</f>
        <v>8333333</v>
      </c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Y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  <c r="BX123" s="226"/>
    </row>
    <row r="124" spans="3:76">
      <c r="C124" s="317" t="s">
        <v>350</v>
      </c>
      <c r="D124" s="329">
        <f>T119-D121</f>
        <v>-30493662.801937129</v>
      </c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784" t="s">
        <v>626</v>
      </c>
      <c r="T124" s="772"/>
      <c r="U124" s="226"/>
      <c r="V124" s="226">
        <f>V123+11000000</f>
        <v>19333333</v>
      </c>
      <c r="W124" s="226"/>
      <c r="X124" s="226"/>
      <c r="Y124" s="226"/>
      <c r="Z124" s="226"/>
      <c r="AA124" s="226"/>
      <c r="AB124" s="226"/>
      <c r="AC124" s="226"/>
      <c r="AD124" s="226"/>
      <c r="AE124" s="226"/>
      <c r="AF124" s="226"/>
      <c r="AG124" s="226"/>
      <c r="AH124" s="226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AY124" s="226"/>
      <c r="AZ124" s="226"/>
      <c r="BA124" s="226"/>
      <c r="BB124" s="226"/>
      <c r="BC124" s="226"/>
      <c r="BD124" s="226"/>
      <c r="BE124" s="226"/>
      <c r="BF124" s="226"/>
      <c r="BG124" s="226"/>
      <c r="BH124" s="226"/>
      <c r="BI124" s="226"/>
      <c r="BJ124" s="226"/>
      <c r="BK124" s="226"/>
      <c r="BL124" s="226"/>
      <c r="BM124" s="226"/>
      <c r="BN124" s="226"/>
      <c r="BO124" s="226"/>
      <c r="BP124" s="226"/>
      <c r="BQ124" s="226"/>
      <c r="BR124" s="226"/>
      <c r="BS124" s="226"/>
      <c r="BT124" s="226"/>
      <c r="BU124" s="226"/>
      <c r="BV124" s="226"/>
      <c r="BW124" s="226"/>
      <c r="BX124" s="226"/>
    </row>
    <row r="125" spans="3:76">
      <c r="C125" s="317" t="s">
        <v>351</v>
      </c>
      <c r="D125" s="326">
        <f>(D124-D122)/D123</f>
        <v>-1.1916212935826591</v>
      </c>
      <c r="E125" s="226"/>
      <c r="F125" s="242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 t="s">
        <v>627</v>
      </c>
      <c r="T125" s="226"/>
      <c r="U125" s="226"/>
      <c r="V125" s="226">
        <f>T119-V124</f>
        <v>-25576993.801937129</v>
      </c>
      <c r="W125" s="226"/>
      <c r="X125" s="226">
        <f>V124-T113-T101</f>
        <v>25576993.801937129</v>
      </c>
      <c r="Y125" s="226"/>
      <c r="Z125" s="226"/>
      <c r="AA125" s="226"/>
      <c r="AB125" s="226"/>
      <c r="AC125" s="226"/>
      <c r="AD125" s="226"/>
      <c r="AE125" s="226"/>
      <c r="AF125" s="226"/>
      <c r="AG125" s="226"/>
      <c r="AH125" s="226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AY125" s="226"/>
      <c r="AZ125" s="226"/>
      <c r="BA125" s="226"/>
      <c r="BB125" s="226"/>
      <c r="BC125" s="226"/>
      <c r="BD125" s="226"/>
      <c r="BE125" s="226"/>
      <c r="BF125" s="226"/>
      <c r="BG125" s="226"/>
      <c r="BH125" s="226"/>
      <c r="BI125" s="226"/>
      <c r="BJ125" s="226"/>
      <c r="BK125" s="226"/>
      <c r="BL125" s="226"/>
      <c r="BM125" s="226"/>
      <c r="BN125" s="226"/>
      <c r="BO125" s="226"/>
      <c r="BP125" s="226"/>
      <c r="BQ125" s="226"/>
      <c r="BR125" s="226"/>
      <c r="BS125" s="226"/>
      <c r="BT125" s="226"/>
      <c r="BU125" s="226"/>
      <c r="BV125" s="226"/>
      <c r="BW125" s="226"/>
      <c r="BX125" s="226"/>
    </row>
    <row r="126" spans="3:76"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42" t="e">
        <f>V125/-J113</f>
        <v>#DIV/0!</v>
      </c>
      <c r="W126" s="226"/>
      <c r="X126" s="226"/>
      <c r="Y126" s="226"/>
      <c r="Z126" s="226"/>
      <c r="AA126" s="226"/>
      <c r="AB126" s="226"/>
      <c r="AC126" s="226"/>
      <c r="AD126" s="226"/>
      <c r="AE126" s="226"/>
      <c r="AF126" s="226"/>
      <c r="AG126" s="226"/>
      <c r="AH126" s="226"/>
      <c r="AI126" s="226"/>
      <c r="AJ126" s="226"/>
      <c r="AK126" s="226"/>
      <c r="AL126" s="226"/>
      <c r="AM126" s="226"/>
      <c r="AN126" s="226"/>
      <c r="AO126" s="226"/>
      <c r="AP126" s="226"/>
      <c r="AQ126" s="226"/>
      <c r="AR126" s="226"/>
      <c r="AS126" s="226"/>
      <c r="AT126" s="226"/>
      <c r="AU126" s="226"/>
      <c r="AV126" s="226"/>
      <c r="AW126" s="226"/>
      <c r="AX126" s="226"/>
      <c r="AY126" s="226"/>
      <c r="AZ126" s="226"/>
      <c r="BA126" s="226"/>
      <c r="BB126" s="226"/>
      <c r="BC126" s="226"/>
      <c r="BD126" s="226"/>
      <c r="BE126" s="226"/>
      <c r="BF126" s="226"/>
      <c r="BG126" s="226"/>
      <c r="BH126" s="226"/>
      <c r="BI126" s="226"/>
      <c r="BJ126" s="226"/>
      <c r="BK126" s="226"/>
      <c r="BL126" s="226"/>
      <c r="BM126" s="226"/>
      <c r="BN126" s="226"/>
      <c r="BO126" s="226"/>
      <c r="BP126" s="226"/>
      <c r="BQ126" s="226"/>
      <c r="BR126" s="226"/>
      <c r="BS126" s="226"/>
      <c r="BT126" s="226"/>
      <c r="BU126" s="226"/>
      <c r="BV126" s="226"/>
      <c r="BW126" s="226"/>
      <c r="BX126" s="226"/>
    </row>
    <row r="131" spans="3:76">
      <c r="C131" s="314" t="s">
        <v>352</v>
      </c>
      <c r="D131" s="315"/>
      <c r="E131" s="315">
        <f t="shared" ref="E131:BX131" si="43">-(E6+E92)</f>
        <v>0</v>
      </c>
      <c r="F131" s="315">
        <f t="shared" si="43"/>
        <v>0</v>
      </c>
      <c r="G131" s="315">
        <f t="shared" si="43"/>
        <v>0</v>
      </c>
      <c r="H131" s="315">
        <f t="shared" si="43"/>
        <v>0</v>
      </c>
      <c r="I131" s="315">
        <f t="shared" si="43"/>
        <v>0</v>
      </c>
      <c r="J131" s="315">
        <f t="shared" si="43"/>
        <v>0</v>
      </c>
      <c r="K131" s="315">
        <f t="shared" si="43"/>
        <v>-885000</v>
      </c>
      <c r="L131" s="315">
        <f t="shared" si="43"/>
        <v>-1940000</v>
      </c>
      <c r="M131" s="315">
        <f t="shared" si="43"/>
        <v>-4260000</v>
      </c>
      <c r="N131" s="315">
        <f t="shared" si="43"/>
        <v>0</v>
      </c>
      <c r="O131" s="315">
        <f t="shared" si="43"/>
        <v>0</v>
      </c>
      <c r="P131" s="315">
        <f t="shared" si="43"/>
        <v>-800000</v>
      </c>
      <c r="Q131" s="315">
        <f t="shared" si="43"/>
        <v>0</v>
      </c>
      <c r="R131" s="315">
        <f t="shared" si="43"/>
        <v>0</v>
      </c>
      <c r="S131" s="315">
        <f t="shared" si="43"/>
        <v>0</v>
      </c>
      <c r="T131" s="315">
        <f t="shared" si="43"/>
        <v>0</v>
      </c>
      <c r="U131" s="315">
        <f t="shared" si="43"/>
        <v>0</v>
      </c>
      <c r="V131" s="315">
        <f t="shared" si="43"/>
        <v>0</v>
      </c>
      <c r="W131" s="315">
        <f t="shared" si="43"/>
        <v>0</v>
      </c>
      <c r="X131" s="315">
        <f t="shared" si="43"/>
        <v>0</v>
      </c>
      <c r="Y131" s="315">
        <f t="shared" si="43"/>
        <v>0</v>
      </c>
      <c r="Z131" s="315">
        <f t="shared" si="43"/>
        <v>0</v>
      </c>
      <c r="AA131" s="315">
        <f t="shared" si="43"/>
        <v>7885000</v>
      </c>
      <c r="AB131" s="315">
        <f t="shared" si="43"/>
        <v>0</v>
      </c>
      <c r="AC131" s="315">
        <f t="shared" si="43"/>
        <v>0</v>
      </c>
      <c r="AD131" s="315">
        <f t="shared" si="43"/>
        <v>0</v>
      </c>
      <c r="AE131" s="315">
        <f t="shared" si="43"/>
        <v>0</v>
      </c>
      <c r="AF131" s="315">
        <f t="shared" si="43"/>
        <v>0</v>
      </c>
      <c r="AG131" s="315">
        <f t="shared" si="43"/>
        <v>0</v>
      </c>
      <c r="AH131" s="315">
        <f t="shared" si="43"/>
        <v>0</v>
      </c>
      <c r="AI131" s="315">
        <f t="shared" si="43"/>
        <v>0</v>
      </c>
      <c r="AJ131" s="315">
        <f t="shared" si="43"/>
        <v>0</v>
      </c>
      <c r="AK131" s="315">
        <f t="shared" si="43"/>
        <v>0</v>
      </c>
      <c r="AL131" s="315">
        <f t="shared" si="43"/>
        <v>0</v>
      </c>
      <c r="AM131" s="315">
        <f t="shared" si="43"/>
        <v>0</v>
      </c>
      <c r="AN131" s="315">
        <f t="shared" si="43"/>
        <v>0</v>
      </c>
      <c r="AO131" s="315">
        <f t="shared" si="43"/>
        <v>0</v>
      </c>
      <c r="AP131" s="315">
        <f t="shared" si="43"/>
        <v>0</v>
      </c>
      <c r="AQ131" s="315">
        <f t="shared" si="43"/>
        <v>0</v>
      </c>
      <c r="AR131" s="315">
        <f t="shared" si="43"/>
        <v>0</v>
      </c>
      <c r="AS131" s="315">
        <f t="shared" si="43"/>
        <v>0</v>
      </c>
      <c r="AT131" s="315">
        <f t="shared" si="43"/>
        <v>0</v>
      </c>
      <c r="AU131" s="315">
        <f t="shared" si="43"/>
        <v>0</v>
      </c>
      <c r="AV131" s="315">
        <f t="shared" si="43"/>
        <v>0</v>
      </c>
      <c r="AW131" s="315">
        <f t="shared" si="43"/>
        <v>0</v>
      </c>
      <c r="AX131" s="315">
        <f t="shared" si="43"/>
        <v>0</v>
      </c>
      <c r="AY131" s="315">
        <f t="shared" si="43"/>
        <v>0</v>
      </c>
      <c r="AZ131" s="315">
        <f t="shared" si="43"/>
        <v>0</v>
      </c>
      <c r="BA131" s="315">
        <f t="shared" si="43"/>
        <v>0</v>
      </c>
      <c r="BB131" s="315">
        <f t="shared" si="43"/>
        <v>0</v>
      </c>
      <c r="BC131" s="315">
        <f t="shared" si="43"/>
        <v>0</v>
      </c>
      <c r="BD131" s="315">
        <f t="shared" si="43"/>
        <v>0</v>
      </c>
      <c r="BE131" s="315">
        <f t="shared" si="43"/>
        <v>0</v>
      </c>
      <c r="BF131" s="315">
        <f t="shared" si="43"/>
        <v>0</v>
      </c>
      <c r="BG131" s="315">
        <f t="shared" si="43"/>
        <v>0</v>
      </c>
      <c r="BH131" s="315">
        <f t="shared" si="43"/>
        <v>0</v>
      </c>
      <c r="BI131" s="315">
        <f t="shared" si="43"/>
        <v>0</v>
      </c>
      <c r="BJ131" s="315">
        <f t="shared" si="43"/>
        <v>0</v>
      </c>
      <c r="BK131" s="315">
        <f t="shared" si="43"/>
        <v>0</v>
      </c>
      <c r="BL131" s="315">
        <f t="shared" si="43"/>
        <v>0</v>
      </c>
      <c r="BM131" s="315">
        <f t="shared" si="43"/>
        <v>0</v>
      </c>
      <c r="BN131" s="315">
        <f t="shared" si="43"/>
        <v>0</v>
      </c>
      <c r="BO131" s="315">
        <f t="shared" si="43"/>
        <v>0</v>
      </c>
      <c r="BP131" s="315">
        <f t="shared" si="43"/>
        <v>0</v>
      </c>
      <c r="BQ131" s="315">
        <f t="shared" si="43"/>
        <v>0</v>
      </c>
      <c r="BR131" s="315">
        <f t="shared" si="43"/>
        <v>0</v>
      </c>
      <c r="BS131" s="315">
        <f t="shared" si="43"/>
        <v>0</v>
      </c>
      <c r="BT131" s="315">
        <f t="shared" si="43"/>
        <v>0</v>
      </c>
      <c r="BU131" s="315">
        <f t="shared" si="43"/>
        <v>0</v>
      </c>
      <c r="BV131" s="315">
        <f t="shared" si="43"/>
        <v>0</v>
      </c>
      <c r="BW131" s="315">
        <f t="shared" si="43"/>
        <v>0</v>
      </c>
      <c r="BX131" s="315">
        <f t="shared" si="43"/>
        <v>0</v>
      </c>
    </row>
    <row r="132" spans="3:76">
      <c r="C132" s="314" t="s">
        <v>353</v>
      </c>
      <c r="D132" s="323"/>
      <c r="E132" s="315"/>
      <c r="F132" s="315"/>
      <c r="G132" s="315"/>
      <c r="H132" s="315"/>
      <c r="I132" s="315"/>
      <c r="J132" s="315"/>
      <c r="K132" s="315"/>
      <c r="L132" s="315"/>
      <c r="M132" s="315"/>
      <c r="N132" s="315"/>
      <c r="O132" s="315"/>
      <c r="P132" s="315"/>
      <c r="Q132" s="315"/>
      <c r="R132" s="315"/>
      <c r="S132" s="315"/>
      <c r="T132" s="315"/>
      <c r="U132" s="315"/>
      <c r="V132" s="315"/>
      <c r="W132" s="315"/>
      <c r="X132" s="315"/>
      <c r="Y132" s="315"/>
      <c r="Z132" s="315"/>
      <c r="AA132" s="315"/>
      <c r="AB132" s="315"/>
      <c r="AC132" s="315"/>
      <c r="AD132" s="315"/>
      <c r="AE132" s="315"/>
      <c r="AF132" s="315"/>
      <c r="AG132" s="315"/>
      <c r="AH132" s="315"/>
      <c r="AI132" s="315"/>
      <c r="AJ132" s="315"/>
      <c r="AK132" s="315"/>
      <c r="AL132" s="315"/>
      <c r="AM132" s="315"/>
      <c r="AN132" s="315"/>
      <c r="AO132" s="315"/>
      <c r="AP132" s="315"/>
      <c r="AQ132" s="315"/>
      <c r="AR132" s="315"/>
      <c r="AS132" s="315"/>
      <c r="AT132" s="315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</row>
    <row r="133" spans="3:76">
      <c r="C133" s="314" t="s">
        <v>343</v>
      </c>
      <c r="D133" s="323"/>
      <c r="E133" s="315">
        <f t="shared" ref="E133:BX133" si="44">-E57</f>
        <v>0</v>
      </c>
      <c r="F133" s="315">
        <f t="shared" si="44"/>
        <v>0</v>
      </c>
      <c r="G133" s="315">
        <f t="shared" si="44"/>
        <v>0</v>
      </c>
      <c r="H133" s="315">
        <f t="shared" si="44"/>
        <v>0</v>
      </c>
      <c r="I133" s="315">
        <f t="shared" si="44"/>
        <v>0</v>
      </c>
      <c r="J133" s="315">
        <f t="shared" si="44"/>
        <v>0</v>
      </c>
      <c r="K133" s="315">
        <f t="shared" si="44"/>
        <v>0</v>
      </c>
      <c r="L133" s="315">
        <f t="shared" si="44"/>
        <v>0</v>
      </c>
      <c r="M133" s="315">
        <f t="shared" si="44"/>
        <v>0</v>
      </c>
      <c r="N133" s="315">
        <f t="shared" si="44"/>
        <v>0</v>
      </c>
      <c r="O133" s="315">
        <f t="shared" si="44"/>
        <v>0</v>
      </c>
      <c r="P133" s="315">
        <f t="shared" si="44"/>
        <v>0</v>
      </c>
      <c r="Q133" s="315">
        <f t="shared" si="44"/>
        <v>0</v>
      </c>
      <c r="R133" s="315">
        <f t="shared" si="44"/>
        <v>0</v>
      </c>
      <c r="S133" s="315">
        <f t="shared" si="44"/>
        <v>0</v>
      </c>
      <c r="T133" s="315">
        <f t="shared" si="44"/>
        <v>0</v>
      </c>
      <c r="U133" s="315">
        <f t="shared" si="44"/>
        <v>0</v>
      </c>
      <c r="V133" s="315">
        <f t="shared" si="44"/>
        <v>0</v>
      </c>
      <c r="W133" s="315">
        <f t="shared" si="44"/>
        <v>0</v>
      </c>
      <c r="X133" s="315">
        <f t="shared" si="44"/>
        <v>0</v>
      </c>
      <c r="Y133" s="315">
        <f t="shared" si="44"/>
        <v>0</v>
      </c>
      <c r="Z133" s="315">
        <f t="shared" si="44"/>
        <v>0</v>
      </c>
      <c r="AA133" s="315">
        <f t="shared" si="44"/>
        <v>0</v>
      </c>
      <c r="AB133" s="315">
        <f t="shared" si="44"/>
        <v>0</v>
      </c>
      <c r="AC133" s="315">
        <f t="shared" si="44"/>
        <v>0</v>
      </c>
      <c r="AD133" s="315">
        <f t="shared" si="44"/>
        <v>0</v>
      </c>
      <c r="AE133" s="315">
        <f t="shared" si="44"/>
        <v>0</v>
      </c>
      <c r="AF133" s="315">
        <f t="shared" si="44"/>
        <v>0</v>
      </c>
      <c r="AG133" s="315">
        <f t="shared" si="44"/>
        <v>0</v>
      </c>
      <c r="AH133" s="315">
        <f t="shared" si="44"/>
        <v>0</v>
      </c>
      <c r="AI133" s="315">
        <f t="shared" si="44"/>
        <v>0</v>
      </c>
      <c r="AJ133" s="315">
        <f t="shared" si="44"/>
        <v>0</v>
      </c>
      <c r="AK133" s="315">
        <f t="shared" si="44"/>
        <v>0</v>
      </c>
      <c r="AL133" s="315">
        <f t="shared" si="44"/>
        <v>0</v>
      </c>
      <c r="AM133" s="315">
        <f t="shared" si="44"/>
        <v>0</v>
      </c>
      <c r="AN133" s="315">
        <f t="shared" si="44"/>
        <v>0</v>
      </c>
      <c r="AO133" s="315">
        <f t="shared" si="44"/>
        <v>0</v>
      </c>
      <c r="AP133" s="315">
        <f t="shared" si="44"/>
        <v>0</v>
      </c>
      <c r="AQ133" s="315">
        <f t="shared" si="44"/>
        <v>0</v>
      </c>
      <c r="AR133" s="315">
        <f t="shared" si="44"/>
        <v>0</v>
      </c>
      <c r="AS133" s="315">
        <f t="shared" si="44"/>
        <v>0</v>
      </c>
      <c r="AT133" s="315">
        <f t="shared" si="44"/>
        <v>0</v>
      </c>
      <c r="AU133" s="315">
        <f t="shared" si="44"/>
        <v>0</v>
      </c>
      <c r="AV133" s="315">
        <f t="shared" si="44"/>
        <v>0</v>
      </c>
      <c r="AW133" s="315">
        <f t="shared" si="44"/>
        <v>0</v>
      </c>
      <c r="AX133" s="315">
        <f t="shared" si="44"/>
        <v>0</v>
      </c>
      <c r="AY133" s="315">
        <f t="shared" si="44"/>
        <v>0</v>
      </c>
      <c r="AZ133" s="315">
        <f t="shared" si="44"/>
        <v>0</v>
      </c>
      <c r="BA133" s="315">
        <f t="shared" si="44"/>
        <v>0</v>
      </c>
      <c r="BB133" s="315">
        <f t="shared" si="44"/>
        <v>0</v>
      </c>
      <c r="BC133" s="315">
        <f t="shared" si="44"/>
        <v>0</v>
      </c>
      <c r="BD133" s="315">
        <f t="shared" si="44"/>
        <v>0</v>
      </c>
      <c r="BE133" s="315">
        <f t="shared" si="44"/>
        <v>0</v>
      </c>
      <c r="BF133" s="315">
        <f t="shared" si="44"/>
        <v>0</v>
      </c>
      <c r="BG133" s="315">
        <f t="shared" si="44"/>
        <v>0</v>
      </c>
      <c r="BH133" s="315">
        <f t="shared" si="44"/>
        <v>0</v>
      </c>
      <c r="BI133" s="315">
        <f t="shared" si="44"/>
        <v>0</v>
      </c>
      <c r="BJ133" s="315">
        <f t="shared" si="44"/>
        <v>0</v>
      </c>
      <c r="BK133" s="315">
        <f t="shared" si="44"/>
        <v>0</v>
      </c>
      <c r="BL133" s="315">
        <f t="shared" si="44"/>
        <v>0</v>
      </c>
      <c r="BM133" s="315">
        <f t="shared" si="44"/>
        <v>0</v>
      </c>
      <c r="BN133" s="315">
        <f t="shared" si="44"/>
        <v>0</v>
      </c>
      <c r="BO133" s="315">
        <f t="shared" si="44"/>
        <v>0</v>
      </c>
      <c r="BP133" s="315">
        <f t="shared" si="44"/>
        <v>0</v>
      </c>
      <c r="BQ133" s="315">
        <f t="shared" si="44"/>
        <v>0</v>
      </c>
      <c r="BR133" s="315">
        <f t="shared" si="44"/>
        <v>0</v>
      </c>
      <c r="BS133" s="315">
        <f t="shared" si="44"/>
        <v>0</v>
      </c>
      <c r="BT133" s="315">
        <f t="shared" si="44"/>
        <v>0</v>
      </c>
      <c r="BU133" s="315">
        <f t="shared" si="44"/>
        <v>0</v>
      </c>
      <c r="BV133" s="315">
        <f t="shared" si="44"/>
        <v>0</v>
      </c>
      <c r="BW133" s="315">
        <f t="shared" si="44"/>
        <v>0</v>
      </c>
      <c r="BX133" s="315">
        <f t="shared" si="44"/>
        <v>0</v>
      </c>
    </row>
    <row r="134" spans="3:76">
      <c r="C134" s="314" t="s">
        <v>344</v>
      </c>
      <c r="D134" s="323"/>
      <c r="E134" s="315"/>
      <c r="F134" s="315"/>
      <c r="G134" s="315"/>
      <c r="H134" s="315"/>
      <c r="I134" s="315"/>
      <c r="J134" s="315"/>
      <c r="K134" s="315"/>
      <c r="L134" s="315"/>
      <c r="M134" s="315"/>
      <c r="N134" s="315"/>
      <c r="O134" s="315"/>
      <c r="P134" s="315"/>
      <c r="Q134" s="315"/>
      <c r="R134" s="315"/>
      <c r="S134" s="315"/>
      <c r="T134" s="315">
        <f>T101-T150-T166-T182</f>
        <v>-17243660.801937129</v>
      </c>
      <c r="U134" s="315"/>
      <c r="V134" s="315"/>
      <c r="W134" s="315"/>
      <c r="X134" s="315"/>
      <c r="Y134" s="315"/>
      <c r="Z134" s="315"/>
      <c r="AA134" s="315"/>
      <c r="AB134" s="315"/>
      <c r="AC134" s="315"/>
      <c r="AD134" s="315"/>
      <c r="AE134" s="315"/>
      <c r="AF134" s="315"/>
      <c r="AG134" s="315"/>
      <c r="AH134" s="315"/>
      <c r="AI134" s="315"/>
      <c r="AJ134" s="315"/>
      <c r="AK134" s="315"/>
      <c r="AL134" s="315"/>
      <c r="AM134" s="315"/>
      <c r="AN134" s="315"/>
      <c r="AO134" s="315"/>
      <c r="AP134" s="315"/>
      <c r="AQ134" s="315"/>
      <c r="AR134" s="315"/>
      <c r="AS134" s="315"/>
      <c r="AT134" s="315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>
        <f>IF(D106&gt;0.25,(BX101-BX109)*D135,BX101*D135)</f>
        <v>0</v>
      </c>
    </row>
    <row r="135" spans="3:76">
      <c r="C135" s="317" t="s">
        <v>345</v>
      </c>
      <c r="D135" s="323">
        <v>0</v>
      </c>
      <c r="E135" s="246"/>
      <c r="F135" s="246"/>
      <c r="G135" s="246"/>
      <c r="H135" s="246"/>
      <c r="I135" s="246"/>
      <c r="J135" s="246"/>
      <c r="K135" s="246"/>
      <c r="L135" s="246"/>
      <c r="M135" s="246"/>
      <c r="N135" s="246"/>
      <c r="O135" s="246"/>
      <c r="P135" s="246"/>
      <c r="Q135" s="246"/>
      <c r="R135" s="246"/>
      <c r="S135" s="246"/>
      <c r="T135" s="246"/>
      <c r="U135" s="246"/>
      <c r="V135" s="246"/>
      <c r="W135" s="246"/>
      <c r="X135" s="246"/>
      <c r="Y135" s="246"/>
      <c r="Z135" s="246"/>
      <c r="AA135" s="246"/>
      <c r="AB135" s="246"/>
      <c r="AC135" s="246"/>
      <c r="AD135" s="246"/>
      <c r="AE135" s="246"/>
      <c r="AF135" s="246"/>
      <c r="AG135" s="246"/>
      <c r="AH135" s="246"/>
      <c r="AI135" s="246"/>
      <c r="AJ135" s="246"/>
      <c r="AK135" s="246"/>
      <c r="AL135" s="246"/>
      <c r="AM135" s="246"/>
      <c r="AN135" s="246"/>
      <c r="AO135" s="246"/>
      <c r="AP135" s="246"/>
      <c r="AQ135" s="246"/>
      <c r="AR135" s="246"/>
      <c r="AS135" s="246"/>
      <c r="AT135" s="246"/>
      <c r="AU135" s="246"/>
      <c r="AV135" s="246"/>
      <c r="AW135" s="246"/>
      <c r="AX135" s="246"/>
      <c r="AY135" s="246"/>
      <c r="AZ135" s="246"/>
      <c r="BA135" s="246"/>
      <c r="BB135" s="246"/>
      <c r="BC135" s="246"/>
      <c r="BD135" s="246"/>
      <c r="BE135" s="246"/>
      <c r="BF135" s="246"/>
      <c r="BG135" s="246"/>
      <c r="BH135" s="246"/>
      <c r="BI135" s="246"/>
      <c r="BJ135" s="246"/>
      <c r="BK135" s="246"/>
      <c r="BL135" s="246"/>
      <c r="BM135" s="246"/>
      <c r="BN135" s="246"/>
      <c r="BO135" s="246"/>
      <c r="BP135" s="246"/>
      <c r="BQ135" s="246"/>
      <c r="BR135" s="246"/>
      <c r="BS135" s="246"/>
      <c r="BT135" s="246"/>
      <c r="BU135" s="246"/>
      <c r="BV135" s="246"/>
      <c r="BW135" s="246"/>
      <c r="BX135" s="246"/>
    </row>
    <row r="136" spans="3:76">
      <c r="C136" s="314" t="s">
        <v>346</v>
      </c>
      <c r="D136" s="315"/>
      <c r="E136" s="325">
        <f t="shared" ref="E136:BX136" si="45">E131+E132+E133+E134+E135</f>
        <v>0</v>
      </c>
      <c r="F136" s="325">
        <f t="shared" si="45"/>
        <v>0</v>
      </c>
      <c r="G136" s="325">
        <f t="shared" si="45"/>
        <v>0</v>
      </c>
      <c r="H136" s="325">
        <f t="shared" si="45"/>
        <v>0</v>
      </c>
      <c r="I136" s="325">
        <f t="shared" si="45"/>
        <v>0</v>
      </c>
      <c r="J136" s="325">
        <f t="shared" si="45"/>
        <v>0</v>
      </c>
      <c r="K136" s="325">
        <f t="shared" si="45"/>
        <v>-885000</v>
      </c>
      <c r="L136" s="325">
        <f t="shared" si="45"/>
        <v>-1940000</v>
      </c>
      <c r="M136" s="325">
        <f t="shared" si="45"/>
        <v>-4260000</v>
      </c>
      <c r="N136" s="325">
        <f t="shared" si="45"/>
        <v>0</v>
      </c>
      <c r="O136" s="325">
        <f t="shared" si="45"/>
        <v>0</v>
      </c>
      <c r="P136" s="325">
        <f t="shared" si="45"/>
        <v>-800000</v>
      </c>
      <c r="Q136" s="325">
        <f t="shared" si="45"/>
        <v>0</v>
      </c>
      <c r="R136" s="325">
        <f t="shared" si="45"/>
        <v>0</v>
      </c>
      <c r="S136" s="325">
        <f t="shared" si="45"/>
        <v>0</v>
      </c>
      <c r="T136" s="325">
        <f t="shared" si="45"/>
        <v>-17243660.801937129</v>
      </c>
      <c r="U136" s="325">
        <f t="shared" si="45"/>
        <v>0</v>
      </c>
      <c r="V136" s="325">
        <f t="shared" si="45"/>
        <v>0</v>
      </c>
      <c r="W136" s="325">
        <f t="shared" si="45"/>
        <v>0</v>
      </c>
      <c r="X136" s="325">
        <f t="shared" si="45"/>
        <v>0</v>
      </c>
      <c r="Y136" s="325">
        <f t="shared" si="45"/>
        <v>0</v>
      </c>
      <c r="Z136" s="325">
        <f t="shared" si="45"/>
        <v>0</v>
      </c>
      <c r="AA136" s="325">
        <f t="shared" si="45"/>
        <v>7885000</v>
      </c>
      <c r="AB136" s="325">
        <f t="shared" si="45"/>
        <v>0</v>
      </c>
      <c r="AC136" s="325">
        <f t="shared" si="45"/>
        <v>0</v>
      </c>
      <c r="AD136" s="325">
        <f t="shared" si="45"/>
        <v>0</v>
      </c>
      <c r="AE136" s="325">
        <f t="shared" si="45"/>
        <v>0</v>
      </c>
      <c r="AF136" s="325">
        <f t="shared" si="45"/>
        <v>0</v>
      </c>
      <c r="AG136" s="325">
        <f t="shared" si="45"/>
        <v>0</v>
      </c>
      <c r="AH136" s="325">
        <f t="shared" si="45"/>
        <v>0</v>
      </c>
      <c r="AI136" s="325">
        <f t="shared" si="45"/>
        <v>0</v>
      </c>
      <c r="AJ136" s="325">
        <f t="shared" si="45"/>
        <v>0</v>
      </c>
      <c r="AK136" s="325">
        <f t="shared" si="45"/>
        <v>0</v>
      </c>
      <c r="AL136" s="325">
        <f t="shared" si="45"/>
        <v>0</v>
      </c>
      <c r="AM136" s="325">
        <f t="shared" si="45"/>
        <v>0</v>
      </c>
      <c r="AN136" s="325">
        <f t="shared" si="45"/>
        <v>0</v>
      </c>
      <c r="AO136" s="325">
        <f t="shared" si="45"/>
        <v>0</v>
      </c>
      <c r="AP136" s="325">
        <f t="shared" si="45"/>
        <v>0</v>
      </c>
      <c r="AQ136" s="325">
        <f t="shared" si="45"/>
        <v>0</v>
      </c>
      <c r="AR136" s="325">
        <f t="shared" si="45"/>
        <v>0</v>
      </c>
      <c r="AS136" s="325">
        <f t="shared" si="45"/>
        <v>0</v>
      </c>
      <c r="AT136" s="325">
        <f t="shared" si="45"/>
        <v>0</v>
      </c>
      <c r="AU136" s="325">
        <f t="shared" si="45"/>
        <v>0</v>
      </c>
      <c r="AV136" s="325">
        <f t="shared" si="45"/>
        <v>0</v>
      </c>
      <c r="AW136" s="325">
        <f t="shared" si="45"/>
        <v>0</v>
      </c>
      <c r="AX136" s="325">
        <f t="shared" si="45"/>
        <v>0</v>
      </c>
      <c r="AY136" s="325">
        <f t="shared" si="45"/>
        <v>0</v>
      </c>
      <c r="AZ136" s="325">
        <f t="shared" si="45"/>
        <v>0</v>
      </c>
      <c r="BA136" s="325">
        <f t="shared" si="45"/>
        <v>0</v>
      </c>
      <c r="BB136" s="325">
        <f t="shared" si="45"/>
        <v>0</v>
      </c>
      <c r="BC136" s="325">
        <f t="shared" si="45"/>
        <v>0</v>
      </c>
      <c r="BD136" s="325">
        <f t="shared" si="45"/>
        <v>0</v>
      </c>
      <c r="BE136" s="325">
        <f t="shared" si="45"/>
        <v>0</v>
      </c>
      <c r="BF136" s="325">
        <f t="shared" si="45"/>
        <v>0</v>
      </c>
      <c r="BG136" s="325">
        <f t="shared" si="45"/>
        <v>0</v>
      </c>
      <c r="BH136" s="325">
        <f t="shared" si="45"/>
        <v>0</v>
      </c>
      <c r="BI136" s="325">
        <f t="shared" si="45"/>
        <v>0</v>
      </c>
      <c r="BJ136" s="325">
        <f t="shared" si="45"/>
        <v>0</v>
      </c>
      <c r="BK136" s="325">
        <f t="shared" si="45"/>
        <v>0</v>
      </c>
      <c r="BL136" s="325">
        <f t="shared" si="45"/>
        <v>0</v>
      </c>
      <c r="BM136" s="325">
        <f t="shared" si="45"/>
        <v>0</v>
      </c>
      <c r="BN136" s="325">
        <f t="shared" si="45"/>
        <v>0</v>
      </c>
      <c r="BO136" s="325">
        <f t="shared" si="45"/>
        <v>0</v>
      </c>
      <c r="BP136" s="325">
        <f t="shared" si="45"/>
        <v>0</v>
      </c>
      <c r="BQ136" s="325">
        <f t="shared" si="45"/>
        <v>0</v>
      </c>
      <c r="BR136" s="325">
        <f t="shared" si="45"/>
        <v>0</v>
      </c>
      <c r="BS136" s="325">
        <f t="shared" si="45"/>
        <v>0</v>
      </c>
      <c r="BT136" s="325">
        <f t="shared" si="45"/>
        <v>0</v>
      </c>
      <c r="BU136" s="325">
        <f t="shared" si="45"/>
        <v>0</v>
      </c>
      <c r="BV136" s="325">
        <f t="shared" si="45"/>
        <v>0</v>
      </c>
      <c r="BW136" s="325">
        <f t="shared" si="45"/>
        <v>0</v>
      </c>
      <c r="BX136" s="325">
        <f t="shared" si="45"/>
        <v>0</v>
      </c>
    </row>
    <row r="137" spans="3:76">
      <c r="C137" s="318"/>
      <c r="D137" s="326" t="s">
        <v>354</v>
      </c>
      <c r="E137" s="330">
        <f>E136</f>
        <v>0</v>
      </c>
      <c r="F137" s="330">
        <f t="shared" ref="F137:BX137" si="46">E137+F136</f>
        <v>0</v>
      </c>
      <c r="G137" s="330">
        <f t="shared" si="46"/>
        <v>0</v>
      </c>
      <c r="H137" s="330">
        <f t="shared" si="46"/>
        <v>0</v>
      </c>
      <c r="I137" s="330">
        <f t="shared" si="46"/>
        <v>0</v>
      </c>
      <c r="J137" s="330">
        <f t="shared" si="46"/>
        <v>0</v>
      </c>
      <c r="K137" s="330">
        <f t="shared" si="46"/>
        <v>-885000</v>
      </c>
      <c r="L137" s="330">
        <f t="shared" si="46"/>
        <v>-2825000</v>
      </c>
      <c r="M137" s="330">
        <f t="shared" si="46"/>
        <v>-7085000</v>
      </c>
      <c r="N137" s="330">
        <f t="shared" si="46"/>
        <v>-7085000</v>
      </c>
      <c r="O137" s="330">
        <f t="shared" si="46"/>
        <v>-7085000</v>
      </c>
      <c r="P137" s="330">
        <f t="shared" si="46"/>
        <v>-7885000</v>
      </c>
      <c r="Q137" s="330">
        <f t="shared" si="46"/>
        <v>-7885000</v>
      </c>
      <c r="R137" s="330">
        <f t="shared" si="46"/>
        <v>-7885000</v>
      </c>
      <c r="S137" s="330">
        <f t="shared" si="46"/>
        <v>-7885000</v>
      </c>
      <c r="T137" s="330">
        <f t="shared" si="46"/>
        <v>-25128660.801937129</v>
      </c>
      <c r="U137" s="330">
        <f t="shared" si="46"/>
        <v>-25128660.801937129</v>
      </c>
      <c r="V137" s="330">
        <f t="shared" si="46"/>
        <v>-25128660.801937129</v>
      </c>
      <c r="W137" s="330">
        <f t="shared" si="46"/>
        <v>-25128660.801937129</v>
      </c>
      <c r="X137" s="330">
        <f t="shared" si="46"/>
        <v>-25128660.801937129</v>
      </c>
      <c r="Y137" s="330">
        <f t="shared" si="46"/>
        <v>-25128660.801937129</v>
      </c>
      <c r="Z137" s="330">
        <f t="shared" si="46"/>
        <v>-25128660.801937129</v>
      </c>
      <c r="AA137" s="330">
        <f t="shared" si="46"/>
        <v>-17243660.801937129</v>
      </c>
      <c r="AB137" s="330">
        <f t="shared" si="46"/>
        <v>-17243660.801937129</v>
      </c>
      <c r="AC137" s="330">
        <f t="shared" si="46"/>
        <v>-17243660.801937129</v>
      </c>
      <c r="AD137" s="330">
        <f t="shared" si="46"/>
        <v>-17243660.801937129</v>
      </c>
      <c r="AE137" s="330">
        <f t="shared" si="46"/>
        <v>-17243660.801937129</v>
      </c>
      <c r="AF137" s="330">
        <f t="shared" si="46"/>
        <v>-17243660.801937129</v>
      </c>
      <c r="AG137" s="330">
        <f t="shared" si="46"/>
        <v>-17243660.801937129</v>
      </c>
      <c r="AH137" s="330">
        <f t="shared" si="46"/>
        <v>-17243660.801937129</v>
      </c>
      <c r="AI137" s="330">
        <f t="shared" si="46"/>
        <v>-17243660.801937129</v>
      </c>
      <c r="AJ137" s="330">
        <f t="shared" si="46"/>
        <v>-17243660.801937129</v>
      </c>
      <c r="AK137" s="330">
        <f t="shared" si="46"/>
        <v>-17243660.801937129</v>
      </c>
      <c r="AL137" s="330">
        <f t="shared" si="46"/>
        <v>-17243660.801937129</v>
      </c>
      <c r="AM137" s="330">
        <f t="shared" si="46"/>
        <v>-17243660.801937129</v>
      </c>
      <c r="AN137" s="330">
        <f t="shared" si="46"/>
        <v>-17243660.801937129</v>
      </c>
      <c r="AO137" s="330">
        <f t="shared" si="46"/>
        <v>-17243660.801937129</v>
      </c>
      <c r="AP137" s="330">
        <f t="shared" si="46"/>
        <v>-17243660.801937129</v>
      </c>
      <c r="AQ137" s="330">
        <f t="shared" si="46"/>
        <v>-17243660.801937129</v>
      </c>
      <c r="AR137" s="330">
        <f t="shared" si="46"/>
        <v>-17243660.801937129</v>
      </c>
      <c r="AS137" s="330">
        <f t="shared" si="46"/>
        <v>-17243660.801937129</v>
      </c>
      <c r="AT137" s="330">
        <f t="shared" si="46"/>
        <v>-17243660.801937129</v>
      </c>
      <c r="AU137" s="330">
        <f t="shared" si="46"/>
        <v>-17243660.801937129</v>
      </c>
      <c r="AV137" s="330">
        <f t="shared" si="46"/>
        <v>-17243660.801937129</v>
      </c>
      <c r="AW137" s="330">
        <f t="shared" si="46"/>
        <v>-17243660.801937129</v>
      </c>
      <c r="AX137" s="330">
        <f t="shared" si="46"/>
        <v>-17243660.801937129</v>
      </c>
      <c r="AY137" s="330">
        <f t="shared" si="46"/>
        <v>-17243660.801937129</v>
      </c>
      <c r="AZ137" s="330">
        <f t="shared" si="46"/>
        <v>-17243660.801937129</v>
      </c>
      <c r="BA137" s="330">
        <f t="shared" si="46"/>
        <v>-17243660.801937129</v>
      </c>
      <c r="BB137" s="330">
        <f t="shared" si="46"/>
        <v>-17243660.801937129</v>
      </c>
      <c r="BC137" s="330">
        <f t="shared" si="46"/>
        <v>-17243660.801937129</v>
      </c>
      <c r="BD137" s="330">
        <f t="shared" si="46"/>
        <v>-17243660.801937129</v>
      </c>
      <c r="BE137" s="330">
        <f t="shared" si="46"/>
        <v>-17243660.801937129</v>
      </c>
      <c r="BF137" s="330">
        <f t="shared" si="46"/>
        <v>-17243660.801937129</v>
      </c>
      <c r="BG137" s="330">
        <f t="shared" si="46"/>
        <v>-17243660.801937129</v>
      </c>
      <c r="BH137" s="330">
        <f t="shared" si="46"/>
        <v>-17243660.801937129</v>
      </c>
      <c r="BI137" s="330">
        <f t="shared" si="46"/>
        <v>-17243660.801937129</v>
      </c>
      <c r="BJ137" s="330">
        <f t="shared" si="46"/>
        <v>-17243660.801937129</v>
      </c>
      <c r="BK137" s="330">
        <f t="shared" si="46"/>
        <v>-17243660.801937129</v>
      </c>
      <c r="BL137" s="330">
        <f t="shared" si="46"/>
        <v>-17243660.801937129</v>
      </c>
      <c r="BM137" s="330">
        <f t="shared" si="46"/>
        <v>-17243660.801937129</v>
      </c>
      <c r="BN137" s="330">
        <f t="shared" si="46"/>
        <v>-17243660.801937129</v>
      </c>
      <c r="BO137" s="330">
        <f t="shared" si="46"/>
        <v>-17243660.801937129</v>
      </c>
      <c r="BP137" s="330">
        <f t="shared" si="46"/>
        <v>-17243660.801937129</v>
      </c>
      <c r="BQ137" s="330">
        <f t="shared" si="46"/>
        <v>-17243660.801937129</v>
      </c>
      <c r="BR137" s="330">
        <f t="shared" si="46"/>
        <v>-17243660.801937129</v>
      </c>
      <c r="BS137" s="330">
        <f t="shared" si="46"/>
        <v>-17243660.801937129</v>
      </c>
      <c r="BT137" s="330">
        <f t="shared" si="46"/>
        <v>-17243660.801937129</v>
      </c>
      <c r="BU137" s="330">
        <f t="shared" si="46"/>
        <v>-17243660.801937129</v>
      </c>
      <c r="BV137" s="330">
        <f t="shared" si="46"/>
        <v>-17243660.801937129</v>
      </c>
      <c r="BW137" s="330">
        <f t="shared" si="46"/>
        <v>-17243660.801937129</v>
      </c>
      <c r="BX137" s="330">
        <f t="shared" si="46"/>
        <v>-17243660.801937129</v>
      </c>
    </row>
    <row r="138" spans="3:76">
      <c r="C138" s="317" t="s">
        <v>339</v>
      </c>
      <c r="D138" s="326">
        <f>IRR(E136:BX136)*12</f>
        <v>-1.5154350672021857</v>
      </c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  <c r="BU138" s="226"/>
      <c r="BV138" s="226"/>
      <c r="BW138" s="226"/>
      <c r="BX138" s="226"/>
    </row>
    <row r="139" spans="3:76">
      <c r="C139" s="327" t="s">
        <v>347</v>
      </c>
      <c r="D139" s="328">
        <f>-MIN(E131:BL131)</f>
        <v>4260000</v>
      </c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6"/>
      <c r="BN139" s="226"/>
      <c r="BO139" s="226"/>
      <c r="BP139" s="226"/>
      <c r="BQ139" s="226"/>
      <c r="BR139" s="226"/>
      <c r="BS139" s="226"/>
      <c r="BT139" s="226"/>
      <c r="BU139" s="226"/>
      <c r="BV139" s="226"/>
      <c r="BW139" s="226"/>
      <c r="BX139" s="226"/>
    </row>
    <row r="140" spans="3:76">
      <c r="C140" s="327" t="s">
        <v>348</v>
      </c>
      <c r="D140" s="328">
        <f>-SUM(M135:BB135)</f>
        <v>0</v>
      </c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  <c r="BU140" s="226"/>
      <c r="BV140" s="226"/>
      <c r="BW140" s="226"/>
      <c r="BX140" s="226"/>
    </row>
    <row r="141" spans="3:76">
      <c r="C141" s="317" t="s">
        <v>349</v>
      </c>
      <c r="D141" s="329">
        <f>D140+D139</f>
        <v>4260000</v>
      </c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AY141" s="226"/>
      <c r="AZ141" s="226"/>
      <c r="BA141" s="226"/>
      <c r="BB141" s="226"/>
      <c r="BC141" s="226"/>
      <c r="BD141" s="226"/>
      <c r="BE141" s="226"/>
      <c r="BF141" s="226"/>
      <c r="BG141" s="226"/>
      <c r="BH141" s="226"/>
      <c r="BI141" s="226"/>
      <c r="BJ141" s="226"/>
      <c r="BK141" s="226"/>
      <c r="BL141" s="226"/>
      <c r="BM141" s="226"/>
      <c r="BN141" s="226"/>
      <c r="BO141" s="226"/>
      <c r="BP141" s="226"/>
      <c r="BQ141" s="226"/>
      <c r="BR141" s="226"/>
      <c r="BS141" s="226"/>
      <c r="BT141" s="226"/>
      <c r="BU141" s="226"/>
      <c r="BV141" s="226"/>
      <c r="BW141" s="226"/>
      <c r="BX141" s="226"/>
    </row>
    <row r="142" spans="3:76">
      <c r="C142" s="317" t="s">
        <v>350</v>
      </c>
      <c r="D142" s="329">
        <f>BX133+BX134</f>
        <v>0</v>
      </c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  <c r="AY142" s="226"/>
      <c r="AZ142" s="226"/>
      <c r="BA142" s="226"/>
      <c r="BB142" s="226"/>
      <c r="BC142" s="226"/>
      <c r="BD142" s="226"/>
      <c r="BE142" s="226"/>
      <c r="BF142" s="226"/>
      <c r="BG142" s="226"/>
      <c r="BH142" s="226"/>
      <c r="BI142" s="226"/>
      <c r="BJ142" s="226"/>
      <c r="BK142" s="226"/>
      <c r="BL142" s="226"/>
      <c r="BM142" s="226"/>
      <c r="BN142" s="226"/>
      <c r="BO142" s="226"/>
      <c r="BP142" s="226"/>
      <c r="BQ142" s="226"/>
      <c r="BR142" s="226"/>
      <c r="BS142" s="226"/>
      <c r="BT142" s="226"/>
      <c r="BU142" s="226"/>
      <c r="BV142" s="226"/>
      <c r="BW142" s="226"/>
      <c r="BX142" s="226"/>
    </row>
    <row r="143" spans="3:76">
      <c r="C143" s="317" t="s">
        <v>351</v>
      </c>
      <c r="D143" s="326">
        <f>(D142-D140)/D141</f>
        <v>0</v>
      </c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6"/>
      <c r="AT143" s="226"/>
      <c r="AU143" s="226"/>
      <c r="AV143" s="226"/>
      <c r="AW143" s="226"/>
      <c r="AX143" s="226"/>
      <c r="AY143" s="226"/>
      <c r="AZ143" s="226"/>
      <c r="BA143" s="226"/>
      <c r="BB143" s="226"/>
      <c r="BC143" s="226"/>
      <c r="BD143" s="226"/>
      <c r="BE143" s="226"/>
      <c r="BF143" s="226"/>
      <c r="BG143" s="226"/>
      <c r="BH143" s="226"/>
      <c r="BI143" s="226"/>
      <c r="BJ143" s="226"/>
      <c r="BK143" s="226"/>
      <c r="BL143" s="226"/>
      <c r="BM143" s="226"/>
      <c r="BN143" s="226"/>
      <c r="BO143" s="226"/>
      <c r="BP143" s="226"/>
      <c r="BQ143" s="226"/>
      <c r="BR143" s="226"/>
      <c r="BS143" s="226"/>
      <c r="BT143" s="226"/>
      <c r="BU143" s="226"/>
      <c r="BV143" s="226"/>
      <c r="BW143" s="226"/>
      <c r="BX143" s="226"/>
    </row>
    <row r="147" spans="3:76">
      <c r="C147" s="314" t="s">
        <v>355</v>
      </c>
      <c r="D147" s="315"/>
      <c r="E147" s="316">
        <f t="shared" ref="E147:G147" si="47">-(E24+E111)</f>
        <v>0</v>
      </c>
      <c r="F147" s="316">
        <f t="shared" si="47"/>
        <v>0</v>
      </c>
      <c r="G147" s="316">
        <f t="shared" si="47"/>
        <v>0</v>
      </c>
      <c r="H147" s="316">
        <f>-10682501</f>
        <v>-10682501</v>
      </c>
      <c r="I147" s="316">
        <v>0</v>
      </c>
      <c r="J147" s="316">
        <f>-(J24+J111)</f>
        <v>0</v>
      </c>
      <c r="K147" s="316">
        <v>0</v>
      </c>
      <c r="L147" s="316">
        <f t="shared" ref="L147:S147" si="48">-(L24+L111)</f>
        <v>15913.92</v>
      </c>
      <c r="M147" s="316">
        <f t="shared" si="48"/>
        <v>0</v>
      </c>
      <c r="N147" s="316">
        <f t="shared" si="48"/>
        <v>0</v>
      </c>
      <c r="O147" s="316">
        <f t="shared" si="48"/>
        <v>184525</v>
      </c>
      <c r="P147" s="316">
        <f t="shared" si="48"/>
        <v>250286.08000000007</v>
      </c>
      <c r="Q147" s="316">
        <f t="shared" si="48"/>
        <v>393250</v>
      </c>
      <c r="R147" s="316">
        <f t="shared" si="48"/>
        <v>393250</v>
      </c>
      <c r="S147" s="316">
        <f t="shared" si="48"/>
        <v>0</v>
      </c>
      <c r="T147" s="316">
        <f>-H147</f>
        <v>10682501</v>
      </c>
      <c r="U147" s="316">
        <f t="shared" ref="U147:BX147" si="49">-(U24+U111)</f>
        <v>0</v>
      </c>
      <c r="V147" s="316">
        <f t="shared" si="49"/>
        <v>0</v>
      </c>
      <c r="W147" s="316">
        <f t="shared" si="49"/>
        <v>0</v>
      </c>
      <c r="X147" s="316">
        <f t="shared" si="49"/>
        <v>0</v>
      </c>
      <c r="Y147" s="316">
        <f t="shared" si="49"/>
        <v>0</v>
      </c>
      <c r="Z147" s="316">
        <f t="shared" si="49"/>
        <v>0</v>
      </c>
      <c r="AA147" s="316">
        <f t="shared" si="49"/>
        <v>0</v>
      </c>
      <c r="AB147" s="316">
        <f t="shared" si="49"/>
        <v>0</v>
      </c>
      <c r="AC147" s="316">
        <f t="shared" si="49"/>
        <v>0</v>
      </c>
      <c r="AD147" s="316">
        <f t="shared" si="49"/>
        <v>0</v>
      </c>
      <c r="AE147" s="316">
        <f t="shared" si="49"/>
        <v>0</v>
      </c>
      <c r="AF147" s="316">
        <f t="shared" si="49"/>
        <v>0</v>
      </c>
      <c r="AG147" s="316">
        <f t="shared" si="49"/>
        <v>0</v>
      </c>
      <c r="AH147" s="316">
        <f t="shared" si="49"/>
        <v>0</v>
      </c>
      <c r="AI147" s="316">
        <f t="shared" si="49"/>
        <v>0</v>
      </c>
      <c r="AJ147" s="316">
        <f t="shared" si="49"/>
        <v>0</v>
      </c>
      <c r="AK147" s="316">
        <f t="shared" si="49"/>
        <v>0</v>
      </c>
      <c r="AL147" s="316">
        <f t="shared" si="49"/>
        <v>0</v>
      </c>
      <c r="AM147" s="316">
        <f t="shared" si="49"/>
        <v>0</v>
      </c>
      <c r="AN147" s="316">
        <f t="shared" si="49"/>
        <v>0</v>
      </c>
      <c r="AO147" s="316">
        <f t="shared" si="49"/>
        <v>0</v>
      </c>
      <c r="AP147" s="316">
        <f t="shared" si="49"/>
        <v>0</v>
      </c>
      <c r="AQ147" s="316">
        <f t="shared" si="49"/>
        <v>0</v>
      </c>
      <c r="AR147" s="316">
        <f t="shared" si="49"/>
        <v>0</v>
      </c>
      <c r="AS147" s="316">
        <f t="shared" si="49"/>
        <v>0</v>
      </c>
      <c r="AT147" s="316">
        <f t="shared" si="49"/>
        <v>0</v>
      </c>
      <c r="AU147" s="316">
        <f t="shared" si="49"/>
        <v>0</v>
      </c>
      <c r="AV147" s="316">
        <f t="shared" si="49"/>
        <v>0</v>
      </c>
      <c r="AW147" s="316">
        <f t="shared" si="49"/>
        <v>0</v>
      </c>
      <c r="AX147" s="316">
        <f t="shared" si="49"/>
        <v>0</v>
      </c>
      <c r="AY147" s="316">
        <f t="shared" si="49"/>
        <v>0</v>
      </c>
      <c r="AZ147" s="316">
        <f t="shared" si="49"/>
        <v>0</v>
      </c>
      <c r="BA147" s="316">
        <f t="shared" si="49"/>
        <v>0</v>
      </c>
      <c r="BB147" s="316">
        <f t="shared" si="49"/>
        <v>0</v>
      </c>
      <c r="BC147" s="316">
        <f t="shared" si="49"/>
        <v>0</v>
      </c>
      <c r="BD147" s="316">
        <f t="shared" si="49"/>
        <v>0</v>
      </c>
      <c r="BE147" s="316">
        <f t="shared" si="49"/>
        <v>0</v>
      </c>
      <c r="BF147" s="316">
        <f t="shared" si="49"/>
        <v>0</v>
      </c>
      <c r="BG147" s="316">
        <f t="shared" si="49"/>
        <v>0</v>
      </c>
      <c r="BH147" s="316">
        <f t="shared" si="49"/>
        <v>0</v>
      </c>
      <c r="BI147" s="316">
        <f t="shared" si="49"/>
        <v>0</v>
      </c>
      <c r="BJ147" s="316">
        <f t="shared" si="49"/>
        <v>0</v>
      </c>
      <c r="BK147" s="316">
        <f t="shared" si="49"/>
        <v>0</v>
      </c>
      <c r="BL147" s="316">
        <f t="shared" si="49"/>
        <v>0</v>
      </c>
      <c r="BM147" s="316">
        <f t="shared" si="49"/>
        <v>0</v>
      </c>
      <c r="BN147" s="316">
        <f t="shared" si="49"/>
        <v>0</v>
      </c>
      <c r="BO147" s="316">
        <f t="shared" si="49"/>
        <v>0</v>
      </c>
      <c r="BP147" s="316">
        <f t="shared" si="49"/>
        <v>0</v>
      </c>
      <c r="BQ147" s="316">
        <f t="shared" si="49"/>
        <v>0</v>
      </c>
      <c r="BR147" s="316">
        <f t="shared" si="49"/>
        <v>0</v>
      </c>
      <c r="BS147" s="316">
        <f t="shared" si="49"/>
        <v>0</v>
      </c>
      <c r="BT147" s="316">
        <f t="shared" si="49"/>
        <v>0</v>
      </c>
      <c r="BU147" s="316">
        <f t="shared" si="49"/>
        <v>0</v>
      </c>
      <c r="BV147" s="316">
        <f t="shared" si="49"/>
        <v>0</v>
      </c>
      <c r="BW147" s="316">
        <f t="shared" si="49"/>
        <v>0</v>
      </c>
      <c r="BX147" s="316">
        <f t="shared" si="49"/>
        <v>0</v>
      </c>
    </row>
    <row r="148" spans="3:76">
      <c r="C148" s="314" t="s">
        <v>353</v>
      </c>
      <c r="D148" s="323"/>
      <c r="E148" s="315"/>
      <c r="F148" s="315"/>
      <c r="G148" s="315"/>
      <c r="H148" s="315"/>
      <c r="I148" s="315"/>
      <c r="J148" s="315"/>
      <c r="K148" s="315"/>
      <c r="L148" s="315"/>
      <c r="M148" s="315"/>
      <c r="N148" s="315"/>
      <c r="O148" s="315"/>
      <c r="P148" s="315"/>
      <c r="Q148" s="315"/>
      <c r="R148" s="315"/>
      <c r="S148" s="315"/>
      <c r="T148" s="315"/>
      <c r="U148" s="315"/>
      <c r="V148" s="315"/>
      <c r="W148" s="315"/>
      <c r="X148" s="315"/>
      <c r="Y148" s="315"/>
      <c r="Z148" s="315"/>
      <c r="AA148" s="315"/>
      <c r="AB148" s="315"/>
      <c r="AC148" s="315"/>
      <c r="AD148" s="315"/>
      <c r="AE148" s="315"/>
      <c r="AF148" s="315"/>
      <c r="AG148" s="315"/>
      <c r="AH148" s="315"/>
      <c r="AI148" s="315"/>
      <c r="AJ148" s="315"/>
      <c r="AK148" s="315"/>
      <c r="AL148" s="315"/>
      <c r="AM148" s="315"/>
      <c r="AN148" s="315"/>
      <c r="AO148" s="315"/>
      <c r="AP148" s="315"/>
      <c r="AQ148" s="315"/>
      <c r="AR148" s="315"/>
      <c r="AS148" s="315"/>
      <c r="AT148" s="315"/>
      <c r="AU148" s="315"/>
      <c r="AV148" s="315"/>
      <c r="AW148" s="315"/>
      <c r="AX148" s="315"/>
      <c r="AY148" s="315"/>
      <c r="AZ148" s="315"/>
      <c r="BA148" s="315"/>
      <c r="BB148" s="315"/>
      <c r="BC148" s="316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</row>
    <row r="149" spans="3:76">
      <c r="C149" s="314" t="s">
        <v>343</v>
      </c>
      <c r="D149" s="323"/>
      <c r="E149" s="315">
        <f t="shared" ref="E149:BX149" si="50">-E75</f>
        <v>0</v>
      </c>
      <c r="F149" s="315">
        <f t="shared" si="50"/>
        <v>0</v>
      </c>
      <c r="G149" s="315">
        <f t="shared" si="50"/>
        <v>0</v>
      </c>
      <c r="H149" s="315">
        <f t="shared" si="50"/>
        <v>0</v>
      </c>
      <c r="I149" s="315">
        <f t="shared" si="50"/>
        <v>0</v>
      </c>
      <c r="J149" s="315">
        <f t="shared" si="50"/>
        <v>0</v>
      </c>
      <c r="K149" s="315">
        <f t="shared" si="50"/>
        <v>0</v>
      </c>
      <c r="L149" s="315">
        <f t="shared" si="50"/>
        <v>0</v>
      </c>
      <c r="M149" s="315">
        <f t="shared" si="50"/>
        <v>0</v>
      </c>
      <c r="N149" s="315">
        <f t="shared" si="50"/>
        <v>0</v>
      </c>
      <c r="O149" s="315">
        <f t="shared" si="50"/>
        <v>0</v>
      </c>
      <c r="P149" s="315">
        <f t="shared" si="50"/>
        <v>0</v>
      </c>
      <c r="Q149" s="315">
        <f t="shared" si="50"/>
        <v>0</v>
      </c>
      <c r="R149" s="315">
        <f t="shared" si="50"/>
        <v>0</v>
      </c>
      <c r="S149" s="315">
        <f t="shared" si="50"/>
        <v>0</v>
      </c>
      <c r="T149" s="315">
        <f t="shared" si="50"/>
        <v>0</v>
      </c>
      <c r="U149" s="315">
        <f t="shared" si="50"/>
        <v>0</v>
      </c>
      <c r="V149" s="315">
        <f t="shared" si="50"/>
        <v>0</v>
      </c>
      <c r="W149" s="315">
        <f t="shared" si="50"/>
        <v>0</v>
      </c>
      <c r="X149" s="315">
        <f t="shared" si="50"/>
        <v>0</v>
      </c>
      <c r="Y149" s="315">
        <f t="shared" si="50"/>
        <v>0</v>
      </c>
      <c r="Z149" s="315">
        <f t="shared" si="50"/>
        <v>0</v>
      </c>
      <c r="AA149" s="315">
        <f t="shared" si="50"/>
        <v>0</v>
      </c>
      <c r="AB149" s="315">
        <f t="shared" si="50"/>
        <v>0</v>
      </c>
      <c r="AC149" s="315">
        <f t="shared" si="50"/>
        <v>0</v>
      </c>
      <c r="AD149" s="315">
        <f t="shared" si="50"/>
        <v>0</v>
      </c>
      <c r="AE149" s="315">
        <f t="shared" si="50"/>
        <v>0</v>
      </c>
      <c r="AF149" s="315">
        <f t="shared" si="50"/>
        <v>0</v>
      </c>
      <c r="AG149" s="315">
        <f t="shared" si="50"/>
        <v>0</v>
      </c>
      <c r="AH149" s="315">
        <f t="shared" si="50"/>
        <v>0</v>
      </c>
      <c r="AI149" s="315">
        <f t="shared" si="50"/>
        <v>0</v>
      </c>
      <c r="AJ149" s="315">
        <f t="shared" si="50"/>
        <v>0</v>
      </c>
      <c r="AK149" s="315">
        <f t="shared" si="50"/>
        <v>0</v>
      </c>
      <c r="AL149" s="315">
        <f t="shared" si="50"/>
        <v>0</v>
      </c>
      <c r="AM149" s="315">
        <f t="shared" si="50"/>
        <v>0</v>
      </c>
      <c r="AN149" s="315">
        <f t="shared" si="50"/>
        <v>0</v>
      </c>
      <c r="AO149" s="315">
        <f t="shared" si="50"/>
        <v>0</v>
      </c>
      <c r="AP149" s="315">
        <f t="shared" si="50"/>
        <v>0</v>
      </c>
      <c r="AQ149" s="315">
        <f t="shared" si="50"/>
        <v>0</v>
      </c>
      <c r="AR149" s="315">
        <f t="shared" si="50"/>
        <v>0</v>
      </c>
      <c r="AS149" s="315">
        <f t="shared" si="50"/>
        <v>0</v>
      </c>
      <c r="AT149" s="315">
        <f t="shared" si="50"/>
        <v>0</v>
      </c>
      <c r="AU149" s="315">
        <f t="shared" si="50"/>
        <v>0</v>
      </c>
      <c r="AV149" s="315">
        <f t="shared" si="50"/>
        <v>0</v>
      </c>
      <c r="AW149" s="315">
        <f t="shared" si="50"/>
        <v>0</v>
      </c>
      <c r="AX149" s="315">
        <f t="shared" si="50"/>
        <v>0</v>
      </c>
      <c r="AY149" s="315">
        <f t="shared" si="50"/>
        <v>0</v>
      </c>
      <c r="AZ149" s="315">
        <f t="shared" si="50"/>
        <v>0</v>
      </c>
      <c r="BA149" s="315">
        <f t="shared" si="50"/>
        <v>0</v>
      </c>
      <c r="BB149" s="315">
        <f t="shared" si="50"/>
        <v>0</v>
      </c>
      <c r="BC149" s="315">
        <f t="shared" si="50"/>
        <v>0</v>
      </c>
      <c r="BD149" s="315">
        <f t="shared" si="50"/>
        <v>0</v>
      </c>
      <c r="BE149" s="315">
        <f t="shared" si="50"/>
        <v>0</v>
      </c>
      <c r="BF149" s="315">
        <f t="shared" si="50"/>
        <v>0</v>
      </c>
      <c r="BG149" s="315">
        <f t="shared" si="50"/>
        <v>0</v>
      </c>
      <c r="BH149" s="315">
        <f t="shared" si="50"/>
        <v>0</v>
      </c>
      <c r="BI149" s="315">
        <f t="shared" si="50"/>
        <v>0</v>
      </c>
      <c r="BJ149" s="315">
        <f t="shared" si="50"/>
        <v>0</v>
      </c>
      <c r="BK149" s="315">
        <f t="shared" si="50"/>
        <v>0</v>
      </c>
      <c r="BL149" s="315">
        <f t="shared" si="50"/>
        <v>0</v>
      </c>
      <c r="BM149" s="315">
        <f t="shared" si="50"/>
        <v>0</v>
      </c>
      <c r="BN149" s="315">
        <f t="shared" si="50"/>
        <v>0</v>
      </c>
      <c r="BO149" s="315">
        <f t="shared" si="50"/>
        <v>0</v>
      </c>
      <c r="BP149" s="315">
        <f t="shared" si="50"/>
        <v>0</v>
      </c>
      <c r="BQ149" s="315">
        <f t="shared" si="50"/>
        <v>0</v>
      </c>
      <c r="BR149" s="315">
        <f t="shared" si="50"/>
        <v>0</v>
      </c>
      <c r="BS149" s="315">
        <f t="shared" si="50"/>
        <v>0</v>
      </c>
      <c r="BT149" s="315">
        <f t="shared" si="50"/>
        <v>0</v>
      </c>
      <c r="BU149" s="315">
        <f t="shared" si="50"/>
        <v>0</v>
      </c>
      <c r="BV149" s="315">
        <f t="shared" si="50"/>
        <v>0</v>
      </c>
      <c r="BW149" s="315">
        <f t="shared" si="50"/>
        <v>0</v>
      </c>
      <c r="BX149" s="315">
        <f t="shared" si="50"/>
        <v>0</v>
      </c>
    </row>
    <row r="150" spans="3:76">
      <c r="C150" s="314" t="s">
        <v>344</v>
      </c>
      <c r="D150" s="323"/>
      <c r="E150" s="315"/>
      <c r="F150" s="315"/>
      <c r="G150" s="315"/>
      <c r="H150" s="315"/>
      <c r="I150" s="315"/>
      <c r="J150" s="315"/>
      <c r="K150" s="315"/>
      <c r="L150" s="315"/>
      <c r="M150" s="315"/>
      <c r="N150" s="315"/>
      <c r="O150" s="315"/>
      <c r="P150" s="315"/>
      <c r="Q150" s="315"/>
      <c r="R150" s="315"/>
      <c r="S150" s="315"/>
      <c r="T150" s="315">
        <f>5500000</f>
        <v>5500000</v>
      </c>
      <c r="U150" s="315"/>
      <c r="V150" s="315"/>
      <c r="W150" s="315"/>
      <c r="X150" s="315"/>
      <c r="Y150" s="315"/>
      <c r="Z150" s="315"/>
      <c r="AA150" s="315"/>
      <c r="AB150" s="315"/>
      <c r="AC150" s="315"/>
      <c r="AD150" s="315"/>
      <c r="AE150" s="315"/>
      <c r="AF150" s="315"/>
      <c r="AG150" s="315"/>
      <c r="AH150" s="315"/>
      <c r="AI150" s="315"/>
      <c r="AJ150" s="315"/>
      <c r="AK150" s="315"/>
      <c r="AL150" s="315"/>
      <c r="AM150" s="315"/>
      <c r="AN150" s="315"/>
      <c r="AO150" s="315"/>
      <c r="AP150" s="315"/>
      <c r="AQ150" s="315"/>
      <c r="AR150" s="315"/>
      <c r="AS150" s="315"/>
      <c r="AT150" s="315"/>
      <c r="AU150" s="315"/>
      <c r="AV150" s="315"/>
      <c r="AW150" s="315"/>
      <c r="AX150" s="315"/>
      <c r="AY150" s="315"/>
      <c r="AZ150" s="315"/>
      <c r="BA150" s="315"/>
      <c r="BB150" s="315"/>
      <c r="BC150" s="316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>
        <f>IF(D122&gt;0.25,(BX117-BX125)*D151,BX117*D151)</f>
        <v>0</v>
      </c>
    </row>
    <row r="151" spans="3:76">
      <c r="C151" s="317" t="s">
        <v>345</v>
      </c>
      <c r="D151" s="323">
        <v>0</v>
      </c>
      <c r="E151" s="315"/>
      <c r="F151" s="315"/>
      <c r="G151" s="315"/>
      <c r="H151" s="315"/>
      <c r="I151" s="315"/>
      <c r="J151" s="315"/>
      <c r="K151" s="315"/>
      <c r="L151" s="315"/>
      <c r="M151" s="315"/>
      <c r="N151" s="315"/>
      <c r="O151" s="315"/>
      <c r="P151" s="315"/>
      <c r="Q151" s="315"/>
      <c r="R151" s="315"/>
      <c r="S151" s="315"/>
      <c r="T151" s="315"/>
      <c r="U151" s="315"/>
      <c r="V151" s="315"/>
      <c r="W151" s="315"/>
      <c r="X151" s="315"/>
      <c r="Y151" s="315"/>
      <c r="Z151" s="315"/>
      <c r="AA151" s="315"/>
      <c r="AB151" s="315"/>
      <c r="AC151" s="315"/>
      <c r="AD151" s="315"/>
      <c r="AE151" s="315"/>
      <c r="AF151" s="315"/>
      <c r="AG151" s="315"/>
      <c r="AH151" s="315"/>
      <c r="AI151" s="315"/>
      <c r="AJ151" s="315"/>
      <c r="AK151" s="315"/>
      <c r="AL151" s="315"/>
      <c r="AM151" s="315"/>
      <c r="AN151" s="315"/>
      <c r="AO151" s="315"/>
      <c r="AP151" s="315"/>
      <c r="AQ151" s="315"/>
      <c r="AR151" s="315"/>
      <c r="AS151" s="315"/>
      <c r="AT151" s="315"/>
      <c r="AU151" s="315"/>
      <c r="AV151" s="315"/>
      <c r="AW151" s="315"/>
      <c r="AX151" s="315"/>
      <c r="AY151" s="315"/>
      <c r="AZ151" s="315"/>
      <c r="BA151" s="315"/>
      <c r="BB151" s="315"/>
      <c r="BC151" s="316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</row>
    <row r="152" spans="3:76">
      <c r="C152" s="314" t="s">
        <v>346</v>
      </c>
      <c r="D152" s="315"/>
      <c r="E152" s="325">
        <f t="shared" ref="E152:BX152" si="51">E147+E148+E149+E150+E151</f>
        <v>0</v>
      </c>
      <c r="F152" s="325">
        <f t="shared" si="51"/>
        <v>0</v>
      </c>
      <c r="G152" s="325">
        <f t="shared" si="51"/>
        <v>0</v>
      </c>
      <c r="H152" s="325">
        <f t="shared" si="51"/>
        <v>-10682501</v>
      </c>
      <c r="I152" s="325">
        <f t="shared" si="51"/>
        <v>0</v>
      </c>
      <c r="J152" s="325">
        <f t="shared" si="51"/>
        <v>0</v>
      </c>
      <c r="K152" s="325">
        <f t="shared" si="51"/>
        <v>0</v>
      </c>
      <c r="L152" s="325">
        <f t="shared" si="51"/>
        <v>15913.92</v>
      </c>
      <c r="M152" s="325">
        <f t="shared" si="51"/>
        <v>0</v>
      </c>
      <c r="N152" s="325">
        <f t="shared" si="51"/>
        <v>0</v>
      </c>
      <c r="O152" s="325">
        <f t="shared" si="51"/>
        <v>184525</v>
      </c>
      <c r="P152" s="325">
        <f t="shared" si="51"/>
        <v>250286.08000000007</v>
      </c>
      <c r="Q152" s="325">
        <f t="shared" si="51"/>
        <v>393250</v>
      </c>
      <c r="R152" s="325">
        <f t="shared" si="51"/>
        <v>393250</v>
      </c>
      <c r="S152" s="325">
        <f t="shared" si="51"/>
        <v>0</v>
      </c>
      <c r="T152" s="325">
        <f t="shared" si="51"/>
        <v>16182501</v>
      </c>
      <c r="U152" s="325">
        <f t="shared" si="51"/>
        <v>0</v>
      </c>
      <c r="V152" s="325">
        <f t="shared" si="51"/>
        <v>0</v>
      </c>
      <c r="W152" s="325">
        <f t="shared" si="51"/>
        <v>0</v>
      </c>
      <c r="X152" s="325">
        <f t="shared" si="51"/>
        <v>0</v>
      </c>
      <c r="Y152" s="325">
        <f t="shared" si="51"/>
        <v>0</v>
      </c>
      <c r="Z152" s="325">
        <f t="shared" si="51"/>
        <v>0</v>
      </c>
      <c r="AA152" s="325">
        <f t="shared" si="51"/>
        <v>0</v>
      </c>
      <c r="AB152" s="325">
        <f t="shared" si="51"/>
        <v>0</v>
      </c>
      <c r="AC152" s="325">
        <f t="shared" si="51"/>
        <v>0</v>
      </c>
      <c r="AD152" s="325">
        <f t="shared" si="51"/>
        <v>0</v>
      </c>
      <c r="AE152" s="325">
        <f t="shared" si="51"/>
        <v>0</v>
      </c>
      <c r="AF152" s="325">
        <f t="shared" si="51"/>
        <v>0</v>
      </c>
      <c r="AG152" s="325">
        <f t="shared" si="51"/>
        <v>0</v>
      </c>
      <c r="AH152" s="325">
        <f t="shared" si="51"/>
        <v>0</v>
      </c>
      <c r="AI152" s="325">
        <f t="shared" si="51"/>
        <v>0</v>
      </c>
      <c r="AJ152" s="325">
        <f t="shared" si="51"/>
        <v>0</v>
      </c>
      <c r="AK152" s="325">
        <f t="shared" si="51"/>
        <v>0</v>
      </c>
      <c r="AL152" s="325">
        <f t="shared" si="51"/>
        <v>0</v>
      </c>
      <c r="AM152" s="325">
        <f t="shared" si="51"/>
        <v>0</v>
      </c>
      <c r="AN152" s="325">
        <f t="shared" si="51"/>
        <v>0</v>
      </c>
      <c r="AO152" s="325">
        <f t="shared" si="51"/>
        <v>0</v>
      </c>
      <c r="AP152" s="325">
        <f t="shared" si="51"/>
        <v>0</v>
      </c>
      <c r="AQ152" s="325">
        <f t="shared" si="51"/>
        <v>0</v>
      </c>
      <c r="AR152" s="325">
        <f t="shared" si="51"/>
        <v>0</v>
      </c>
      <c r="AS152" s="325">
        <f t="shared" si="51"/>
        <v>0</v>
      </c>
      <c r="AT152" s="325">
        <f t="shared" si="51"/>
        <v>0</v>
      </c>
      <c r="AU152" s="325">
        <f t="shared" si="51"/>
        <v>0</v>
      </c>
      <c r="AV152" s="325">
        <f t="shared" si="51"/>
        <v>0</v>
      </c>
      <c r="AW152" s="325">
        <f t="shared" si="51"/>
        <v>0</v>
      </c>
      <c r="AX152" s="325">
        <f t="shared" si="51"/>
        <v>0</v>
      </c>
      <c r="AY152" s="325">
        <f t="shared" si="51"/>
        <v>0</v>
      </c>
      <c r="AZ152" s="325">
        <f t="shared" si="51"/>
        <v>0</v>
      </c>
      <c r="BA152" s="325">
        <f t="shared" si="51"/>
        <v>0</v>
      </c>
      <c r="BB152" s="325">
        <f t="shared" si="51"/>
        <v>0</v>
      </c>
      <c r="BC152" s="325">
        <f t="shared" si="51"/>
        <v>0</v>
      </c>
      <c r="BD152" s="325">
        <f t="shared" si="51"/>
        <v>0</v>
      </c>
      <c r="BE152" s="325">
        <f t="shared" si="51"/>
        <v>0</v>
      </c>
      <c r="BF152" s="325">
        <f t="shared" si="51"/>
        <v>0</v>
      </c>
      <c r="BG152" s="325">
        <f t="shared" si="51"/>
        <v>0</v>
      </c>
      <c r="BH152" s="325">
        <f t="shared" si="51"/>
        <v>0</v>
      </c>
      <c r="BI152" s="325">
        <f t="shared" si="51"/>
        <v>0</v>
      </c>
      <c r="BJ152" s="325">
        <f t="shared" si="51"/>
        <v>0</v>
      </c>
      <c r="BK152" s="325">
        <f t="shared" si="51"/>
        <v>0</v>
      </c>
      <c r="BL152" s="325">
        <f t="shared" si="51"/>
        <v>0</v>
      </c>
      <c r="BM152" s="325">
        <f t="shared" si="51"/>
        <v>0</v>
      </c>
      <c r="BN152" s="325">
        <f t="shared" si="51"/>
        <v>0</v>
      </c>
      <c r="BO152" s="325">
        <f t="shared" si="51"/>
        <v>0</v>
      </c>
      <c r="BP152" s="325">
        <f t="shared" si="51"/>
        <v>0</v>
      </c>
      <c r="BQ152" s="325">
        <f t="shared" si="51"/>
        <v>0</v>
      </c>
      <c r="BR152" s="325">
        <f t="shared" si="51"/>
        <v>0</v>
      </c>
      <c r="BS152" s="325">
        <f t="shared" si="51"/>
        <v>0</v>
      </c>
      <c r="BT152" s="325">
        <f t="shared" si="51"/>
        <v>0</v>
      </c>
      <c r="BU152" s="325">
        <f t="shared" si="51"/>
        <v>0</v>
      </c>
      <c r="BV152" s="325">
        <f t="shared" si="51"/>
        <v>0</v>
      </c>
      <c r="BW152" s="325">
        <f t="shared" si="51"/>
        <v>0</v>
      </c>
      <c r="BX152" s="325">
        <f t="shared" si="51"/>
        <v>0</v>
      </c>
    </row>
    <row r="153" spans="3:76">
      <c r="C153" s="318"/>
      <c r="D153" s="326" t="s">
        <v>354</v>
      </c>
      <c r="E153" s="330">
        <f>E152</f>
        <v>0</v>
      </c>
      <c r="F153" s="330">
        <f t="shared" ref="F153:BX153" si="52">E153+F152</f>
        <v>0</v>
      </c>
      <c r="G153" s="330">
        <f t="shared" si="52"/>
        <v>0</v>
      </c>
      <c r="H153" s="330">
        <f t="shared" si="52"/>
        <v>-10682501</v>
      </c>
      <c r="I153" s="330">
        <f t="shared" si="52"/>
        <v>-10682501</v>
      </c>
      <c r="J153" s="330">
        <f t="shared" si="52"/>
        <v>-10682501</v>
      </c>
      <c r="K153" s="330">
        <f t="shared" si="52"/>
        <v>-10682501</v>
      </c>
      <c r="L153" s="330">
        <f t="shared" si="52"/>
        <v>-10666587.08</v>
      </c>
      <c r="M153" s="330">
        <f t="shared" si="52"/>
        <v>-10666587.08</v>
      </c>
      <c r="N153" s="330">
        <f t="shared" si="52"/>
        <v>-10666587.08</v>
      </c>
      <c r="O153" s="330">
        <f t="shared" si="52"/>
        <v>-10482062.08</v>
      </c>
      <c r="P153" s="330">
        <f t="shared" si="52"/>
        <v>-10231776</v>
      </c>
      <c r="Q153" s="330">
        <f t="shared" si="52"/>
        <v>-9838526</v>
      </c>
      <c r="R153" s="330">
        <f t="shared" si="52"/>
        <v>-9445276</v>
      </c>
      <c r="S153" s="330">
        <f t="shared" si="52"/>
        <v>-9445276</v>
      </c>
      <c r="T153" s="330">
        <f t="shared" si="52"/>
        <v>6737225</v>
      </c>
      <c r="U153" s="330">
        <f t="shared" si="52"/>
        <v>6737225</v>
      </c>
      <c r="V153" s="331">
        <f t="shared" si="52"/>
        <v>6737225</v>
      </c>
      <c r="W153" s="331">
        <f t="shared" si="52"/>
        <v>6737225</v>
      </c>
      <c r="X153" s="331">
        <f t="shared" si="52"/>
        <v>6737225</v>
      </c>
      <c r="Y153" s="331">
        <f t="shared" si="52"/>
        <v>6737225</v>
      </c>
      <c r="Z153" s="331">
        <f t="shared" si="52"/>
        <v>6737225</v>
      </c>
      <c r="AA153" s="331">
        <f t="shared" si="52"/>
        <v>6737225</v>
      </c>
      <c r="AB153" s="331">
        <f t="shared" si="52"/>
        <v>6737225</v>
      </c>
      <c r="AC153" s="331">
        <f t="shared" si="52"/>
        <v>6737225</v>
      </c>
      <c r="AD153" s="331">
        <f t="shared" si="52"/>
        <v>6737225</v>
      </c>
      <c r="AE153" s="331">
        <f t="shared" si="52"/>
        <v>6737225</v>
      </c>
      <c r="AF153" s="331">
        <f t="shared" si="52"/>
        <v>6737225</v>
      </c>
      <c r="AG153" s="331">
        <f t="shared" si="52"/>
        <v>6737225</v>
      </c>
      <c r="AH153" s="331">
        <f t="shared" si="52"/>
        <v>6737225</v>
      </c>
      <c r="AI153" s="331">
        <f t="shared" si="52"/>
        <v>6737225</v>
      </c>
      <c r="AJ153" s="331">
        <f t="shared" si="52"/>
        <v>6737225</v>
      </c>
      <c r="AK153" s="331">
        <f t="shared" si="52"/>
        <v>6737225</v>
      </c>
      <c r="AL153" s="331">
        <f t="shared" si="52"/>
        <v>6737225</v>
      </c>
      <c r="AM153" s="331">
        <f t="shared" si="52"/>
        <v>6737225</v>
      </c>
      <c r="AN153" s="331">
        <f t="shared" si="52"/>
        <v>6737225</v>
      </c>
      <c r="AO153" s="331">
        <f t="shared" si="52"/>
        <v>6737225</v>
      </c>
      <c r="AP153" s="331">
        <f t="shared" si="52"/>
        <v>6737225</v>
      </c>
      <c r="AQ153" s="331">
        <f t="shared" si="52"/>
        <v>6737225</v>
      </c>
      <c r="AR153" s="331">
        <f t="shared" si="52"/>
        <v>6737225</v>
      </c>
      <c r="AS153" s="331">
        <f t="shared" si="52"/>
        <v>6737225</v>
      </c>
      <c r="AT153" s="331">
        <f t="shared" si="52"/>
        <v>6737225</v>
      </c>
      <c r="AU153" s="331">
        <f t="shared" si="52"/>
        <v>6737225</v>
      </c>
      <c r="AV153" s="331">
        <f t="shared" si="52"/>
        <v>6737225</v>
      </c>
      <c r="AW153" s="331">
        <f t="shared" si="52"/>
        <v>6737225</v>
      </c>
      <c r="AX153" s="331">
        <f t="shared" si="52"/>
        <v>6737225</v>
      </c>
      <c r="AY153" s="331">
        <f t="shared" si="52"/>
        <v>6737225</v>
      </c>
      <c r="AZ153" s="331">
        <f t="shared" si="52"/>
        <v>6737225</v>
      </c>
      <c r="BA153" s="331">
        <f t="shared" si="52"/>
        <v>6737225</v>
      </c>
      <c r="BB153" s="331">
        <f t="shared" si="52"/>
        <v>6737225</v>
      </c>
      <c r="BC153" s="330">
        <f t="shared" si="52"/>
        <v>6737225</v>
      </c>
      <c r="BD153" s="330">
        <f t="shared" si="52"/>
        <v>6737225</v>
      </c>
      <c r="BE153" s="330">
        <f t="shared" si="52"/>
        <v>6737225</v>
      </c>
      <c r="BF153" s="330">
        <f t="shared" si="52"/>
        <v>6737225</v>
      </c>
      <c r="BG153" s="330">
        <f t="shared" si="52"/>
        <v>6737225</v>
      </c>
      <c r="BH153" s="330">
        <f t="shared" si="52"/>
        <v>6737225</v>
      </c>
      <c r="BI153" s="330">
        <f t="shared" si="52"/>
        <v>6737225</v>
      </c>
      <c r="BJ153" s="330">
        <f t="shared" si="52"/>
        <v>6737225</v>
      </c>
      <c r="BK153" s="330">
        <f t="shared" si="52"/>
        <v>6737225</v>
      </c>
      <c r="BL153" s="330">
        <f t="shared" si="52"/>
        <v>6737225</v>
      </c>
      <c r="BM153" s="330">
        <f t="shared" si="52"/>
        <v>6737225</v>
      </c>
      <c r="BN153" s="330">
        <f t="shared" si="52"/>
        <v>6737225</v>
      </c>
      <c r="BO153" s="330">
        <f t="shared" si="52"/>
        <v>6737225</v>
      </c>
      <c r="BP153" s="330">
        <f t="shared" si="52"/>
        <v>6737225</v>
      </c>
      <c r="BQ153" s="330">
        <f t="shared" si="52"/>
        <v>6737225</v>
      </c>
      <c r="BR153" s="330">
        <f t="shared" si="52"/>
        <v>6737225</v>
      </c>
      <c r="BS153" s="330">
        <f t="shared" si="52"/>
        <v>6737225</v>
      </c>
      <c r="BT153" s="330">
        <f t="shared" si="52"/>
        <v>6737225</v>
      </c>
      <c r="BU153" s="330">
        <f t="shared" si="52"/>
        <v>6737225</v>
      </c>
      <c r="BV153" s="330">
        <f t="shared" si="52"/>
        <v>6737225</v>
      </c>
      <c r="BW153" s="330">
        <f t="shared" si="52"/>
        <v>6737225</v>
      </c>
      <c r="BX153" s="330">
        <f t="shared" si="52"/>
        <v>6737225</v>
      </c>
    </row>
    <row r="154" spans="3:76">
      <c r="C154" s="317" t="s">
        <v>339</v>
      </c>
      <c r="D154" s="326">
        <f>IRR(H152:T152)*12</f>
        <v>0.50984970210104663</v>
      </c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  <c r="AG154" s="226"/>
      <c r="AH154" s="226"/>
      <c r="AI154" s="226"/>
      <c r="AJ154" s="226"/>
      <c r="AK154" s="226"/>
      <c r="AL154" s="226"/>
      <c r="AM154" s="226"/>
      <c r="AN154" s="226"/>
      <c r="AO154" s="226"/>
      <c r="AP154" s="226"/>
      <c r="AQ154" s="226"/>
      <c r="AR154" s="226"/>
      <c r="AS154" s="226"/>
      <c r="AT154" s="226"/>
      <c r="AU154" s="226"/>
      <c r="AV154" s="226"/>
      <c r="AW154" s="226"/>
      <c r="AX154" s="226"/>
      <c r="AY154" s="226"/>
      <c r="AZ154" s="226"/>
      <c r="BA154" s="226"/>
      <c r="BB154" s="226"/>
      <c r="BC154" s="226"/>
      <c r="BD154" s="226"/>
      <c r="BE154" s="226"/>
      <c r="BF154" s="226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6"/>
      <c r="BQ154" s="226"/>
      <c r="BR154" s="226"/>
      <c r="BS154" s="226"/>
      <c r="BT154" s="226"/>
      <c r="BU154" s="226"/>
      <c r="BV154" s="226"/>
      <c r="BW154" s="226"/>
      <c r="BX154" s="226"/>
    </row>
    <row r="155" spans="3:76">
      <c r="C155" s="327" t="s">
        <v>347</v>
      </c>
      <c r="D155" s="328">
        <f>-MIN(M153:BL153)-D156</f>
        <v>10666587.08</v>
      </c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  <c r="BX155" s="226"/>
    </row>
    <row r="156" spans="3:76">
      <c r="C156" s="327" t="s">
        <v>348</v>
      </c>
      <c r="D156" s="328">
        <f>-SUM(M151:BB151)</f>
        <v>0</v>
      </c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  <c r="BX156" s="226"/>
    </row>
    <row r="157" spans="3:76">
      <c r="C157" s="317" t="s">
        <v>349</v>
      </c>
      <c r="D157" s="329">
        <f>D156+D155</f>
        <v>10666587.08</v>
      </c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  <c r="BX157" s="226"/>
    </row>
    <row r="158" spans="3:76">
      <c r="C158" s="317" t="s">
        <v>350</v>
      </c>
      <c r="D158" s="329">
        <f>BX149+BX150</f>
        <v>0</v>
      </c>
      <c r="E158" s="226"/>
      <c r="F158" s="226"/>
      <c r="G158" s="226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226"/>
      <c r="AG158" s="226"/>
      <c r="AH158" s="226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AY158" s="226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  <c r="BX158" s="226"/>
    </row>
    <row r="159" spans="3:76">
      <c r="C159" s="317" t="s">
        <v>351</v>
      </c>
      <c r="D159" s="326">
        <f>T150/T147</f>
        <v>0.51486070537227191</v>
      </c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  <c r="AG159" s="226"/>
      <c r="AH159" s="226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AY159" s="226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  <c r="BX159" s="226"/>
    </row>
    <row r="163" spans="3:76">
      <c r="C163" s="314" t="s">
        <v>356</v>
      </c>
      <c r="D163" s="315"/>
      <c r="E163" s="315">
        <f t="shared" ref="E163:G163" si="53">-(E7+E93)</f>
        <v>0</v>
      </c>
      <c r="F163" s="315">
        <f t="shared" si="53"/>
        <v>0</v>
      </c>
      <c r="G163" s="315">
        <f t="shared" si="53"/>
        <v>0</v>
      </c>
      <c r="H163" s="315">
        <f>-5341205.5</f>
        <v>-5341205.5</v>
      </c>
      <c r="I163" s="315">
        <f t="shared" ref="I163:S163" si="54">-(I7+I93)</f>
        <v>0</v>
      </c>
      <c r="J163" s="315">
        <f t="shared" si="54"/>
        <v>0</v>
      </c>
      <c r="K163" s="315">
        <f t="shared" si="54"/>
        <v>0</v>
      </c>
      <c r="L163" s="315">
        <f t="shared" si="54"/>
        <v>0</v>
      </c>
      <c r="M163" s="315">
        <f t="shared" si="54"/>
        <v>0</v>
      </c>
      <c r="N163" s="315">
        <f t="shared" si="54"/>
        <v>0</v>
      </c>
      <c r="O163" s="315">
        <f t="shared" si="54"/>
        <v>0</v>
      </c>
      <c r="P163" s="315">
        <f t="shared" si="54"/>
        <v>0</v>
      </c>
      <c r="Q163" s="315">
        <f t="shared" si="54"/>
        <v>0</v>
      </c>
      <c r="R163" s="315">
        <f t="shared" si="54"/>
        <v>0</v>
      </c>
      <c r="S163" s="315">
        <f t="shared" si="54"/>
        <v>0</v>
      </c>
      <c r="T163" s="315">
        <f>5341205.5</f>
        <v>5341205.5</v>
      </c>
      <c r="U163" s="315">
        <f t="shared" ref="U163:BX163" si="55">-(U7+U93)</f>
        <v>0</v>
      </c>
      <c r="V163" s="315">
        <f t="shared" si="55"/>
        <v>0</v>
      </c>
      <c r="W163" s="315">
        <f t="shared" si="55"/>
        <v>0</v>
      </c>
      <c r="X163" s="315">
        <f t="shared" si="55"/>
        <v>0</v>
      </c>
      <c r="Y163" s="315">
        <f t="shared" si="55"/>
        <v>0</v>
      </c>
      <c r="Z163" s="315">
        <f t="shared" si="55"/>
        <v>0</v>
      </c>
      <c r="AA163" s="315">
        <f t="shared" si="55"/>
        <v>0</v>
      </c>
      <c r="AB163" s="315">
        <f t="shared" si="55"/>
        <v>0</v>
      </c>
      <c r="AC163" s="315">
        <f t="shared" si="55"/>
        <v>0</v>
      </c>
      <c r="AD163" s="315">
        <f t="shared" si="55"/>
        <v>0</v>
      </c>
      <c r="AE163" s="315">
        <f t="shared" si="55"/>
        <v>0</v>
      </c>
      <c r="AF163" s="315">
        <f t="shared" si="55"/>
        <v>0</v>
      </c>
      <c r="AG163" s="315">
        <f t="shared" si="55"/>
        <v>0</v>
      </c>
      <c r="AH163" s="315">
        <f t="shared" si="55"/>
        <v>0</v>
      </c>
      <c r="AI163" s="315">
        <f t="shared" si="55"/>
        <v>0</v>
      </c>
      <c r="AJ163" s="315">
        <f t="shared" si="55"/>
        <v>0</v>
      </c>
      <c r="AK163" s="315">
        <f t="shared" si="55"/>
        <v>0</v>
      </c>
      <c r="AL163" s="315">
        <f t="shared" si="55"/>
        <v>0</v>
      </c>
      <c r="AM163" s="315">
        <f t="shared" si="55"/>
        <v>0</v>
      </c>
      <c r="AN163" s="315">
        <f t="shared" si="55"/>
        <v>0</v>
      </c>
      <c r="AO163" s="315">
        <f t="shared" si="55"/>
        <v>0</v>
      </c>
      <c r="AP163" s="315">
        <f t="shared" si="55"/>
        <v>0</v>
      </c>
      <c r="AQ163" s="315">
        <f t="shared" si="55"/>
        <v>0</v>
      </c>
      <c r="AR163" s="315">
        <f t="shared" si="55"/>
        <v>0</v>
      </c>
      <c r="AS163" s="315">
        <f t="shared" si="55"/>
        <v>0</v>
      </c>
      <c r="AT163" s="315">
        <f t="shared" si="55"/>
        <v>0</v>
      </c>
      <c r="AU163" s="315">
        <f t="shared" si="55"/>
        <v>0</v>
      </c>
      <c r="AV163" s="315">
        <f t="shared" si="55"/>
        <v>0</v>
      </c>
      <c r="AW163" s="315">
        <f t="shared" si="55"/>
        <v>0</v>
      </c>
      <c r="AX163" s="315">
        <f t="shared" si="55"/>
        <v>0</v>
      </c>
      <c r="AY163" s="315">
        <f t="shared" si="55"/>
        <v>0</v>
      </c>
      <c r="AZ163" s="315">
        <f t="shared" si="55"/>
        <v>0</v>
      </c>
      <c r="BA163" s="315">
        <f t="shared" si="55"/>
        <v>0</v>
      </c>
      <c r="BB163" s="315">
        <f t="shared" si="55"/>
        <v>0</v>
      </c>
      <c r="BC163" s="315">
        <f t="shared" si="55"/>
        <v>0</v>
      </c>
      <c r="BD163" s="315">
        <f t="shared" si="55"/>
        <v>0</v>
      </c>
      <c r="BE163" s="315">
        <f t="shared" si="55"/>
        <v>0</v>
      </c>
      <c r="BF163" s="315">
        <f t="shared" si="55"/>
        <v>0</v>
      </c>
      <c r="BG163" s="315">
        <f t="shared" si="55"/>
        <v>0</v>
      </c>
      <c r="BH163" s="315">
        <f t="shared" si="55"/>
        <v>0</v>
      </c>
      <c r="BI163" s="315">
        <f t="shared" si="55"/>
        <v>0</v>
      </c>
      <c r="BJ163" s="315">
        <f t="shared" si="55"/>
        <v>0</v>
      </c>
      <c r="BK163" s="315">
        <f t="shared" si="55"/>
        <v>0</v>
      </c>
      <c r="BL163" s="315">
        <f t="shared" si="55"/>
        <v>0</v>
      </c>
      <c r="BM163" s="315">
        <f t="shared" si="55"/>
        <v>0</v>
      </c>
      <c r="BN163" s="315">
        <f t="shared" si="55"/>
        <v>0</v>
      </c>
      <c r="BO163" s="315">
        <f t="shared" si="55"/>
        <v>0</v>
      </c>
      <c r="BP163" s="315">
        <f t="shared" si="55"/>
        <v>0</v>
      </c>
      <c r="BQ163" s="315">
        <f t="shared" si="55"/>
        <v>0</v>
      </c>
      <c r="BR163" s="315">
        <f t="shared" si="55"/>
        <v>0</v>
      </c>
      <c r="BS163" s="315">
        <f t="shared" si="55"/>
        <v>0</v>
      </c>
      <c r="BT163" s="315">
        <f t="shared" si="55"/>
        <v>0</v>
      </c>
      <c r="BU163" s="315">
        <f t="shared" si="55"/>
        <v>0</v>
      </c>
      <c r="BV163" s="315">
        <f t="shared" si="55"/>
        <v>0</v>
      </c>
      <c r="BW163" s="315">
        <f t="shared" si="55"/>
        <v>0</v>
      </c>
      <c r="BX163" s="315">
        <f t="shared" si="55"/>
        <v>0</v>
      </c>
    </row>
    <row r="164" spans="3:76">
      <c r="C164" s="314" t="s">
        <v>353</v>
      </c>
      <c r="D164" s="323"/>
      <c r="E164" s="315"/>
      <c r="F164" s="315"/>
      <c r="G164" s="315"/>
      <c r="H164" s="315"/>
      <c r="I164" s="315"/>
      <c r="J164" s="315"/>
      <c r="K164" s="315"/>
      <c r="L164" s="315"/>
      <c r="M164" s="315"/>
      <c r="N164" s="315"/>
      <c r="O164" s="315"/>
      <c r="P164" s="315"/>
      <c r="Q164" s="315"/>
      <c r="R164" s="315"/>
      <c r="S164" s="315"/>
      <c r="T164" s="315"/>
      <c r="U164" s="315"/>
      <c r="V164" s="315"/>
      <c r="W164" s="315"/>
      <c r="X164" s="315"/>
      <c r="Y164" s="315"/>
      <c r="Z164" s="315"/>
      <c r="AA164" s="315"/>
      <c r="AB164" s="315"/>
      <c r="AC164" s="315"/>
      <c r="AD164" s="315"/>
      <c r="AE164" s="315"/>
      <c r="AF164" s="315"/>
      <c r="AG164" s="315"/>
      <c r="AH164" s="315"/>
      <c r="AI164" s="315"/>
      <c r="AJ164" s="315"/>
      <c r="AK164" s="315"/>
      <c r="AL164" s="315"/>
      <c r="AM164" s="315"/>
      <c r="AN164" s="315"/>
      <c r="AO164" s="315"/>
      <c r="AP164" s="315"/>
      <c r="AQ164" s="315"/>
      <c r="AR164" s="315"/>
      <c r="AS164" s="315"/>
      <c r="AT164" s="315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</row>
    <row r="165" spans="3:76">
      <c r="C165" s="314" t="s">
        <v>343</v>
      </c>
      <c r="D165" s="323"/>
      <c r="E165" s="315">
        <f t="shared" ref="E165:BX165" si="56">-E58</f>
        <v>0</v>
      </c>
      <c r="F165" s="315">
        <f t="shared" si="56"/>
        <v>0</v>
      </c>
      <c r="G165" s="315">
        <f t="shared" si="56"/>
        <v>0</v>
      </c>
      <c r="H165" s="315">
        <f t="shared" si="56"/>
        <v>0</v>
      </c>
      <c r="I165" s="315">
        <f t="shared" si="56"/>
        <v>0</v>
      </c>
      <c r="J165" s="315">
        <f t="shared" si="56"/>
        <v>0</v>
      </c>
      <c r="K165" s="315">
        <f t="shared" si="56"/>
        <v>0</v>
      </c>
      <c r="L165" s="315">
        <f t="shared" si="56"/>
        <v>0</v>
      </c>
      <c r="M165" s="315">
        <f t="shared" si="56"/>
        <v>0</v>
      </c>
      <c r="N165" s="315">
        <f t="shared" si="56"/>
        <v>0</v>
      </c>
      <c r="O165" s="315">
        <f t="shared" si="56"/>
        <v>0</v>
      </c>
      <c r="P165" s="315">
        <f t="shared" si="56"/>
        <v>0</v>
      </c>
      <c r="Q165" s="315">
        <f t="shared" si="56"/>
        <v>0</v>
      </c>
      <c r="R165" s="315">
        <f t="shared" si="56"/>
        <v>0</v>
      </c>
      <c r="S165" s="315">
        <f t="shared" si="56"/>
        <v>0</v>
      </c>
      <c r="T165" s="315">
        <f t="shared" si="56"/>
        <v>0</v>
      </c>
      <c r="U165" s="315">
        <f t="shared" si="56"/>
        <v>0</v>
      </c>
      <c r="V165" s="315">
        <f t="shared" si="56"/>
        <v>0</v>
      </c>
      <c r="W165" s="315">
        <f t="shared" si="56"/>
        <v>0</v>
      </c>
      <c r="X165" s="315">
        <f t="shared" si="56"/>
        <v>0</v>
      </c>
      <c r="Y165" s="315">
        <f t="shared" si="56"/>
        <v>0</v>
      </c>
      <c r="Z165" s="315">
        <f t="shared" si="56"/>
        <v>0</v>
      </c>
      <c r="AA165" s="315">
        <f t="shared" si="56"/>
        <v>0</v>
      </c>
      <c r="AB165" s="315">
        <f t="shared" si="56"/>
        <v>0</v>
      </c>
      <c r="AC165" s="315">
        <f t="shared" si="56"/>
        <v>0</v>
      </c>
      <c r="AD165" s="315">
        <f t="shared" si="56"/>
        <v>0</v>
      </c>
      <c r="AE165" s="315">
        <f t="shared" si="56"/>
        <v>0</v>
      </c>
      <c r="AF165" s="315">
        <f t="shared" si="56"/>
        <v>0</v>
      </c>
      <c r="AG165" s="315">
        <f t="shared" si="56"/>
        <v>0</v>
      </c>
      <c r="AH165" s="315">
        <f t="shared" si="56"/>
        <v>0</v>
      </c>
      <c r="AI165" s="315">
        <f t="shared" si="56"/>
        <v>0</v>
      </c>
      <c r="AJ165" s="315">
        <f t="shared" si="56"/>
        <v>0</v>
      </c>
      <c r="AK165" s="315">
        <f t="shared" si="56"/>
        <v>0</v>
      </c>
      <c r="AL165" s="315">
        <f t="shared" si="56"/>
        <v>0</v>
      </c>
      <c r="AM165" s="315">
        <f t="shared" si="56"/>
        <v>0</v>
      </c>
      <c r="AN165" s="315">
        <f t="shared" si="56"/>
        <v>0</v>
      </c>
      <c r="AO165" s="315">
        <f t="shared" si="56"/>
        <v>0</v>
      </c>
      <c r="AP165" s="315">
        <f t="shared" si="56"/>
        <v>0</v>
      </c>
      <c r="AQ165" s="315">
        <f t="shared" si="56"/>
        <v>0</v>
      </c>
      <c r="AR165" s="315">
        <f t="shared" si="56"/>
        <v>0</v>
      </c>
      <c r="AS165" s="315">
        <f t="shared" si="56"/>
        <v>0</v>
      </c>
      <c r="AT165" s="315">
        <f t="shared" si="56"/>
        <v>0</v>
      </c>
      <c r="AU165" s="315">
        <f t="shared" si="56"/>
        <v>0</v>
      </c>
      <c r="AV165" s="315">
        <f t="shared" si="56"/>
        <v>0</v>
      </c>
      <c r="AW165" s="315">
        <f t="shared" si="56"/>
        <v>0</v>
      </c>
      <c r="AX165" s="315">
        <f t="shared" si="56"/>
        <v>0</v>
      </c>
      <c r="AY165" s="315">
        <f t="shared" si="56"/>
        <v>0</v>
      </c>
      <c r="AZ165" s="315">
        <f t="shared" si="56"/>
        <v>0</v>
      </c>
      <c r="BA165" s="315">
        <f t="shared" si="56"/>
        <v>0</v>
      </c>
      <c r="BB165" s="315">
        <f t="shared" si="56"/>
        <v>0</v>
      </c>
      <c r="BC165" s="315">
        <f t="shared" si="56"/>
        <v>0</v>
      </c>
      <c r="BD165" s="315">
        <f t="shared" si="56"/>
        <v>0</v>
      </c>
      <c r="BE165" s="315">
        <f t="shared" si="56"/>
        <v>0</v>
      </c>
      <c r="BF165" s="315">
        <f t="shared" si="56"/>
        <v>0</v>
      </c>
      <c r="BG165" s="315">
        <f t="shared" si="56"/>
        <v>0</v>
      </c>
      <c r="BH165" s="315">
        <f t="shared" si="56"/>
        <v>0</v>
      </c>
      <c r="BI165" s="315">
        <f t="shared" si="56"/>
        <v>0</v>
      </c>
      <c r="BJ165" s="315">
        <f t="shared" si="56"/>
        <v>0</v>
      </c>
      <c r="BK165" s="315">
        <f t="shared" si="56"/>
        <v>0</v>
      </c>
      <c r="BL165" s="315">
        <f t="shared" si="56"/>
        <v>0</v>
      </c>
      <c r="BM165" s="315">
        <f t="shared" si="56"/>
        <v>0</v>
      </c>
      <c r="BN165" s="315">
        <f t="shared" si="56"/>
        <v>0</v>
      </c>
      <c r="BO165" s="315">
        <f t="shared" si="56"/>
        <v>0</v>
      </c>
      <c r="BP165" s="315">
        <f t="shared" si="56"/>
        <v>0</v>
      </c>
      <c r="BQ165" s="315">
        <f t="shared" si="56"/>
        <v>0</v>
      </c>
      <c r="BR165" s="315">
        <f t="shared" si="56"/>
        <v>0</v>
      </c>
      <c r="BS165" s="315">
        <f t="shared" si="56"/>
        <v>0</v>
      </c>
      <c r="BT165" s="315">
        <f t="shared" si="56"/>
        <v>0</v>
      </c>
      <c r="BU165" s="315">
        <f t="shared" si="56"/>
        <v>0</v>
      </c>
      <c r="BV165" s="315">
        <f t="shared" si="56"/>
        <v>0</v>
      </c>
      <c r="BW165" s="315">
        <f t="shared" si="56"/>
        <v>0</v>
      </c>
      <c r="BX165" s="315">
        <f t="shared" si="56"/>
        <v>0</v>
      </c>
    </row>
    <row r="166" spans="3:76">
      <c r="C166" s="314" t="s">
        <v>344</v>
      </c>
      <c r="D166" s="323"/>
      <c r="E166" s="315"/>
      <c r="F166" s="315"/>
      <c r="G166" s="315"/>
      <c r="H166" s="315"/>
      <c r="I166" s="315"/>
      <c r="J166" s="315"/>
      <c r="K166" s="315"/>
      <c r="L166" s="315"/>
      <c r="M166" s="315"/>
      <c r="N166" s="315"/>
      <c r="O166" s="315"/>
      <c r="P166" s="315"/>
      <c r="Q166" s="315"/>
      <c r="R166" s="315"/>
      <c r="S166" s="315"/>
      <c r="T166" s="315">
        <v>2750000</v>
      </c>
      <c r="U166" s="315"/>
      <c r="V166" s="315"/>
      <c r="W166" s="315"/>
      <c r="X166" s="315"/>
      <c r="Y166" s="315"/>
      <c r="Z166" s="315"/>
      <c r="AA166" s="315"/>
      <c r="AB166" s="315"/>
      <c r="AC166" s="315"/>
      <c r="AD166" s="315"/>
      <c r="AE166" s="315"/>
      <c r="AF166" s="315"/>
      <c r="AG166" s="315"/>
      <c r="AH166" s="315"/>
      <c r="AI166" s="315"/>
      <c r="AJ166" s="315"/>
      <c r="AK166" s="315"/>
      <c r="AL166" s="315"/>
      <c r="AM166" s="315"/>
      <c r="AN166" s="315"/>
      <c r="AO166" s="315"/>
      <c r="AP166" s="315"/>
      <c r="AQ166" s="315"/>
      <c r="AR166" s="315"/>
      <c r="AS166" s="315"/>
      <c r="AT166" s="315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>
        <f>IF(D106&gt;0.25,(BX101-BX109)*D167,BX101*D167)</f>
        <v>0</v>
      </c>
    </row>
    <row r="167" spans="3:76">
      <c r="C167" s="317" t="s">
        <v>345</v>
      </c>
      <c r="D167" s="323">
        <v>0</v>
      </c>
      <c r="E167" s="246"/>
      <c r="F167" s="246"/>
      <c r="G167" s="246"/>
      <c r="H167" s="246"/>
      <c r="I167" s="246"/>
      <c r="J167" s="246"/>
      <c r="K167" s="246"/>
      <c r="L167" s="246"/>
      <c r="M167" s="246"/>
      <c r="N167" s="246"/>
      <c r="O167" s="246"/>
      <c r="P167" s="246"/>
      <c r="Q167" s="246"/>
      <c r="R167" s="246"/>
      <c r="S167" s="246"/>
      <c r="T167" s="246"/>
      <c r="U167" s="246"/>
      <c r="V167" s="246"/>
      <c r="W167" s="246"/>
      <c r="X167" s="246"/>
      <c r="Y167" s="246"/>
      <c r="Z167" s="246"/>
      <c r="AA167" s="246"/>
      <c r="AB167" s="246"/>
      <c r="AC167" s="246"/>
      <c r="AD167" s="246"/>
      <c r="AE167" s="246"/>
      <c r="AF167" s="246"/>
      <c r="AG167" s="246"/>
      <c r="AH167" s="246"/>
      <c r="AI167" s="246"/>
      <c r="AJ167" s="246"/>
      <c r="AK167" s="246"/>
      <c r="AL167" s="246"/>
      <c r="AM167" s="246"/>
      <c r="AN167" s="246"/>
      <c r="AO167" s="246"/>
      <c r="AP167" s="246"/>
      <c r="AQ167" s="246"/>
      <c r="AR167" s="246"/>
      <c r="AS167" s="246"/>
      <c r="AT167" s="246"/>
      <c r="AU167" s="246"/>
      <c r="AV167" s="246"/>
      <c r="AW167" s="246"/>
      <c r="AX167" s="246"/>
      <c r="AY167" s="246"/>
      <c r="AZ167" s="246"/>
      <c r="BA167" s="246"/>
      <c r="BB167" s="246"/>
      <c r="BC167" s="246"/>
      <c r="BD167" s="246"/>
      <c r="BE167" s="246"/>
      <c r="BF167" s="246"/>
      <c r="BG167" s="246"/>
      <c r="BH167" s="246"/>
      <c r="BI167" s="246"/>
      <c r="BJ167" s="246"/>
      <c r="BK167" s="246"/>
      <c r="BL167" s="246"/>
      <c r="BM167" s="246"/>
      <c r="BN167" s="246"/>
      <c r="BO167" s="246"/>
      <c r="BP167" s="246"/>
      <c r="BQ167" s="246"/>
      <c r="BR167" s="246"/>
      <c r="BS167" s="246"/>
      <c r="BT167" s="246"/>
      <c r="BU167" s="246"/>
      <c r="BV167" s="246"/>
      <c r="BW167" s="246"/>
      <c r="BX167" s="246"/>
    </row>
    <row r="168" spans="3:76">
      <c r="C168" s="314" t="s">
        <v>346</v>
      </c>
      <c r="D168" s="315"/>
      <c r="E168" s="325">
        <f t="shared" ref="E168:BX168" si="57">E163+E164+E165+E166+E167</f>
        <v>0</v>
      </c>
      <c r="F168" s="325">
        <f t="shared" si="57"/>
        <v>0</v>
      </c>
      <c r="G168" s="325">
        <f t="shared" si="57"/>
        <v>0</v>
      </c>
      <c r="H168" s="325">
        <f t="shared" si="57"/>
        <v>-5341205.5</v>
      </c>
      <c r="I168" s="325">
        <f t="shared" si="57"/>
        <v>0</v>
      </c>
      <c r="J168" s="325">
        <f t="shared" si="57"/>
        <v>0</v>
      </c>
      <c r="K168" s="325">
        <f t="shared" si="57"/>
        <v>0</v>
      </c>
      <c r="L168" s="325">
        <f t="shared" si="57"/>
        <v>0</v>
      </c>
      <c r="M168" s="325">
        <f t="shared" si="57"/>
        <v>0</v>
      </c>
      <c r="N168" s="325">
        <f t="shared" si="57"/>
        <v>0</v>
      </c>
      <c r="O168" s="325">
        <f t="shared" si="57"/>
        <v>0</v>
      </c>
      <c r="P168" s="325">
        <f t="shared" si="57"/>
        <v>0</v>
      </c>
      <c r="Q168" s="325">
        <f t="shared" si="57"/>
        <v>0</v>
      </c>
      <c r="R168" s="325">
        <f t="shared" si="57"/>
        <v>0</v>
      </c>
      <c r="S168" s="325">
        <f t="shared" si="57"/>
        <v>0</v>
      </c>
      <c r="T168" s="325">
        <f t="shared" si="57"/>
        <v>8091205.5</v>
      </c>
      <c r="U168" s="325">
        <f t="shared" si="57"/>
        <v>0</v>
      </c>
      <c r="V168" s="325">
        <f t="shared" si="57"/>
        <v>0</v>
      </c>
      <c r="W168" s="325">
        <f t="shared" si="57"/>
        <v>0</v>
      </c>
      <c r="X168" s="325">
        <f t="shared" si="57"/>
        <v>0</v>
      </c>
      <c r="Y168" s="325">
        <f t="shared" si="57"/>
        <v>0</v>
      </c>
      <c r="Z168" s="325">
        <f t="shared" si="57"/>
        <v>0</v>
      </c>
      <c r="AA168" s="325">
        <f t="shared" si="57"/>
        <v>0</v>
      </c>
      <c r="AB168" s="325">
        <f t="shared" si="57"/>
        <v>0</v>
      </c>
      <c r="AC168" s="325">
        <f t="shared" si="57"/>
        <v>0</v>
      </c>
      <c r="AD168" s="325">
        <f t="shared" si="57"/>
        <v>0</v>
      </c>
      <c r="AE168" s="325">
        <f t="shared" si="57"/>
        <v>0</v>
      </c>
      <c r="AF168" s="325">
        <f t="shared" si="57"/>
        <v>0</v>
      </c>
      <c r="AG168" s="325">
        <f t="shared" si="57"/>
        <v>0</v>
      </c>
      <c r="AH168" s="325">
        <f t="shared" si="57"/>
        <v>0</v>
      </c>
      <c r="AI168" s="325">
        <f t="shared" si="57"/>
        <v>0</v>
      </c>
      <c r="AJ168" s="325">
        <f t="shared" si="57"/>
        <v>0</v>
      </c>
      <c r="AK168" s="325">
        <f t="shared" si="57"/>
        <v>0</v>
      </c>
      <c r="AL168" s="325">
        <f t="shared" si="57"/>
        <v>0</v>
      </c>
      <c r="AM168" s="325">
        <f t="shared" si="57"/>
        <v>0</v>
      </c>
      <c r="AN168" s="325">
        <f t="shared" si="57"/>
        <v>0</v>
      </c>
      <c r="AO168" s="325">
        <f t="shared" si="57"/>
        <v>0</v>
      </c>
      <c r="AP168" s="325">
        <f t="shared" si="57"/>
        <v>0</v>
      </c>
      <c r="AQ168" s="325">
        <f t="shared" si="57"/>
        <v>0</v>
      </c>
      <c r="AR168" s="325">
        <f t="shared" si="57"/>
        <v>0</v>
      </c>
      <c r="AS168" s="325">
        <f t="shared" si="57"/>
        <v>0</v>
      </c>
      <c r="AT168" s="325">
        <f t="shared" si="57"/>
        <v>0</v>
      </c>
      <c r="AU168" s="325">
        <f t="shared" si="57"/>
        <v>0</v>
      </c>
      <c r="AV168" s="325">
        <f t="shared" si="57"/>
        <v>0</v>
      </c>
      <c r="AW168" s="325">
        <f t="shared" si="57"/>
        <v>0</v>
      </c>
      <c r="AX168" s="325">
        <f t="shared" si="57"/>
        <v>0</v>
      </c>
      <c r="AY168" s="325">
        <f t="shared" si="57"/>
        <v>0</v>
      </c>
      <c r="AZ168" s="325">
        <f t="shared" si="57"/>
        <v>0</v>
      </c>
      <c r="BA168" s="325">
        <f t="shared" si="57"/>
        <v>0</v>
      </c>
      <c r="BB168" s="325">
        <f t="shared" si="57"/>
        <v>0</v>
      </c>
      <c r="BC168" s="325">
        <f t="shared" si="57"/>
        <v>0</v>
      </c>
      <c r="BD168" s="325">
        <f t="shared" si="57"/>
        <v>0</v>
      </c>
      <c r="BE168" s="325">
        <f t="shared" si="57"/>
        <v>0</v>
      </c>
      <c r="BF168" s="325">
        <f t="shared" si="57"/>
        <v>0</v>
      </c>
      <c r="BG168" s="325">
        <f t="shared" si="57"/>
        <v>0</v>
      </c>
      <c r="BH168" s="325">
        <f t="shared" si="57"/>
        <v>0</v>
      </c>
      <c r="BI168" s="325">
        <f t="shared" si="57"/>
        <v>0</v>
      </c>
      <c r="BJ168" s="325">
        <f t="shared" si="57"/>
        <v>0</v>
      </c>
      <c r="BK168" s="325">
        <f t="shared" si="57"/>
        <v>0</v>
      </c>
      <c r="BL168" s="325">
        <f t="shared" si="57"/>
        <v>0</v>
      </c>
      <c r="BM168" s="325">
        <f t="shared" si="57"/>
        <v>0</v>
      </c>
      <c r="BN168" s="325">
        <f t="shared" si="57"/>
        <v>0</v>
      </c>
      <c r="BO168" s="325">
        <f t="shared" si="57"/>
        <v>0</v>
      </c>
      <c r="BP168" s="325">
        <f t="shared" si="57"/>
        <v>0</v>
      </c>
      <c r="BQ168" s="325">
        <f t="shared" si="57"/>
        <v>0</v>
      </c>
      <c r="BR168" s="325">
        <f t="shared" si="57"/>
        <v>0</v>
      </c>
      <c r="BS168" s="325">
        <f t="shared" si="57"/>
        <v>0</v>
      </c>
      <c r="BT168" s="325">
        <f t="shared" si="57"/>
        <v>0</v>
      </c>
      <c r="BU168" s="325">
        <f t="shared" si="57"/>
        <v>0</v>
      </c>
      <c r="BV168" s="325">
        <f t="shared" si="57"/>
        <v>0</v>
      </c>
      <c r="BW168" s="325">
        <f t="shared" si="57"/>
        <v>0</v>
      </c>
      <c r="BX168" s="325">
        <f t="shared" si="57"/>
        <v>0</v>
      </c>
    </row>
    <row r="169" spans="3:76">
      <c r="C169" s="318"/>
      <c r="D169" s="326" t="s">
        <v>354</v>
      </c>
      <c r="E169" s="330">
        <f>E168</f>
        <v>0</v>
      </c>
      <c r="F169" s="330">
        <f t="shared" ref="F169:BX169" si="58">E169+F168</f>
        <v>0</v>
      </c>
      <c r="G169" s="330">
        <f t="shared" si="58"/>
        <v>0</v>
      </c>
      <c r="H169" s="330">
        <f t="shared" si="58"/>
        <v>-5341205.5</v>
      </c>
      <c r="I169" s="330">
        <f t="shared" si="58"/>
        <v>-5341205.5</v>
      </c>
      <c r="J169" s="330">
        <f t="shared" si="58"/>
        <v>-5341205.5</v>
      </c>
      <c r="K169" s="330">
        <f t="shared" si="58"/>
        <v>-5341205.5</v>
      </c>
      <c r="L169" s="330">
        <f t="shared" si="58"/>
        <v>-5341205.5</v>
      </c>
      <c r="M169" s="330">
        <f t="shared" si="58"/>
        <v>-5341205.5</v>
      </c>
      <c r="N169" s="330">
        <f t="shared" si="58"/>
        <v>-5341205.5</v>
      </c>
      <c r="O169" s="330">
        <f t="shared" si="58"/>
        <v>-5341205.5</v>
      </c>
      <c r="P169" s="330">
        <f t="shared" si="58"/>
        <v>-5341205.5</v>
      </c>
      <c r="Q169" s="330">
        <f t="shared" si="58"/>
        <v>-5341205.5</v>
      </c>
      <c r="R169" s="330">
        <f t="shared" si="58"/>
        <v>-5341205.5</v>
      </c>
      <c r="S169" s="330">
        <f t="shared" si="58"/>
        <v>-5341205.5</v>
      </c>
      <c r="T169" s="330">
        <f t="shared" si="58"/>
        <v>2750000</v>
      </c>
      <c r="U169" s="330">
        <f t="shared" si="58"/>
        <v>2750000</v>
      </c>
      <c r="V169" s="330">
        <f t="shared" si="58"/>
        <v>2750000</v>
      </c>
      <c r="W169" s="330">
        <f t="shared" si="58"/>
        <v>2750000</v>
      </c>
      <c r="X169" s="330">
        <f t="shared" si="58"/>
        <v>2750000</v>
      </c>
      <c r="Y169" s="330">
        <f t="shared" si="58"/>
        <v>2750000</v>
      </c>
      <c r="Z169" s="330">
        <f t="shared" si="58"/>
        <v>2750000</v>
      </c>
      <c r="AA169" s="330">
        <f t="shared" si="58"/>
        <v>2750000</v>
      </c>
      <c r="AB169" s="330">
        <f t="shared" si="58"/>
        <v>2750000</v>
      </c>
      <c r="AC169" s="330">
        <f t="shared" si="58"/>
        <v>2750000</v>
      </c>
      <c r="AD169" s="330">
        <f t="shared" si="58"/>
        <v>2750000</v>
      </c>
      <c r="AE169" s="330">
        <f t="shared" si="58"/>
        <v>2750000</v>
      </c>
      <c r="AF169" s="330">
        <f t="shared" si="58"/>
        <v>2750000</v>
      </c>
      <c r="AG169" s="330">
        <f t="shared" si="58"/>
        <v>2750000</v>
      </c>
      <c r="AH169" s="330">
        <f t="shared" si="58"/>
        <v>2750000</v>
      </c>
      <c r="AI169" s="330">
        <f t="shared" si="58"/>
        <v>2750000</v>
      </c>
      <c r="AJ169" s="330">
        <f t="shared" si="58"/>
        <v>2750000</v>
      </c>
      <c r="AK169" s="330">
        <f t="shared" si="58"/>
        <v>2750000</v>
      </c>
      <c r="AL169" s="330">
        <f t="shared" si="58"/>
        <v>2750000</v>
      </c>
      <c r="AM169" s="330">
        <f t="shared" si="58"/>
        <v>2750000</v>
      </c>
      <c r="AN169" s="330">
        <f t="shared" si="58"/>
        <v>2750000</v>
      </c>
      <c r="AO169" s="330">
        <f t="shared" si="58"/>
        <v>2750000</v>
      </c>
      <c r="AP169" s="330">
        <f t="shared" si="58"/>
        <v>2750000</v>
      </c>
      <c r="AQ169" s="330">
        <f t="shared" si="58"/>
        <v>2750000</v>
      </c>
      <c r="AR169" s="330">
        <f t="shared" si="58"/>
        <v>2750000</v>
      </c>
      <c r="AS169" s="330">
        <f t="shared" si="58"/>
        <v>2750000</v>
      </c>
      <c r="AT169" s="330">
        <f t="shared" si="58"/>
        <v>2750000</v>
      </c>
      <c r="AU169" s="330">
        <f t="shared" si="58"/>
        <v>2750000</v>
      </c>
      <c r="AV169" s="330">
        <f t="shared" si="58"/>
        <v>2750000</v>
      </c>
      <c r="AW169" s="330">
        <f t="shared" si="58"/>
        <v>2750000</v>
      </c>
      <c r="AX169" s="330">
        <f t="shared" si="58"/>
        <v>2750000</v>
      </c>
      <c r="AY169" s="330">
        <f t="shared" si="58"/>
        <v>2750000</v>
      </c>
      <c r="AZ169" s="330">
        <f t="shared" si="58"/>
        <v>2750000</v>
      </c>
      <c r="BA169" s="330">
        <f t="shared" si="58"/>
        <v>2750000</v>
      </c>
      <c r="BB169" s="330">
        <f t="shared" si="58"/>
        <v>2750000</v>
      </c>
      <c r="BC169" s="330">
        <f t="shared" si="58"/>
        <v>2750000</v>
      </c>
      <c r="BD169" s="330">
        <f t="shared" si="58"/>
        <v>2750000</v>
      </c>
      <c r="BE169" s="330">
        <f t="shared" si="58"/>
        <v>2750000</v>
      </c>
      <c r="BF169" s="330">
        <f t="shared" si="58"/>
        <v>2750000</v>
      </c>
      <c r="BG169" s="330">
        <f t="shared" si="58"/>
        <v>2750000</v>
      </c>
      <c r="BH169" s="330">
        <f t="shared" si="58"/>
        <v>2750000</v>
      </c>
      <c r="BI169" s="330">
        <f t="shared" si="58"/>
        <v>2750000</v>
      </c>
      <c r="BJ169" s="330">
        <f t="shared" si="58"/>
        <v>2750000</v>
      </c>
      <c r="BK169" s="330">
        <f t="shared" si="58"/>
        <v>2750000</v>
      </c>
      <c r="BL169" s="330">
        <f t="shared" si="58"/>
        <v>2750000</v>
      </c>
      <c r="BM169" s="330">
        <f t="shared" si="58"/>
        <v>2750000</v>
      </c>
      <c r="BN169" s="330">
        <f t="shared" si="58"/>
        <v>2750000</v>
      </c>
      <c r="BO169" s="330">
        <f t="shared" si="58"/>
        <v>2750000</v>
      </c>
      <c r="BP169" s="330">
        <f t="shared" si="58"/>
        <v>2750000</v>
      </c>
      <c r="BQ169" s="330">
        <f t="shared" si="58"/>
        <v>2750000</v>
      </c>
      <c r="BR169" s="330">
        <f t="shared" si="58"/>
        <v>2750000</v>
      </c>
      <c r="BS169" s="330">
        <f t="shared" si="58"/>
        <v>2750000</v>
      </c>
      <c r="BT169" s="330">
        <f t="shared" si="58"/>
        <v>2750000</v>
      </c>
      <c r="BU169" s="330">
        <f t="shared" si="58"/>
        <v>2750000</v>
      </c>
      <c r="BV169" s="330">
        <f t="shared" si="58"/>
        <v>2750000</v>
      </c>
      <c r="BW169" s="330">
        <f t="shared" si="58"/>
        <v>2750000</v>
      </c>
      <c r="BX169" s="330">
        <f t="shared" si="58"/>
        <v>2750000</v>
      </c>
    </row>
    <row r="170" spans="3:76">
      <c r="C170" s="317" t="s">
        <v>339</v>
      </c>
      <c r="D170" s="326">
        <f>IRR(E168:BX168)*12</f>
        <v>0.42259732866030397</v>
      </c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6"/>
      <c r="AZ170" s="226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6"/>
      <c r="BM170" s="226"/>
      <c r="BN170" s="226"/>
      <c r="BO170" s="226"/>
      <c r="BP170" s="226"/>
      <c r="BQ170" s="226"/>
      <c r="BR170" s="226"/>
      <c r="BS170" s="226"/>
      <c r="BT170" s="226"/>
      <c r="BU170" s="226"/>
      <c r="BV170" s="226"/>
      <c r="BW170" s="226"/>
      <c r="BX170" s="226"/>
    </row>
    <row r="171" spans="3:76">
      <c r="C171" s="327" t="s">
        <v>347</v>
      </c>
      <c r="D171" s="328">
        <f>-MIN(M169:BL169)-D172</f>
        <v>5341205.5</v>
      </c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6"/>
      <c r="AZ171" s="226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6"/>
      <c r="BM171" s="226"/>
      <c r="BN171" s="226"/>
      <c r="BO171" s="226"/>
      <c r="BP171" s="226"/>
      <c r="BQ171" s="226"/>
      <c r="BR171" s="226"/>
      <c r="BS171" s="226"/>
      <c r="BT171" s="226"/>
      <c r="BU171" s="226"/>
      <c r="BV171" s="226"/>
      <c r="BW171" s="226"/>
      <c r="BX171" s="226"/>
    </row>
    <row r="172" spans="3:76">
      <c r="C172" s="327" t="s">
        <v>348</v>
      </c>
      <c r="D172" s="328">
        <f>-SUM(M167:BB167)</f>
        <v>0</v>
      </c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6"/>
      <c r="BN172" s="226"/>
      <c r="BO172" s="226"/>
      <c r="BP172" s="226"/>
      <c r="BQ172" s="226"/>
      <c r="BR172" s="226"/>
      <c r="BS172" s="226"/>
      <c r="BT172" s="226"/>
      <c r="BU172" s="226"/>
      <c r="BV172" s="226"/>
      <c r="BW172" s="226"/>
      <c r="BX172" s="226"/>
    </row>
    <row r="173" spans="3:76">
      <c r="C173" s="317" t="s">
        <v>349</v>
      </c>
      <c r="D173" s="329">
        <f>D172+D171</f>
        <v>5341205.5</v>
      </c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6"/>
      <c r="BN173" s="226"/>
      <c r="BO173" s="226"/>
      <c r="BP173" s="226"/>
      <c r="BQ173" s="226"/>
      <c r="BR173" s="226"/>
      <c r="BS173" s="226"/>
      <c r="BT173" s="226"/>
      <c r="BU173" s="226"/>
      <c r="BV173" s="226"/>
      <c r="BW173" s="226"/>
      <c r="BX173" s="226"/>
    </row>
    <row r="174" spans="3:76">
      <c r="C174" s="317" t="s">
        <v>350</v>
      </c>
      <c r="D174" s="329">
        <f>BX165+BX166</f>
        <v>0</v>
      </c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26"/>
      <c r="BN174" s="226"/>
      <c r="BO174" s="226"/>
      <c r="BP174" s="226"/>
      <c r="BQ174" s="226"/>
      <c r="BR174" s="226"/>
      <c r="BS174" s="226"/>
      <c r="BT174" s="226"/>
      <c r="BU174" s="226"/>
      <c r="BV174" s="226"/>
      <c r="BW174" s="226"/>
      <c r="BX174" s="226"/>
    </row>
    <row r="175" spans="3:76">
      <c r="C175" s="317" t="s">
        <v>351</v>
      </c>
      <c r="D175" s="326">
        <f>T166/T163</f>
        <v>0.51486504310684167</v>
      </c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26"/>
      <c r="BN175" s="226"/>
      <c r="BO175" s="226"/>
      <c r="BP175" s="226"/>
      <c r="BQ175" s="226"/>
      <c r="BR175" s="226"/>
      <c r="BS175" s="226"/>
      <c r="BT175" s="226"/>
      <c r="BU175" s="226"/>
      <c r="BV175" s="226"/>
      <c r="BW175" s="226"/>
      <c r="BX175" s="226"/>
    </row>
    <row r="179" spans="3:76">
      <c r="C179" s="314" t="s">
        <v>357</v>
      </c>
      <c r="D179" s="315"/>
      <c r="E179" s="316">
        <f t="shared" ref="E179:G179" si="59">-(E8+E94)</f>
        <v>0</v>
      </c>
      <c r="F179" s="316">
        <f t="shared" si="59"/>
        <v>0</v>
      </c>
      <c r="G179" s="316">
        <f t="shared" si="59"/>
        <v>0</v>
      </c>
      <c r="H179" s="315">
        <f>-5341205.5</f>
        <v>-5341205.5</v>
      </c>
      <c r="I179" s="315">
        <v>0</v>
      </c>
      <c r="J179" s="315">
        <v>0</v>
      </c>
      <c r="K179" s="315">
        <v>0</v>
      </c>
      <c r="L179" s="315">
        <v>0</v>
      </c>
      <c r="M179" s="315">
        <v>0</v>
      </c>
      <c r="N179" s="315">
        <v>0</v>
      </c>
      <c r="O179" s="315">
        <v>0</v>
      </c>
      <c r="P179" s="315">
        <v>0</v>
      </c>
      <c r="Q179" s="315">
        <v>0</v>
      </c>
      <c r="R179" s="315">
        <v>0</v>
      </c>
      <c r="S179" s="315">
        <v>0</v>
      </c>
      <c r="T179" s="315">
        <f>5341205.5</f>
        <v>5341205.5</v>
      </c>
      <c r="U179" s="316">
        <f t="shared" ref="U179:BX179" si="60">-(U8+U94)</f>
        <v>0</v>
      </c>
      <c r="V179" s="316">
        <f t="shared" si="60"/>
        <v>0</v>
      </c>
      <c r="W179" s="316">
        <f t="shared" si="60"/>
        <v>0</v>
      </c>
      <c r="X179" s="316">
        <f t="shared" si="60"/>
        <v>0</v>
      </c>
      <c r="Y179" s="316">
        <f t="shared" si="60"/>
        <v>0</v>
      </c>
      <c r="Z179" s="316">
        <f t="shared" si="60"/>
        <v>0</v>
      </c>
      <c r="AA179" s="316">
        <f t="shared" si="60"/>
        <v>0</v>
      </c>
      <c r="AB179" s="316">
        <f t="shared" si="60"/>
        <v>0</v>
      </c>
      <c r="AC179" s="316">
        <f t="shared" si="60"/>
        <v>0</v>
      </c>
      <c r="AD179" s="316">
        <f t="shared" si="60"/>
        <v>0</v>
      </c>
      <c r="AE179" s="316">
        <f t="shared" si="60"/>
        <v>0</v>
      </c>
      <c r="AF179" s="316">
        <f t="shared" si="60"/>
        <v>0</v>
      </c>
      <c r="AG179" s="316">
        <f t="shared" si="60"/>
        <v>0</v>
      </c>
      <c r="AH179" s="316">
        <f t="shared" si="60"/>
        <v>0</v>
      </c>
      <c r="AI179" s="316">
        <f t="shared" si="60"/>
        <v>0</v>
      </c>
      <c r="AJ179" s="316">
        <f t="shared" si="60"/>
        <v>0</v>
      </c>
      <c r="AK179" s="316">
        <f t="shared" si="60"/>
        <v>0</v>
      </c>
      <c r="AL179" s="316">
        <f t="shared" si="60"/>
        <v>0</v>
      </c>
      <c r="AM179" s="316">
        <f t="shared" si="60"/>
        <v>0</v>
      </c>
      <c r="AN179" s="316">
        <f t="shared" si="60"/>
        <v>0</v>
      </c>
      <c r="AO179" s="316">
        <f t="shared" si="60"/>
        <v>0</v>
      </c>
      <c r="AP179" s="316">
        <f t="shared" si="60"/>
        <v>0</v>
      </c>
      <c r="AQ179" s="316">
        <f t="shared" si="60"/>
        <v>0</v>
      </c>
      <c r="AR179" s="316">
        <f t="shared" si="60"/>
        <v>0</v>
      </c>
      <c r="AS179" s="316">
        <f t="shared" si="60"/>
        <v>0</v>
      </c>
      <c r="AT179" s="316">
        <f t="shared" si="60"/>
        <v>0</v>
      </c>
      <c r="AU179" s="316">
        <f t="shared" si="60"/>
        <v>0</v>
      </c>
      <c r="AV179" s="316">
        <f t="shared" si="60"/>
        <v>0</v>
      </c>
      <c r="AW179" s="316">
        <f t="shared" si="60"/>
        <v>0</v>
      </c>
      <c r="AX179" s="316">
        <f t="shared" si="60"/>
        <v>0</v>
      </c>
      <c r="AY179" s="316">
        <f t="shared" si="60"/>
        <v>0</v>
      </c>
      <c r="AZ179" s="316">
        <f t="shared" si="60"/>
        <v>0</v>
      </c>
      <c r="BA179" s="316">
        <f t="shared" si="60"/>
        <v>0</v>
      </c>
      <c r="BB179" s="316">
        <f t="shared" si="60"/>
        <v>0</v>
      </c>
      <c r="BC179" s="316">
        <f t="shared" si="60"/>
        <v>0</v>
      </c>
      <c r="BD179" s="316">
        <f t="shared" si="60"/>
        <v>0</v>
      </c>
      <c r="BE179" s="316">
        <f t="shared" si="60"/>
        <v>0</v>
      </c>
      <c r="BF179" s="316">
        <f t="shared" si="60"/>
        <v>0</v>
      </c>
      <c r="BG179" s="316">
        <f t="shared" si="60"/>
        <v>0</v>
      </c>
      <c r="BH179" s="316">
        <f t="shared" si="60"/>
        <v>0</v>
      </c>
      <c r="BI179" s="316">
        <f t="shared" si="60"/>
        <v>0</v>
      </c>
      <c r="BJ179" s="316">
        <f t="shared" si="60"/>
        <v>0</v>
      </c>
      <c r="BK179" s="316">
        <f t="shared" si="60"/>
        <v>0</v>
      </c>
      <c r="BL179" s="316">
        <f t="shared" si="60"/>
        <v>0</v>
      </c>
      <c r="BM179" s="316">
        <f t="shared" si="60"/>
        <v>0</v>
      </c>
      <c r="BN179" s="316">
        <f t="shared" si="60"/>
        <v>0</v>
      </c>
      <c r="BO179" s="316">
        <f t="shared" si="60"/>
        <v>0</v>
      </c>
      <c r="BP179" s="316">
        <f t="shared" si="60"/>
        <v>0</v>
      </c>
      <c r="BQ179" s="316">
        <f t="shared" si="60"/>
        <v>0</v>
      </c>
      <c r="BR179" s="316">
        <f t="shared" si="60"/>
        <v>0</v>
      </c>
      <c r="BS179" s="316">
        <f t="shared" si="60"/>
        <v>0</v>
      </c>
      <c r="BT179" s="316">
        <f t="shared" si="60"/>
        <v>0</v>
      </c>
      <c r="BU179" s="316">
        <f t="shared" si="60"/>
        <v>0</v>
      </c>
      <c r="BV179" s="316">
        <f t="shared" si="60"/>
        <v>0</v>
      </c>
      <c r="BW179" s="316">
        <f t="shared" si="60"/>
        <v>0</v>
      </c>
      <c r="BX179" s="316">
        <f t="shared" si="60"/>
        <v>0</v>
      </c>
    </row>
    <row r="180" spans="3:76">
      <c r="C180" s="314" t="s">
        <v>353</v>
      </c>
      <c r="D180" s="323"/>
      <c r="E180" s="315"/>
      <c r="F180" s="315"/>
      <c r="G180" s="315"/>
      <c r="H180" s="315"/>
      <c r="I180" s="315"/>
      <c r="J180" s="315"/>
      <c r="K180" s="315"/>
      <c r="L180" s="315"/>
      <c r="M180" s="315"/>
      <c r="N180" s="315"/>
      <c r="O180" s="315"/>
      <c r="P180" s="315"/>
      <c r="Q180" s="315"/>
      <c r="R180" s="315"/>
      <c r="S180" s="315"/>
      <c r="T180" s="315"/>
      <c r="U180" s="315"/>
      <c r="V180" s="315"/>
      <c r="W180" s="315"/>
      <c r="X180" s="315"/>
      <c r="Y180" s="315"/>
      <c r="Z180" s="315"/>
      <c r="AA180" s="315"/>
      <c r="AB180" s="315"/>
      <c r="AC180" s="315"/>
      <c r="AD180" s="315"/>
      <c r="AE180" s="315"/>
      <c r="AF180" s="315"/>
      <c r="AG180" s="315"/>
      <c r="AH180" s="315"/>
      <c r="AI180" s="315"/>
      <c r="AJ180" s="315"/>
      <c r="AK180" s="315"/>
      <c r="AL180" s="315"/>
      <c r="AM180" s="315"/>
      <c r="AN180" s="315"/>
      <c r="AO180" s="315"/>
      <c r="AP180" s="315"/>
      <c r="AQ180" s="315"/>
      <c r="AR180" s="315"/>
      <c r="AS180" s="315"/>
      <c r="AT180" s="315"/>
      <c r="AU180" s="315"/>
      <c r="AV180" s="315"/>
      <c r="AW180" s="315"/>
      <c r="AX180" s="315"/>
      <c r="AY180" s="315"/>
      <c r="AZ180" s="315"/>
      <c r="BA180" s="315"/>
      <c r="BB180" s="315"/>
      <c r="BC180" s="316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</row>
    <row r="181" spans="3:76">
      <c r="C181" s="314" t="s">
        <v>343</v>
      </c>
      <c r="D181" s="323"/>
      <c r="E181" s="315">
        <f t="shared" ref="E181:G181" si="61">-E59</f>
        <v>0</v>
      </c>
      <c r="F181" s="315">
        <f t="shared" si="61"/>
        <v>0</v>
      </c>
      <c r="G181" s="315">
        <f t="shared" si="61"/>
        <v>0</v>
      </c>
      <c r="H181" s="315">
        <f t="shared" ref="H181:T181" si="62">-H74</f>
        <v>0</v>
      </c>
      <c r="I181" s="315">
        <f t="shared" si="62"/>
        <v>0</v>
      </c>
      <c r="J181" s="315">
        <f t="shared" si="62"/>
        <v>0</v>
      </c>
      <c r="K181" s="315">
        <f t="shared" si="62"/>
        <v>0</v>
      </c>
      <c r="L181" s="315">
        <f t="shared" si="62"/>
        <v>0</v>
      </c>
      <c r="M181" s="315">
        <f t="shared" si="62"/>
        <v>0</v>
      </c>
      <c r="N181" s="315">
        <f t="shared" si="62"/>
        <v>0</v>
      </c>
      <c r="O181" s="315">
        <f t="shared" si="62"/>
        <v>0</v>
      </c>
      <c r="P181" s="315">
        <f t="shared" si="62"/>
        <v>0</v>
      </c>
      <c r="Q181" s="315">
        <f t="shared" si="62"/>
        <v>0</v>
      </c>
      <c r="R181" s="315">
        <f t="shared" si="62"/>
        <v>0</v>
      </c>
      <c r="S181" s="315">
        <f t="shared" si="62"/>
        <v>0</v>
      </c>
      <c r="T181" s="315">
        <f t="shared" si="62"/>
        <v>0</v>
      </c>
      <c r="U181" s="315">
        <f t="shared" ref="U181:BX181" si="63">-U59</f>
        <v>0</v>
      </c>
      <c r="V181" s="315">
        <f t="shared" si="63"/>
        <v>0</v>
      </c>
      <c r="W181" s="315">
        <f t="shared" si="63"/>
        <v>0</v>
      </c>
      <c r="X181" s="315">
        <f t="shared" si="63"/>
        <v>0</v>
      </c>
      <c r="Y181" s="315">
        <f t="shared" si="63"/>
        <v>0</v>
      </c>
      <c r="Z181" s="315">
        <f t="shared" si="63"/>
        <v>0</v>
      </c>
      <c r="AA181" s="315">
        <f t="shared" si="63"/>
        <v>0</v>
      </c>
      <c r="AB181" s="315">
        <f t="shared" si="63"/>
        <v>0</v>
      </c>
      <c r="AC181" s="315">
        <f t="shared" si="63"/>
        <v>0</v>
      </c>
      <c r="AD181" s="315">
        <f t="shared" si="63"/>
        <v>0</v>
      </c>
      <c r="AE181" s="315">
        <f t="shared" si="63"/>
        <v>0</v>
      </c>
      <c r="AF181" s="315">
        <f t="shared" si="63"/>
        <v>0</v>
      </c>
      <c r="AG181" s="315">
        <f t="shared" si="63"/>
        <v>0</v>
      </c>
      <c r="AH181" s="315">
        <f t="shared" si="63"/>
        <v>0</v>
      </c>
      <c r="AI181" s="315">
        <f t="shared" si="63"/>
        <v>0</v>
      </c>
      <c r="AJ181" s="315">
        <f t="shared" si="63"/>
        <v>0</v>
      </c>
      <c r="AK181" s="315">
        <f t="shared" si="63"/>
        <v>0</v>
      </c>
      <c r="AL181" s="315">
        <f t="shared" si="63"/>
        <v>0</v>
      </c>
      <c r="AM181" s="315">
        <f t="shared" si="63"/>
        <v>0</v>
      </c>
      <c r="AN181" s="315">
        <f t="shared" si="63"/>
        <v>0</v>
      </c>
      <c r="AO181" s="315">
        <f t="shared" si="63"/>
        <v>0</v>
      </c>
      <c r="AP181" s="315">
        <f t="shared" si="63"/>
        <v>0</v>
      </c>
      <c r="AQ181" s="315">
        <f t="shared" si="63"/>
        <v>0</v>
      </c>
      <c r="AR181" s="315">
        <f t="shared" si="63"/>
        <v>0</v>
      </c>
      <c r="AS181" s="315">
        <f t="shared" si="63"/>
        <v>0</v>
      </c>
      <c r="AT181" s="315">
        <f t="shared" si="63"/>
        <v>0</v>
      </c>
      <c r="AU181" s="315">
        <f t="shared" si="63"/>
        <v>0</v>
      </c>
      <c r="AV181" s="315">
        <f t="shared" si="63"/>
        <v>0</v>
      </c>
      <c r="AW181" s="315">
        <f t="shared" si="63"/>
        <v>0</v>
      </c>
      <c r="AX181" s="315">
        <f t="shared" si="63"/>
        <v>0</v>
      </c>
      <c r="AY181" s="315">
        <f t="shared" si="63"/>
        <v>0</v>
      </c>
      <c r="AZ181" s="315">
        <f t="shared" si="63"/>
        <v>0</v>
      </c>
      <c r="BA181" s="315">
        <f t="shared" si="63"/>
        <v>0</v>
      </c>
      <c r="BB181" s="315">
        <f t="shared" si="63"/>
        <v>0</v>
      </c>
      <c r="BC181" s="315">
        <f t="shared" si="63"/>
        <v>0</v>
      </c>
      <c r="BD181" s="315">
        <f t="shared" si="63"/>
        <v>0</v>
      </c>
      <c r="BE181" s="315">
        <f t="shared" si="63"/>
        <v>0</v>
      </c>
      <c r="BF181" s="315">
        <f t="shared" si="63"/>
        <v>0</v>
      </c>
      <c r="BG181" s="315">
        <f t="shared" si="63"/>
        <v>0</v>
      </c>
      <c r="BH181" s="315">
        <f t="shared" si="63"/>
        <v>0</v>
      </c>
      <c r="BI181" s="315">
        <f t="shared" si="63"/>
        <v>0</v>
      </c>
      <c r="BJ181" s="315">
        <f t="shared" si="63"/>
        <v>0</v>
      </c>
      <c r="BK181" s="315">
        <f t="shared" si="63"/>
        <v>0</v>
      </c>
      <c r="BL181" s="315">
        <f t="shared" si="63"/>
        <v>0</v>
      </c>
      <c r="BM181" s="315">
        <f t="shared" si="63"/>
        <v>0</v>
      </c>
      <c r="BN181" s="315">
        <f t="shared" si="63"/>
        <v>0</v>
      </c>
      <c r="BO181" s="315">
        <f t="shared" si="63"/>
        <v>0</v>
      </c>
      <c r="BP181" s="315">
        <f t="shared" si="63"/>
        <v>0</v>
      </c>
      <c r="BQ181" s="315">
        <f t="shared" si="63"/>
        <v>0</v>
      </c>
      <c r="BR181" s="315">
        <f t="shared" si="63"/>
        <v>0</v>
      </c>
      <c r="BS181" s="315">
        <f t="shared" si="63"/>
        <v>0</v>
      </c>
      <c r="BT181" s="315">
        <f t="shared" si="63"/>
        <v>0</v>
      </c>
      <c r="BU181" s="315">
        <f t="shared" si="63"/>
        <v>0</v>
      </c>
      <c r="BV181" s="315">
        <f t="shared" si="63"/>
        <v>0</v>
      </c>
      <c r="BW181" s="315">
        <f t="shared" si="63"/>
        <v>0</v>
      </c>
      <c r="BX181" s="315">
        <f t="shared" si="63"/>
        <v>0</v>
      </c>
    </row>
    <row r="182" spans="3:76">
      <c r="C182" s="314" t="s">
        <v>344</v>
      </c>
      <c r="D182" s="323"/>
      <c r="E182" s="315"/>
      <c r="F182" s="315"/>
      <c r="G182" s="315"/>
      <c r="H182" s="315"/>
      <c r="I182" s="315"/>
      <c r="J182" s="315"/>
      <c r="K182" s="315"/>
      <c r="L182" s="315"/>
      <c r="M182" s="315"/>
      <c r="N182" s="315"/>
      <c r="O182" s="315"/>
      <c r="P182" s="315"/>
      <c r="Q182" s="315"/>
      <c r="R182" s="315"/>
      <c r="S182" s="315"/>
      <c r="T182" s="315">
        <v>2750000</v>
      </c>
      <c r="U182" s="315"/>
      <c r="V182" s="315"/>
      <c r="W182" s="315"/>
      <c r="X182" s="315"/>
      <c r="Y182" s="315"/>
      <c r="Z182" s="315"/>
      <c r="AA182" s="315"/>
      <c r="AB182" s="315"/>
      <c r="AC182" s="315"/>
      <c r="AD182" s="315"/>
      <c r="AE182" s="315"/>
      <c r="AF182" s="315"/>
      <c r="AG182" s="315"/>
      <c r="AH182" s="315"/>
      <c r="AI182" s="315"/>
      <c r="AJ182" s="315"/>
      <c r="AK182" s="315"/>
      <c r="AL182" s="315"/>
      <c r="AM182" s="315"/>
      <c r="AN182" s="315"/>
      <c r="AO182" s="315"/>
      <c r="AP182" s="315"/>
      <c r="AQ182" s="315"/>
      <c r="AR182" s="315"/>
      <c r="AS182" s="315"/>
      <c r="AT182" s="315"/>
      <c r="AU182" s="315"/>
      <c r="AV182" s="315"/>
      <c r="AW182" s="315"/>
      <c r="AX182" s="315"/>
      <c r="AY182" s="315"/>
      <c r="AZ182" s="315"/>
      <c r="BA182" s="315"/>
      <c r="BB182" s="315"/>
      <c r="BC182" s="316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>
        <f>IF(D106&gt;0.25,(BX101-BX109)*D183,BX101*D183)</f>
        <v>0</v>
      </c>
    </row>
    <row r="183" spans="3:76">
      <c r="C183" s="317" t="s">
        <v>345</v>
      </c>
      <c r="D183" s="323">
        <v>0</v>
      </c>
      <c r="E183" s="315"/>
      <c r="F183" s="315"/>
      <c r="G183" s="315"/>
      <c r="H183" s="246"/>
      <c r="I183" s="246"/>
      <c r="J183" s="246"/>
      <c r="K183" s="246"/>
      <c r="L183" s="246"/>
      <c r="M183" s="246"/>
      <c r="N183" s="246"/>
      <c r="O183" s="246"/>
      <c r="P183" s="246"/>
      <c r="Q183" s="246"/>
      <c r="R183" s="246"/>
      <c r="S183" s="246"/>
      <c r="T183" s="246"/>
      <c r="U183" s="315"/>
      <c r="V183" s="315"/>
      <c r="W183" s="315"/>
      <c r="X183" s="315"/>
      <c r="Y183" s="315"/>
      <c r="Z183" s="315"/>
      <c r="AA183" s="315"/>
      <c r="AB183" s="315"/>
      <c r="AC183" s="315"/>
      <c r="AD183" s="315"/>
      <c r="AE183" s="315"/>
      <c r="AF183" s="315"/>
      <c r="AG183" s="315"/>
      <c r="AH183" s="315"/>
      <c r="AI183" s="315"/>
      <c r="AJ183" s="315"/>
      <c r="AK183" s="315"/>
      <c r="AL183" s="315"/>
      <c r="AM183" s="315"/>
      <c r="AN183" s="315"/>
      <c r="AO183" s="315"/>
      <c r="AP183" s="315"/>
      <c r="AQ183" s="315"/>
      <c r="AR183" s="315"/>
      <c r="AS183" s="315"/>
      <c r="AT183" s="315"/>
      <c r="AU183" s="315"/>
      <c r="AV183" s="315"/>
      <c r="AW183" s="315"/>
      <c r="AX183" s="315"/>
      <c r="AY183" s="315"/>
      <c r="AZ183" s="315"/>
      <c r="BA183" s="315"/>
      <c r="BB183" s="315"/>
      <c r="BC183" s="316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</row>
    <row r="184" spans="3:76">
      <c r="C184" s="314" t="s">
        <v>346</v>
      </c>
      <c r="D184" s="315"/>
      <c r="E184" s="325">
        <f t="shared" ref="E184:BX184" si="64">E179+E180+E181+E182+E183</f>
        <v>0</v>
      </c>
      <c r="F184" s="325">
        <f t="shared" si="64"/>
        <v>0</v>
      </c>
      <c r="G184" s="325">
        <f t="shared" si="64"/>
        <v>0</v>
      </c>
      <c r="H184" s="325">
        <f t="shared" si="64"/>
        <v>-5341205.5</v>
      </c>
      <c r="I184" s="325">
        <f t="shared" si="64"/>
        <v>0</v>
      </c>
      <c r="J184" s="325">
        <f t="shared" si="64"/>
        <v>0</v>
      </c>
      <c r="K184" s="325">
        <f t="shared" si="64"/>
        <v>0</v>
      </c>
      <c r="L184" s="325">
        <f t="shared" si="64"/>
        <v>0</v>
      </c>
      <c r="M184" s="325">
        <f t="shared" si="64"/>
        <v>0</v>
      </c>
      <c r="N184" s="325">
        <f t="shared" si="64"/>
        <v>0</v>
      </c>
      <c r="O184" s="325">
        <f t="shared" si="64"/>
        <v>0</v>
      </c>
      <c r="P184" s="325">
        <f t="shared" si="64"/>
        <v>0</v>
      </c>
      <c r="Q184" s="325">
        <f t="shared" si="64"/>
        <v>0</v>
      </c>
      <c r="R184" s="325">
        <f t="shared" si="64"/>
        <v>0</v>
      </c>
      <c r="S184" s="325">
        <f t="shared" si="64"/>
        <v>0</v>
      </c>
      <c r="T184" s="325">
        <f t="shared" si="64"/>
        <v>8091205.5</v>
      </c>
      <c r="U184" s="325">
        <f t="shared" si="64"/>
        <v>0</v>
      </c>
      <c r="V184" s="325">
        <f t="shared" si="64"/>
        <v>0</v>
      </c>
      <c r="W184" s="325">
        <f t="shared" si="64"/>
        <v>0</v>
      </c>
      <c r="X184" s="325">
        <f t="shared" si="64"/>
        <v>0</v>
      </c>
      <c r="Y184" s="325">
        <f t="shared" si="64"/>
        <v>0</v>
      </c>
      <c r="Z184" s="325">
        <f t="shared" si="64"/>
        <v>0</v>
      </c>
      <c r="AA184" s="325">
        <f t="shared" si="64"/>
        <v>0</v>
      </c>
      <c r="AB184" s="325">
        <f t="shared" si="64"/>
        <v>0</v>
      </c>
      <c r="AC184" s="325">
        <f t="shared" si="64"/>
        <v>0</v>
      </c>
      <c r="AD184" s="325">
        <f t="shared" si="64"/>
        <v>0</v>
      </c>
      <c r="AE184" s="325">
        <f t="shared" si="64"/>
        <v>0</v>
      </c>
      <c r="AF184" s="325">
        <f t="shared" si="64"/>
        <v>0</v>
      </c>
      <c r="AG184" s="325">
        <f t="shared" si="64"/>
        <v>0</v>
      </c>
      <c r="AH184" s="325">
        <f t="shared" si="64"/>
        <v>0</v>
      </c>
      <c r="AI184" s="325">
        <f t="shared" si="64"/>
        <v>0</v>
      </c>
      <c r="AJ184" s="325">
        <f t="shared" si="64"/>
        <v>0</v>
      </c>
      <c r="AK184" s="325">
        <f t="shared" si="64"/>
        <v>0</v>
      </c>
      <c r="AL184" s="325">
        <f t="shared" si="64"/>
        <v>0</v>
      </c>
      <c r="AM184" s="325">
        <f t="shared" si="64"/>
        <v>0</v>
      </c>
      <c r="AN184" s="325">
        <f t="shared" si="64"/>
        <v>0</v>
      </c>
      <c r="AO184" s="325">
        <f t="shared" si="64"/>
        <v>0</v>
      </c>
      <c r="AP184" s="325">
        <f t="shared" si="64"/>
        <v>0</v>
      </c>
      <c r="AQ184" s="325">
        <f t="shared" si="64"/>
        <v>0</v>
      </c>
      <c r="AR184" s="325">
        <f t="shared" si="64"/>
        <v>0</v>
      </c>
      <c r="AS184" s="325">
        <f t="shared" si="64"/>
        <v>0</v>
      </c>
      <c r="AT184" s="325">
        <f t="shared" si="64"/>
        <v>0</v>
      </c>
      <c r="AU184" s="325">
        <f t="shared" si="64"/>
        <v>0</v>
      </c>
      <c r="AV184" s="325">
        <f t="shared" si="64"/>
        <v>0</v>
      </c>
      <c r="AW184" s="325">
        <f t="shared" si="64"/>
        <v>0</v>
      </c>
      <c r="AX184" s="325">
        <f t="shared" si="64"/>
        <v>0</v>
      </c>
      <c r="AY184" s="325">
        <f t="shared" si="64"/>
        <v>0</v>
      </c>
      <c r="AZ184" s="325">
        <f t="shared" si="64"/>
        <v>0</v>
      </c>
      <c r="BA184" s="325">
        <f t="shared" si="64"/>
        <v>0</v>
      </c>
      <c r="BB184" s="325">
        <f t="shared" si="64"/>
        <v>0</v>
      </c>
      <c r="BC184" s="325">
        <f t="shared" si="64"/>
        <v>0</v>
      </c>
      <c r="BD184" s="325">
        <f t="shared" si="64"/>
        <v>0</v>
      </c>
      <c r="BE184" s="325">
        <f t="shared" si="64"/>
        <v>0</v>
      </c>
      <c r="BF184" s="325">
        <f t="shared" si="64"/>
        <v>0</v>
      </c>
      <c r="BG184" s="325">
        <f t="shared" si="64"/>
        <v>0</v>
      </c>
      <c r="BH184" s="325">
        <f t="shared" si="64"/>
        <v>0</v>
      </c>
      <c r="BI184" s="325">
        <f t="shared" si="64"/>
        <v>0</v>
      </c>
      <c r="BJ184" s="325">
        <f t="shared" si="64"/>
        <v>0</v>
      </c>
      <c r="BK184" s="325">
        <f t="shared" si="64"/>
        <v>0</v>
      </c>
      <c r="BL184" s="325">
        <f t="shared" si="64"/>
        <v>0</v>
      </c>
      <c r="BM184" s="325">
        <f t="shared" si="64"/>
        <v>0</v>
      </c>
      <c r="BN184" s="325">
        <f t="shared" si="64"/>
        <v>0</v>
      </c>
      <c r="BO184" s="325">
        <f t="shared" si="64"/>
        <v>0</v>
      </c>
      <c r="BP184" s="325">
        <f t="shared" si="64"/>
        <v>0</v>
      </c>
      <c r="BQ184" s="325">
        <f t="shared" si="64"/>
        <v>0</v>
      </c>
      <c r="BR184" s="325">
        <f t="shared" si="64"/>
        <v>0</v>
      </c>
      <c r="BS184" s="325">
        <f t="shared" si="64"/>
        <v>0</v>
      </c>
      <c r="BT184" s="325">
        <f t="shared" si="64"/>
        <v>0</v>
      </c>
      <c r="BU184" s="325">
        <f t="shared" si="64"/>
        <v>0</v>
      </c>
      <c r="BV184" s="325">
        <f t="shared" si="64"/>
        <v>0</v>
      </c>
      <c r="BW184" s="325">
        <f t="shared" si="64"/>
        <v>0</v>
      </c>
      <c r="BX184" s="325">
        <f t="shared" si="64"/>
        <v>0</v>
      </c>
    </row>
    <row r="185" spans="3:76">
      <c r="C185" s="318"/>
      <c r="D185" s="326" t="s">
        <v>354</v>
      </c>
      <c r="E185" s="330">
        <f>E184</f>
        <v>0</v>
      </c>
      <c r="F185" s="330">
        <f t="shared" ref="F185:BX185" si="65">E185+F184</f>
        <v>0</v>
      </c>
      <c r="G185" s="330">
        <f t="shared" si="65"/>
        <v>0</v>
      </c>
      <c r="H185" s="330">
        <f t="shared" si="65"/>
        <v>-5341205.5</v>
      </c>
      <c r="I185" s="330">
        <f t="shared" si="65"/>
        <v>-5341205.5</v>
      </c>
      <c r="J185" s="330">
        <f t="shared" si="65"/>
        <v>-5341205.5</v>
      </c>
      <c r="K185" s="330">
        <f t="shared" si="65"/>
        <v>-5341205.5</v>
      </c>
      <c r="L185" s="330">
        <f t="shared" si="65"/>
        <v>-5341205.5</v>
      </c>
      <c r="M185" s="330">
        <f t="shared" si="65"/>
        <v>-5341205.5</v>
      </c>
      <c r="N185" s="330">
        <f t="shared" si="65"/>
        <v>-5341205.5</v>
      </c>
      <c r="O185" s="330">
        <f t="shared" si="65"/>
        <v>-5341205.5</v>
      </c>
      <c r="P185" s="330">
        <f t="shared" si="65"/>
        <v>-5341205.5</v>
      </c>
      <c r="Q185" s="330">
        <f t="shared" si="65"/>
        <v>-5341205.5</v>
      </c>
      <c r="R185" s="330">
        <f t="shared" si="65"/>
        <v>-5341205.5</v>
      </c>
      <c r="S185" s="330">
        <f t="shared" si="65"/>
        <v>-5341205.5</v>
      </c>
      <c r="T185" s="330">
        <f t="shared" si="65"/>
        <v>2750000</v>
      </c>
      <c r="U185" s="330">
        <f t="shared" si="65"/>
        <v>2750000</v>
      </c>
      <c r="V185" s="331">
        <f t="shared" si="65"/>
        <v>2750000</v>
      </c>
      <c r="W185" s="331">
        <f t="shared" si="65"/>
        <v>2750000</v>
      </c>
      <c r="X185" s="331">
        <f t="shared" si="65"/>
        <v>2750000</v>
      </c>
      <c r="Y185" s="331">
        <f t="shared" si="65"/>
        <v>2750000</v>
      </c>
      <c r="Z185" s="331">
        <f t="shared" si="65"/>
        <v>2750000</v>
      </c>
      <c r="AA185" s="331">
        <f t="shared" si="65"/>
        <v>2750000</v>
      </c>
      <c r="AB185" s="331">
        <f t="shared" si="65"/>
        <v>2750000</v>
      </c>
      <c r="AC185" s="331">
        <f t="shared" si="65"/>
        <v>2750000</v>
      </c>
      <c r="AD185" s="331">
        <f t="shared" si="65"/>
        <v>2750000</v>
      </c>
      <c r="AE185" s="331">
        <f t="shared" si="65"/>
        <v>2750000</v>
      </c>
      <c r="AF185" s="331">
        <f t="shared" si="65"/>
        <v>2750000</v>
      </c>
      <c r="AG185" s="331">
        <f t="shared" si="65"/>
        <v>2750000</v>
      </c>
      <c r="AH185" s="331">
        <f t="shared" si="65"/>
        <v>2750000</v>
      </c>
      <c r="AI185" s="331">
        <f t="shared" si="65"/>
        <v>2750000</v>
      </c>
      <c r="AJ185" s="331">
        <f t="shared" si="65"/>
        <v>2750000</v>
      </c>
      <c r="AK185" s="331">
        <f t="shared" si="65"/>
        <v>2750000</v>
      </c>
      <c r="AL185" s="331">
        <f t="shared" si="65"/>
        <v>2750000</v>
      </c>
      <c r="AM185" s="331">
        <f t="shared" si="65"/>
        <v>2750000</v>
      </c>
      <c r="AN185" s="331">
        <f t="shared" si="65"/>
        <v>2750000</v>
      </c>
      <c r="AO185" s="331">
        <f t="shared" si="65"/>
        <v>2750000</v>
      </c>
      <c r="AP185" s="331">
        <f t="shared" si="65"/>
        <v>2750000</v>
      </c>
      <c r="AQ185" s="331">
        <f t="shared" si="65"/>
        <v>2750000</v>
      </c>
      <c r="AR185" s="331">
        <f t="shared" si="65"/>
        <v>2750000</v>
      </c>
      <c r="AS185" s="331">
        <f t="shared" si="65"/>
        <v>2750000</v>
      </c>
      <c r="AT185" s="331">
        <f t="shared" si="65"/>
        <v>2750000</v>
      </c>
      <c r="AU185" s="331">
        <f t="shared" si="65"/>
        <v>2750000</v>
      </c>
      <c r="AV185" s="331">
        <f t="shared" si="65"/>
        <v>2750000</v>
      </c>
      <c r="AW185" s="331">
        <f t="shared" si="65"/>
        <v>2750000</v>
      </c>
      <c r="AX185" s="331">
        <f t="shared" si="65"/>
        <v>2750000</v>
      </c>
      <c r="AY185" s="331">
        <f t="shared" si="65"/>
        <v>2750000</v>
      </c>
      <c r="AZ185" s="331">
        <f t="shared" si="65"/>
        <v>2750000</v>
      </c>
      <c r="BA185" s="331">
        <f t="shared" si="65"/>
        <v>2750000</v>
      </c>
      <c r="BB185" s="331">
        <f t="shared" si="65"/>
        <v>2750000</v>
      </c>
      <c r="BC185" s="330">
        <f t="shared" si="65"/>
        <v>2750000</v>
      </c>
      <c r="BD185" s="330">
        <f t="shared" si="65"/>
        <v>2750000</v>
      </c>
      <c r="BE185" s="330">
        <f t="shared" si="65"/>
        <v>2750000</v>
      </c>
      <c r="BF185" s="330">
        <f t="shared" si="65"/>
        <v>2750000</v>
      </c>
      <c r="BG185" s="330">
        <f t="shared" si="65"/>
        <v>2750000</v>
      </c>
      <c r="BH185" s="330">
        <f t="shared" si="65"/>
        <v>2750000</v>
      </c>
      <c r="BI185" s="330">
        <f t="shared" si="65"/>
        <v>2750000</v>
      </c>
      <c r="BJ185" s="330">
        <f t="shared" si="65"/>
        <v>2750000</v>
      </c>
      <c r="BK185" s="330">
        <f t="shared" si="65"/>
        <v>2750000</v>
      </c>
      <c r="BL185" s="330">
        <f t="shared" si="65"/>
        <v>2750000</v>
      </c>
      <c r="BM185" s="330">
        <f t="shared" si="65"/>
        <v>2750000</v>
      </c>
      <c r="BN185" s="330">
        <f t="shared" si="65"/>
        <v>2750000</v>
      </c>
      <c r="BO185" s="330">
        <f t="shared" si="65"/>
        <v>2750000</v>
      </c>
      <c r="BP185" s="330">
        <f t="shared" si="65"/>
        <v>2750000</v>
      </c>
      <c r="BQ185" s="330">
        <f t="shared" si="65"/>
        <v>2750000</v>
      </c>
      <c r="BR185" s="330">
        <f t="shared" si="65"/>
        <v>2750000</v>
      </c>
      <c r="BS185" s="330">
        <f t="shared" si="65"/>
        <v>2750000</v>
      </c>
      <c r="BT185" s="330">
        <f t="shared" si="65"/>
        <v>2750000</v>
      </c>
      <c r="BU185" s="330">
        <f t="shared" si="65"/>
        <v>2750000</v>
      </c>
      <c r="BV185" s="330">
        <f t="shared" si="65"/>
        <v>2750000</v>
      </c>
      <c r="BW185" s="330">
        <f t="shared" si="65"/>
        <v>2750000</v>
      </c>
      <c r="BX185" s="330">
        <f t="shared" si="65"/>
        <v>2750000</v>
      </c>
    </row>
    <row r="186" spans="3:76">
      <c r="C186" s="317" t="s">
        <v>339</v>
      </c>
      <c r="D186" s="326">
        <f>IRR(E184:BX184)*12</f>
        <v>0.42259732866030397</v>
      </c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  <c r="AE186" s="226"/>
      <c r="AF186" s="226"/>
      <c r="AG186" s="226"/>
      <c r="AH186" s="226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AY186" s="226"/>
      <c r="AZ186" s="226"/>
      <c r="BA186" s="226"/>
      <c r="BB186" s="226"/>
      <c r="BC186" s="226"/>
      <c r="BD186" s="226"/>
      <c r="BE186" s="226"/>
      <c r="BF186" s="226"/>
      <c r="BG186" s="226"/>
      <c r="BH186" s="226"/>
      <c r="BI186" s="226"/>
      <c r="BJ186" s="226"/>
      <c r="BK186" s="226"/>
      <c r="BL186" s="226"/>
      <c r="BM186" s="226"/>
      <c r="BN186" s="226"/>
      <c r="BO186" s="226"/>
      <c r="BP186" s="226"/>
      <c r="BQ186" s="226"/>
      <c r="BR186" s="226"/>
      <c r="BS186" s="226"/>
      <c r="BT186" s="226"/>
      <c r="BU186" s="226"/>
      <c r="BV186" s="226"/>
      <c r="BW186" s="226"/>
      <c r="BX186" s="226"/>
    </row>
    <row r="187" spans="3:76">
      <c r="C187" s="327" t="s">
        <v>347</v>
      </c>
      <c r="D187" s="328">
        <f>-MIN(M185:BL185)-D188</f>
        <v>5341205.5</v>
      </c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  <c r="AD187" s="226"/>
      <c r="AE187" s="226"/>
      <c r="AF187" s="226"/>
      <c r="AG187" s="226"/>
      <c r="AH187" s="226"/>
      <c r="AI187" s="226"/>
      <c r="AJ187" s="226"/>
      <c r="AK187" s="226"/>
      <c r="AL187" s="226"/>
      <c r="AM187" s="226"/>
      <c r="AN187" s="226"/>
      <c r="AO187" s="226"/>
      <c r="AP187" s="226"/>
      <c r="AQ187" s="226"/>
      <c r="AR187" s="226"/>
      <c r="AS187" s="226"/>
      <c r="AT187" s="226"/>
      <c r="AU187" s="226"/>
      <c r="AV187" s="226"/>
      <c r="AW187" s="226"/>
      <c r="AX187" s="226"/>
      <c r="AY187" s="226"/>
      <c r="AZ187" s="226"/>
      <c r="BA187" s="226"/>
      <c r="BB187" s="226"/>
      <c r="BC187" s="226"/>
      <c r="BD187" s="226"/>
      <c r="BE187" s="226"/>
      <c r="BF187" s="226"/>
      <c r="BG187" s="226"/>
      <c r="BH187" s="226"/>
      <c r="BI187" s="226"/>
      <c r="BJ187" s="226"/>
      <c r="BK187" s="226"/>
      <c r="BL187" s="226"/>
      <c r="BM187" s="226"/>
      <c r="BN187" s="226"/>
      <c r="BO187" s="226"/>
      <c r="BP187" s="226"/>
      <c r="BQ187" s="226"/>
      <c r="BR187" s="226"/>
      <c r="BS187" s="226"/>
      <c r="BT187" s="226"/>
      <c r="BU187" s="226"/>
      <c r="BV187" s="226"/>
      <c r="BW187" s="226"/>
      <c r="BX187" s="226"/>
    </row>
    <row r="188" spans="3:76">
      <c r="C188" s="327" t="s">
        <v>348</v>
      </c>
      <c r="D188" s="328">
        <f>-SUM(M183:BB183)</f>
        <v>0</v>
      </c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  <c r="AD188" s="226"/>
      <c r="AE188" s="226"/>
      <c r="AF188" s="226"/>
      <c r="AG188" s="226"/>
      <c r="AH188" s="226"/>
      <c r="AI188" s="226"/>
      <c r="AJ188" s="226"/>
      <c r="AK188" s="226"/>
      <c r="AL188" s="226"/>
      <c r="AM188" s="226"/>
      <c r="AN188" s="226"/>
      <c r="AO188" s="226"/>
      <c r="AP188" s="226"/>
      <c r="AQ188" s="226"/>
      <c r="AR188" s="226"/>
      <c r="AS188" s="226"/>
      <c r="AT188" s="226"/>
      <c r="AU188" s="226"/>
      <c r="AV188" s="226"/>
      <c r="AW188" s="226"/>
      <c r="AX188" s="226"/>
      <c r="AY188" s="226"/>
      <c r="AZ188" s="226"/>
      <c r="BA188" s="226"/>
      <c r="BB188" s="226"/>
      <c r="BC188" s="226"/>
      <c r="BD188" s="226"/>
      <c r="BE188" s="226"/>
      <c r="BF188" s="226"/>
      <c r="BG188" s="226"/>
      <c r="BH188" s="226"/>
      <c r="BI188" s="226"/>
      <c r="BJ188" s="226"/>
      <c r="BK188" s="226"/>
      <c r="BL188" s="226"/>
      <c r="BM188" s="226"/>
      <c r="BN188" s="226"/>
      <c r="BO188" s="226"/>
      <c r="BP188" s="226"/>
      <c r="BQ188" s="226"/>
      <c r="BR188" s="226"/>
      <c r="BS188" s="226"/>
      <c r="BT188" s="226"/>
      <c r="BU188" s="226"/>
      <c r="BV188" s="226"/>
      <c r="BW188" s="226"/>
      <c r="BX188" s="226"/>
    </row>
    <row r="189" spans="3:76">
      <c r="C189" s="317" t="s">
        <v>349</v>
      </c>
      <c r="D189" s="329">
        <f>D188+D187</f>
        <v>5341205.5</v>
      </c>
      <c r="E189" s="226"/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6"/>
      <c r="AA189" s="226"/>
      <c r="AB189" s="226"/>
      <c r="AC189" s="226"/>
      <c r="AD189" s="226"/>
      <c r="AE189" s="226"/>
      <c r="AF189" s="226"/>
      <c r="AG189" s="226"/>
      <c r="AH189" s="226"/>
      <c r="AI189" s="226"/>
      <c r="AJ189" s="226"/>
      <c r="AK189" s="226"/>
      <c r="AL189" s="226"/>
      <c r="AM189" s="226"/>
      <c r="AN189" s="226"/>
      <c r="AO189" s="226"/>
      <c r="AP189" s="226"/>
      <c r="AQ189" s="226"/>
      <c r="AR189" s="226"/>
      <c r="AS189" s="226"/>
      <c r="AT189" s="226"/>
      <c r="AU189" s="226"/>
      <c r="AV189" s="226"/>
      <c r="AW189" s="226"/>
      <c r="AX189" s="226"/>
      <c r="AY189" s="226"/>
      <c r="AZ189" s="226"/>
      <c r="BA189" s="226"/>
      <c r="BB189" s="226"/>
      <c r="BC189" s="226"/>
      <c r="BD189" s="226"/>
      <c r="BE189" s="226"/>
      <c r="BF189" s="226"/>
      <c r="BG189" s="226"/>
      <c r="BH189" s="226"/>
      <c r="BI189" s="226"/>
      <c r="BJ189" s="226"/>
      <c r="BK189" s="226"/>
      <c r="BL189" s="226"/>
      <c r="BM189" s="226"/>
      <c r="BN189" s="226"/>
      <c r="BO189" s="226"/>
      <c r="BP189" s="226"/>
      <c r="BQ189" s="226"/>
      <c r="BR189" s="226"/>
      <c r="BS189" s="226"/>
      <c r="BT189" s="226"/>
      <c r="BU189" s="226"/>
      <c r="BV189" s="226"/>
      <c r="BW189" s="226"/>
      <c r="BX189" s="226"/>
    </row>
    <row r="190" spans="3:76">
      <c r="C190" s="317" t="s">
        <v>350</v>
      </c>
      <c r="D190" s="329">
        <f>BX181+BX182</f>
        <v>0</v>
      </c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  <c r="AE190" s="226"/>
      <c r="AF190" s="226"/>
      <c r="AG190" s="226"/>
      <c r="AH190" s="226"/>
      <c r="AI190" s="226"/>
      <c r="AJ190" s="226"/>
      <c r="AK190" s="226"/>
      <c r="AL190" s="226"/>
      <c r="AM190" s="226"/>
      <c r="AN190" s="226"/>
      <c r="AO190" s="226"/>
      <c r="AP190" s="226"/>
      <c r="AQ190" s="226"/>
      <c r="AR190" s="226"/>
      <c r="AS190" s="226"/>
      <c r="AT190" s="226"/>
      <c r="AU190" s="226"/>
      <c r="AV190" s="226"/>
      <c r="AW190" s="226"/>
      <c r="AX190" s="226"/>
      <c r="AY190" s="226"/>
      <c r="AZ190" s="226"/>
      <c r="BA190" s="226"/>
      <c r="BB190" s="226"/>
      <c r="BC190" s="226"/>
      <c r="BD190" s="226"/>
      <c r="BE190" s="226"/>
      <c r="BF190" s="226"/>
      <c r="BG190" s="226"/>
      <c r="BH190" s="226"/>
      <c r="BI190" s="226"/>
      <c r="BJ190" s="226"/>
      <c r="BK190" s="226"/>
      <c r="BL190" s="226"/>
      <c r="BM190" s="226"/>
      <c r="BN190" s="226"/>
      <c r="BO190" s="226"/>
      <c r="BP190" s="226"/>
      <c r="BQ190" s="226"/>
      <c r="BR190" s="226"/>
      <c r="BS190" s="226"/>
      <c r="BT190" s="226"/>
      <c r="BU190" s="226"/>
      <c r="BV190" s="226"/>
      <c r="BW190" s="226"/>
      <c r="BX190" s="226"/>
    </row>
    <row r="191" spans="3:76">
      <c r="C191" s="317" t="s">
        <v>351</v>
      </c>
      <c r="D191" s="326">
        <f>T182/T179</f>
        <v>0.51486504310684167</v>
      </c>
      <c r="E191" s="226"/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6"/>
      <c r="AA191" s="226"/>
      <c r="AB191" s="226"/>
      <c r="AC191" s="226"/>
      <c r="AD191" s="226"/>
      <c r="AE191" s="226"/>
      <c r="AF191" s="226"/>
      <c r="AG191" s="226"/>
      <c r="AH191" s="226"/>
      <c r="AI191" s="226"/>
      <c r="AJ191" s="226"/>
      <c r="AK191" s="226"/>
      <c r="AL191" s="226"/>
      <c r="AM191" s="226"/>
      <c r="AN191" s="226"/>
      <c r="AO191" s="226"/>
      <c r="AP191" s="226"/>
      <c r="AQ191" s="226"/>
      <c r="AR191" s="226"/>
      <c r="AS191" s="226"/>
      <c r="AT191" s="226"/>
      <c r="AU191" s="226"/>
      <c r="AV191" s="226"/>
      <c r="AW191" s="226"/>
      <c r="AX191" s="226"/>
      <c r="AY191" s="226"/>
      <c r="AZ191" s="226"/>
      <c r="BA191" s="226"/>
      <c r="BB191" s="226"/>
      <c r="BC191" s="226"/>
      <c r="BD191" s="226"/>
      <c r="BE191" s="226"/>
      <c r="BF191" s="226"/>
      <c r="BG191" s="226"/>
      <c r="BH191" s="226"/>
      <c r="BI191" s="226"/>
      <c r="BJ191" s="226"/>
      <c r="BK191" s="226"/>
      <c r="BL191" s="226"/>
      <c r="BM191" s="226"/>
      <c r="BN191" s="226"/>
      <c r="BO191" s="226"/>
      <c r="BP191" s="226"/>
      <c r="BQ191" s="226"/>
      <c r="BR191" s="226"/>
      <c r="BS191" s="226"/>
      <c r="BT191" s="226"/>
      <c r="BU191" s="226"/>
      <c r="BV191" s="226"/>
      <c r="BW191" s="226"/>
      <c r="BX191" s="226"/>
    </row>
  </sheetData>
  <mergeCells count="34">
    <mergeCell ref="S124:T124"/>
    <mergeCell ref="B2:C4"/>
    <mergeCell ref="B5:B8"/>
    <mergeCell ref="B9:B11"/>
    <mergeCell ref="B12:B15"/>
    <mergeCell ref="B16:C16"/>
    <mergeCell ref="B17:B97"/>
    <mergeCell ref="B98:C98"/>
    <mergeCell ref="B100:C100"/>
    <mergeCell ref="B101:C101"/>
    <mergeCell ref="D106:E106"/>
    <mergeCell ref="D109:BW109"/>
    <mergeCell ref="S123:T123"/>
    <mergeCell ref="BM2:BX2"/>
    <mergeCell ref="E2:P2"/>
    <mergeCell ref="Q2:AB2"/>
    <mergeCell ref="BY90:BZ90"/>
    <mergeCell ref="BZ91:BZ97"/>
    <mergeCell ref="BY98:BZ98"/>
    <mergeCell ref="BY100:BZ100"/>
    <mergeCell ref="BZ5:BZ8"/>
    <mergeCell ref="BZ9:BZ11"/>
    <mergeCell ref="BY16:BZ16"/>
    <mergeCell ref="BZ17:BZ89"/>
    <mergeCell ref="CC17:CC89"/>
    <mergeCell ref="CC5:CC8"/>
    <mergeCell ref="CC9:CC11"/>
    <mergeCell ref="CC12:CC15"/>
    <mergeCell ref="CB16:CC16"/>
    <mergeCell ref="AC2:AN2"/>
    <mergeCell ref="AO2:AZ2"/>
    <mergeCell ref="BA2:BL2"/>
    <mergeCell ref="BY2:BZ4"/>
    <mergeCell ref="BZ12:BZ15"/>
  </mergeCells>
  <conditionalFormatting sqref="E17:BX17 E23:BX23 E26:BX26 E34:BX34 E37:BX37 E49:BX49 E55:BX55 E63:BX63 E87:BX87 E90:BX90">
    <cfRule type="cellIs" dxfId="17" priority="1" operator="equal">
      <formula>0</formula>
    </cfRule>
  </conditionalFormatting>
  <conditionalFormatting sqref="F114:BS117 E115 BT115:BX115 E117 BT117:BX117 E131 F131:BX134 E133 E149:BX149 E163 M163:BX163 F163:L166 E165 M165:BX165 M179:T179 H179:L182 E181:G181 M181:BX181">
    <cfRule type="cellIs" dxfId="16" priority="2" operator="equal">
      <formula>0</formula>
    </cfRule>
  </conditionalFormatting>
  <dataValidations count="1">
    <dataValidation type="list" allowBlank="1" showErrorMessage="1" sqref="CB4" xr:uid="{00000000-0002-0000-0E00-000000000000}">
      <formula1>$D$3:$BX$3</formula1>
    </dataValidation>
  </dataValidations>
  <pageMargins left="0" right="0" top="0" bottom="0" header="0" footer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CI200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ColWidth="12.6640625" defaultRowHeight="15" customHeight="1" outlineLevelRow="2" outlineLevelCol="2"/>
  <cols>
    <col min="1" max="1" width="2.33203125" customWidth="1"/>
    <col min="3" max="3" width="40.1640625" customWidth="1"/>
    <col min="4" max="4" width="12.6640625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1" width="9.1640625" customWidth="1" outlineLevel="2"/>
    <col min="22" max="28" width="12.6640625" customWidth="1" outlineLevel="2"/>
    <col min="29" max="29" width="9.83203125" customWidth="1" outlineLevel="1" collapsed="1"/>
    <col min="30" max="40" width="6.5" hidden="1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1:86">
      <c r="A1" s="226"/>
      <c r="B1" s="455" t="s">
        <v>246</v>
      </c>
      <c r="C1" s="456">
        <v>45625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6"/>
      <c r="CB1" s="226"/>
      <c r="CC1" s="226"/>
      <c r="CD1" s="226"/>
      <c r="CE1" s="226"/>
      <c r="CF1" s="226"/>
      <c r="CG1" s="226"/>
      <c r="CH1" s="226"/>
    </row>
    <row r="2" spans="1:86">
      <c r="A2" s="603"/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  <c r="CA2" s="226"/>
      <c r="CB2" s="226"/>
      <c r="CC2" s="226"/>
      <c r="CD2" s="226"/>
      <c r="CE2" s="226"/>
      <c r="CF2" s="226"/>
      <c r="CG2" s="226"/>
      <c r="CH2" s="226"/>
    </row>
    <row r="3" spans="1:86">
      <c r="A3" s="603"/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  <c r="CA3" s="226"/>
      <c r="CB3" s="226" t="s">
        <v>249</v>
      </c>
      <c r="CC3" s="226" t="s">
        <v>250</v>
      </c>
      <c r="CD3" s="226"/>
      <c r="CE3" s="226"/>
      <c r="CF3" s="226"/>
      <c r="CG3" s="226"/>
      <c r="CH3" s="226"/>
    </row>
    <row r="4" spans="1:86">
      <c r="A4" s="603"/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457">
        <v>45597</v>
      </c>
      <c r="P4" s="231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  <c r="CA4" s="226"/>
      <c r="CB4" s="226" t="s">
        <v>116</v>
      </c>
      <c r="CC4" s="226"/>
      <c r="CD4" s="226"/>
      <c r="CE4" s="226"/>
      <c r="CF4" s="226"/>
      <c r="CG4" s="226"/>
      <c r="CH4" s="226"/>
    </row>
    <row r="5" spans="1:86">
      <c r="A5" s="603"/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5" si="0">SUM(E5:BX5)</f>
        <v>16365002</v>
      </c>
      <c r="BZ5" s="775">
        <f>SUM(BY5:BY8)</f>
        <v>41920002</v>
      </c>
      <c r="CA5" s="226"/>
      <c r="CB5" s="237">
        <f t="shared" ref="CB5:CB15" si="1">SUM(H5:CA5)</f>
        <v>74650006</v>
      </c>
      <c r="CC5" s="775">
        <f>SUM(CB5:CB8)</f>
        <v>187080673</v>
      </c>
      <c r="CD5" s="226"/>
      <c r="CE5" s="226"/>
      <c r="CF5" s="226"/>
      <c r="CG5" s="226"/>
      <c r="CH5" s="226"/>
    </row>
    <row r="6" spans="1:86">
      <c r="A6" s="603"/>
      <c r="B6" s="787"/>
      <c r="C6" s="232" t="s">
        <v>254</v>
      </c>
      <c r="D6" s="233" t="s">
        <v>253</v>
      </c>
      <c r="E6" s="235"/>
      <c r="F6" s="235"/>
      <c r="G6" s="235"/>
      <c r="H6" s="235"/>
      <c r="I6" s="235"/>
      <c r="J6" s="235"/>
      <c r="K6" s="235">
        <v>885000</v>
      </c>
      <c r="L6" s="235">
        <f>1640000+300000</f>
        <v>1940000</v>
      </c>
      <c r="M6" s="235">
        <f>4260000</f>
        <v>4260000</v>
      </c>
      <c r="N6" s="235"/>
      <c r="O6" s="235">
        <f>50000+270000</f>
        <v>320000</v>
      </c>
      <c r="P6" s="235">
        <f>1050000</f>
        <v>1050000</v>
      </c>
      <c r="Q6" s="235">
        <v>4550000</v>
      </c>
      <c r="R6" s="235"/>
      <c r="S6" s="235">
        <v>3550000</v>
      </c>
      <c r="T6" s="235">
        <v>4900000</v>
      </c>
      <c r="U6" s="235">
        <v>4100000</v>
      </c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25555000</v>
      </c>
      <c r="BZ6" s="771"/>
      <c r="CA6" s="226">
        <f>9870667</f>
        <v>9870667</v>
      </c>
      <c r="CB6" s="237">
        <f t="shared" si="1"/>
        <v>60980667</v>
      </c>
      <c r="CC6" s="771"/>
      <c r="CD6" s="226"/>
      <c r="CE6" s="226"/>
      <c r="CF6" s="234">
        <f>SUM(Rentroll!$P$2:$P$4)</f>
        <v>613346.05139999976</v>
      </c>
      <c r="CG6" s="226"/>
      <c r="CH6" s="226"/>
    </row>
    <row r="7" spans="1:86">
      <c r="A7" s="603"/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0</v>
      </c>
      <c r="BZ7" s="771"/>
      <c r="CA7" s="226">
        <f>2100000*24.5</f>
        <v>51450000</v>
      </c>
      <c r="CB7" s="237">
        <f t="shared" si="1"/>
        <v>51450000</v>
      </c>
      <c r="CC7" s="771"/>
      <c r="CD7" s="226"/>
      <c r="CE7" s="226"/>
      <c r="CF7" s="226"/>
      <c r="CG7" s="226"/>
      <c r="CH7" s="226"/>
    </row>
    <row r="8" spans="1:86">
      <c r="A8" s="603"/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  <c r="CA8" s="226"/>
      <c r="CB8" s="241">
        <f t="shared" si="1"/>
        <v>0</v>
      </c>
      <c r="CC8" s="774"/>
      <c r="CD8" s="226"/>
      <c r="CE8" s="226"/>
      <c r="CF8" s="226"/>
      <c r="CG8" s="226"/>
      <c r="CH8" s="226"/>
    </row>
    <row r="9" spans="1:86">
      <c r="A9" s="603"/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>
        <f t="shared" ref="U9:Z9" si="2">-U61</f>
        <v>0</v>
      </c>
      <c r="V9" s="234">
        <f t="shared" si="2"/>
        <v>24888</v>
      </c>
      <c r="W9" s="234">
        <f t="shared" si="2"/>
        <v>49776</v>
      </c>
      <c r="X9" s="234">
        <f t="shared" si="2"/>
        <v>74664</v>
      </c>
      <c r="Y9" s="234">
        <f t="shared" si="2"/>
        <v>99552</v>
      </c>
      <c r="Z9" s="234">
        <f t="shared" si="2"/>
        <v>124440</v>
      </c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373320</v>
      </c>
      <c r="BZ9" s="775">
        <f>SUM(BY9:BY11)</f>
        <v>76273320</v>
      </c>
      <c r="CA9" s="226"/>
      <c r="CB9" s="237">
        <f t="shared" si="1"/>
        <v>77019960</v>
      </c>
      <c r="CC9" s="775">
        <f>SUM(CB9:CB11)</f>
        <v>228819960</v>
      </c>
      <c r="CD9" s="226"/>
      <c r="CE9" s="226"/>
      <c r="CF9" s="226"/>
      <c r="CG9" s="226"/>
      <c r="CH9" s="226"/>
    </row>
    <row r="10" spans="1:86">
      <c r="A10" s="603"/>
      <c r="B10" s="787"/>
      <c r="C10" s="236" t="s">
        <v>259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>
        <f t="shared" ref="V10:Z10" si="3">24400000/5</f>
        <v>4880000</v>
      </c>
      <c r="W10" s="235">
        <f t="shared" si="3"/>
        <v>4880000</v>
      </c>
      <c r="X10" s="235">
        <f t="shared" si="3"/>
        <v>4880000</v>
      </c>
      <c r="Y10" s="235">
        <f t="shared" si="3"/>
        <v>4880000</v>
      </c>
      <c r="Z10" s="235">
        <f t="shared" si="3"/>
        <v>4880000</v>
      </c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24400000</v>
      </c>
      <c r="BZ10" s="771"/>
      <c r="CA10" s="226"/>
      <c r="CB10" s="237">
        <f t="shared" si="1"/>
        <v>48800000</v>
      </c>
      <c r="CC10" s="771"/>
      <c r="CD10" s="226"/>
      <c r="CE10" s="226">
        <f>BY5+BY11</f>
        <v>67865002</v>
      </c>
      <c r="CF10" s="226"/>
      <c r="CG10" s="226"/>
      <c r="CH10" s="226"/>
    </row>
    <row r="11" spans="1:86">
      <c r="A11" s="603"/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/>
      <c r="L11" s="240"/>
      <c r="M11" s="240">
        <f>6449487.53+48944.52</f>
        <v>6498432.0499999998</v>
      </c>
      <c r="N11" s="240">
        <f>19937831.95</f>
        <v>19937831.949999999</v>
      </c>
      <c r="O11" s="240">
        <f>133478.48+9278006.75</f>
        <v>9411485.2300000004</v>
      </c>
      <c r="P11" s="240">
        <f>1400000+280000+3170000+50000+4644652</f>
        <v>9544652</v>
      </c>
      <c r="Q11" s="240">
        <f>51500000-M11-N11-O11-P11</f>
        <v>6107598.7700000033</v>
      </c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51500000.000000007</v>
      </c>
      <c r="BZ11" s="776"/>
      <c r="CA11" s="245"/>
      <c r="CB11" s="241">
        <f t="shared" si="1"/>
        <v>103000000.00000001</v>
      </c>
      <c r="CC11" s="776"/>
      <c r="CD11" s="245"/>
      <c r="CE11" s="245">
        <f>BY11/CE10</f>
        <v>0.75885947811509691</v>
      </c>
      <c r="CF11" s="245">
        <f>BY11/2100000</f>
        <v>24.523809523809529</v>
      </c>
      <c r="CG11" s="245"/>
      <c r="CH11" s="245" t="e">
        <f>su</f>
        <v>#NAME?</v>
      </c>
    </row>
    <row r="12" spans="1:86">
      <c r="A12" s="603"/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>
        <f>SUM(Rentroll!$P$2:$P$4)</f>
        <v>613346.05139999976</v>
      </c>
      <c r="R12" s="234">
        <f>SUM(Rentroll!$P$2:$P$4)</f>
        <v>613346.05139999976</v>
      </c>
      <c r="S12" s="234">
        <f>SUM(Rentroll!$P$2:$P$4)</f>
        <v>613346.05139999976</v>
      </c>
      <c r="T12" s="234">
        <f>SUM(Rentroll!$P$2:$P$4)</f>
        <v>613346.05139999976</v>
      </c>
      <c r="U12" s="234">
        <f>SUM(Rentroll!$P$2:$P$4)</f>
        <v>613346.05139999976</v>
      </c>
      <c r="V12" s="234">
        <f>SUM(Rentroll!$P$2:$P$4)</f>
        <v>613346.05139999976</v>
      </c>
      <c r="W12" s="234">
        <f>SUM(Rentroll!$P$2:$P$4)</f>
        <v>613346.05139999976</v>
      </c>
      <c r="X12" s="234">
        <f>SUM(Rentroll!$P$2:$P$4)</f>
        <v>613346.05139999976</v>
      </c>
      <c r="Y12" s="234">
        <f>SUM(Rentroll!$P$2:$P$4)</f>
        <v>613346.05139999976</v>
      </c>
      <c r="Z12" s="234">
        <f>SUM(Rentroll!$P$2:$P$4)</f>
        <v>613346.05139999976</v>
      </c>
      <c r="AA12" s="234">
        <f>SUM(Rentroll!$P$2:$P$10)</f>
        <v>1045797.2378791663</v>
      </c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7179257.7518791649</v>
      </c>
      <c r="BZ12" s="775">
        <f>SUM(BY12:BY15)</f>
        <v>151270795.01495549</v>
      </c>
      <c r="CA12" s="226"/>
      <c r="CB12" s="237">
        <f t="shared" si="1"/>
        <v>165629310.51871383</v>
      </c>
      <c r="CC12" s="775">
        <f>SUM(CB12:CB15)</f>
        <v>453812385.0448665</v>
      </c>
      <c r="CD12" s="226"/>
      <c r="CE12" s="242">
        <f>BY5/CE10</f>
        <v>0.2411405218849032</v>
      </c>
      <c r="CF12" s="226"/>
      <c r="CG12" s="226"/>
      <c r="CH12" s="226"/>
    </row>
    <row r="13" spans="1:86">
      <c r="A13" s="603"/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>
        <f>Businessplan_prodej!J25</f>
        <v>134227900.78571424</v>
      </c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  <c r="CA13" s="226"/>
      <c r="CB13" s="237">
        <f t="shared" si="1"/>
        <v>268455801.57142848</v>
      </c>
      <c r="CC13" s="771"/>
      <c r="CD13" s="226"/>
      <c r="CE13" s="226"/>
      <c r="CF13" s="226"/>
      <c r="CG13" s="226"/>
      <c r="CH13" s="226"/>
    </row>
    <row r="14" spans="1:86">
      <c r="A14" s="603"/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>
        <v>6227</v>
      </c>
      <c r="J14" s="235">
        <v>14588</v>
      </c>
      <c r="K14" s="235">
        <f>457468</f>
        <v>457468</v>
      </c>
      <c r="L14" s="235">
        <v>57517</v>
      </c>
      <c r="M14" s="235">
        <f>60362</f>
        <v>60362</v>
      </c>
      <c r="N14" s="235">
        <v>56101</v>
      </c>
      <c r="O14" s="235">
        <f>59696</f>
        <v>59696</v>
      </c>
      <c r="P14" s="235">
        <f t="shared" ref="P14:Q14" si="4">-(SUM(N23,N37)-SUM(N23,N37)/1.21)</f>
        <v>4397.6776859504134</v>
      </c>
      <c r="Q14" s="235">
        <f t="shared" si="4"/>
        <v>129167.81008264457</v>
      </c>
      <c r="R14" s="235">
        <f>IF(P12&gt;0,-(SUM(Rentroll!$K$2:$K$4)+Rentroll!$N$2),0)-(SUM(P23,P37)-SUM(P23,P37)/1.21)</f>
        <v>185143.84867768595</v>
      </c>
      <c r="S14" s="235">
        <f>IF(Q12&gt;0,-(SUM(Rentroll!$K$2:$K$4)+Rentroll!$N$2),0)-(SUM(Q23,Q37)-SUM(Q23,Q37)/1.21)</f>
        <v>-1021.3075177685969</v>
      </c>
      <c r="T14" s="235">
        <f>IF(R12&gt;0,-(SUM(Rentroll!$K$2:$K$4)+Rentroll!$N$2),0)-(SUM(R23,R37)-SUM(R23,R37)/1.21)</f>
        <v>69829.412143388457</v>
      </c>
      <c r="U14" s="235">
        <f>IF(S12&gt;0,-(SUM(Rentroll!$K$2:$K$4)+Rentroll!$N$2),0)-(SUM(S23,S37)-SUM(S23,S37)/1.21)</f>
        <v>19441.419702582571</v>
      </c>
      <c r="V14" s="235">
        <f>IF(T12&gt;0,-(SUM(Rentroll!$K$2:$K$4)+Rentroll!$N$2),0)-(SUM(T23,T37)-SUM(T23,T37)/1.21)</f>
        <v>-54954.711112809906</v>
      </c>
      <c r="W14" s="235">
        <f>IF(U12&gt;0,-(SUM(Rentroll!$K$2:$K$4)+Rentroll!$N$2),0)-(SUM(U23,U37)-SUM(U23,U37)/1.21)</f>
        <v>-60065.334459917343</v>
      </c>
      <c r="X14" s="235">
        <f>IF(V12&gt;0,-(SUM(Rentroll!$K$2:$K$4)+Rentroll!$N$2),0)-(SUM(V23,V37)-SUM(V23,V37)/1.21)</f>
        <v>-60065.334459917343</v>
      </c>
      <c r="Y14" s="235">
        <f>IF(W12&gt;0,-(SUM(Rentroll!$K$2:$K$4)+Rentroll!$N$2),0)-(SUM(W23,W37)-SUM(W23,W37)/1.21)</f>
        <v>-60065.334459917343</v>
      </c>
      <c r="Z14" s="235">
        <f>IF(X12&gt;0,-(SUM(Rentroll!$K$2:$K$4)+Rentroll!$N$2),0)-(SUM(X23,X37)-SUM(X23,X37)/1.21)</f>
        <v>-60065.334459917343</v>
      </c>
      <c r="AA14" s="235">
        <f>IF(Y12&gt;0,-(SUM(Rentroll!$K$2:$K$4)+Rentroll!$N$2),0)-(SUM(Y23,Y37)-SUM(Y23,Y37)/1.21)</f>
        <v>-60065.334459917343</v>
      </c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763636.47736208653</v>
      </c>
      <c r="BZ14" s="771"/>
      <c r="CA14" s="226"/>
      <c r="CB14" s="237">
        <f t="shared" si="1"/>
        <v>1527272.9547241731</v>
      </c>
      <c r="CC14" s="771"/>
      <c r="CD14" s="226"/>
      <c r="CE14" s="226">
        <f>51450000</f>
        <v>51450000</v>
      </c>
      <c r="CF14" s="226">
        <f>BY11/24.5</f>
        <v>2102040.8163265311</v>
      </c>
      <c r="CG14" s="226"/>
      <c r="CH14" s="226"/>
    </row>
    <row r="15" spans="1:86">
      <c r="A15" s="603"/>
      <c r="B15" s="768"/>
      <c r="C15" s="238" t="s">
        <v>265</v>
      </c>
      <c r="D15" s="239" t="s">
        <v>264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>
        <f>9100000</f>
        <v>9100000</v>
      </c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38"/>
      <c r="BY15" s="241">
        <f t="shared" si="0"/>
        <v>9100000</v>
      </c>
      <c r="BZ15" s="776"/>
      <c r="CA15" s="226"/>
      <c r="CB15" s="241">
        <f t="shared" si="1"/>
        <v>18200000</v>
      </c>
      <c r="CC15" s="776"/>
      <c r="CD15" s="226"/>
      <c r="CE15" s="226">
        <f>CE14/24.5</f>
        <v>2100000</v>
      </c>
      <c r="CF15" s="226"/>
      <c r="CG15" s="226"/>
      <c r="CH15" s="226"/>
    </row>
    <row r="16" spans="1:86" ht="16">
      <c r="A16" s="603"/>
      <c r="B16" s="788" t="s">
        <v>266</v>
      </c>
      <c r="C16" s="774"/>
      <c r="D16" s="246"/>
      <c r="E16" s="247">
        <f t="shared" ref="E16:BX16" si="5">SUM(E5:E15)</f>
        <v>0</v>
      </c>
      <c r="F16" s="247">
        <f t="shared" si="5"/>
        <v>0</v>
      </c>
      <c r="G16" s="247">
        <f t="shared" si="5"/>
        <v>0</v>
      </c>
      <c r="H16" s="247">
        <f t="shared" si="5"/>
        <v>16365002</v>
      </c>
      <c r="I16" s="247">
        <f t="shared" si="5"/>
        <v>6227</v>
      </c>
      <c r="J16" s="247">
        <f t="shared" si="5"/>
        <v>14588</v>
      </c>
      <c r="K16" s="247">
        <f t="shared" si="5"/>
        <v>1342468</v>
      </c>
      <c r="L16" s="247">
        <f t="shared" si="5"/>
        <v>1997517</v>
      </c>
      <c r="M16" s="247">
        <f t="shared" si="5"/>
        <v>10818794.050000001</v>
      </c>
      <c r="N16" s="247">
        <f t="shared" si="5"/>
        <v>19993932.949999999</v>
      </c>
      <c r="O16" s="247">
        <f t="shared" si="5"/>
        <v>9791181.2300000004</v>
      </c>
      <c r="P16" s="247">
        <f t="shared" si="5"/>
        <v>10599049.67768595</v>
      </c>
      <c r="Q16" s="247">
        <f t="shared" si="5"/>
        <v>20500112.631482646</v>
      </c>
      <c r="R16" s="247">
        <f t="shared" si="5"/>
        <v>798489.90007768571</v>
      </c>
      <c r="S16" s="247">
        <f t="shared" si="5"/>
        <v>4162324.7438822309</v>
      </c>
      <c r="T16" s="247">
        <f t="shared" si="5"/>
        <v>5583175.463543389</v>
      </c>
      <c r="U16" s="247">
        <f t="shared" si="5"/>
        <v>4732787.4711025832</v>
      </c>
      <c r="V16" s="247">
        <f t="shared" si="5"/>
        <v>5463279.3402871899</v>
      </c>
      <c r="W16" s="247">
        <f t="shared" si="5"/>
        <v>5483056.7169400826</v>
      </c>
      <c r="X16" s="247">
        <f t="shared" si="5"/>
        <v>5507944.7169400826</v>
      </c>
      <c r="Y16" s="247">
        <f t="shared" si="5"/>
        <v>5532832.7169400826</v>
      </c>
      <c r="Z16" s="247">
        <f t="shared" si="5"/>
        <v>5557720.7169400826</v>
      </c>
      <c r="AA16" s="247">
        <f t="shared" si="5"/>
        <v>135213632.68913347</v>
      </c>
      <c r="AB16" s="247">
        <f t="shared" si="5"/>
        <v>0</v>
      </c>
      <c r="AC16" s="247">
        <f t="shared" si="5"/>
        <v>0</v>
      </c>
      <c r="AD16" s="247">
        <f t="shared" si="5"/>
        <v>0</v>
      </c>
      <c r="AE16" s="247">
        <f t="shared" si="5"/>
        <v>0</v>
      </c>
      <c r="AF16" s="247">
        <f t="shared" si="5"/>
        <v>0</v>
      </c>
      <c r="AG16" s="247">
        <f t="shared" si="5"/>
        <v>0</v>
      </c>
      <c r="AH16" s="247">
        <f t="shared" si="5"/>
        <v>0</v>
      </c>
      <c r="AI16" s="247">
        <f t="shared" si="5"/>
        <v>0</v>
      </c>
      <c r="AJ16" s="247">
        <f t="shared" si="5"/>
        <v>0</v>
      </c>
      <c r="AK16" s="247">
        <f t="shared" si="5"/>
        <v>0</v>
      </c>
      <c r="AL16" s="247">
        <f t="shared" si="5"/>
        <v>0</v>
      </c>
      <c r="AM16" s="247">
        <f t="shared" si="5"/>
        <v>0</v>
      </c>
      <c r="AN16" s="247">
        <f t="shared" si="5"/>
        <v>0</v>
      </c>
      <c r="AO16" s="247">
        <f t="shared" si="5"/>
        <v>0</v>
      </c>
      <c r="AP16" s="247">
        <f t="shared" si="5"/>
        <v>0</v>
      </c>
      <c r="AQ16" s="247">
        <f t="shared" si="5"/>
        <v>0</v>
      </c>
      <c r="AR16" s="247">
        <f t="shared" si="5"/>
        <v>0</v>
      </c>
      <c r="AS16" s="247">
        <f t="shared" si="5"/>
        <v>0</v>
      </c>
      <c r="AT16" s="247">
        <f t="shared" si="5"/>
        <v>0</v>
      </c>
      <c r="AU16" s="247">
        <f t="shared" si="5"/>
        <v>0</v>
      </c>
      <c r="AV16" s="247">
        <f t="shared" si="5"/>
        <v>0</v>
      </c>
      <c r="AW16" s="247">
        <f t="shared" si="5"/>
        <v>0</v>
      </c>
      <c r="AX16" s="247">
        <f t="shared" si="5"/>
        <v>0</v>
      </c>
      <c r="AY16" s="247">
        <f t="shared" si="5"/>
        <v>0</v>
      </c>
      <c r="AZ16" s="247">
        <f t="shared" si="5"/>
        <v>0</v>
      </c>
      <c r="BA16" s="247">
        <f t="shared" si="5"/>
        <v>0</v>
      </c>
      <c r="BB16" s="247">
        <f t="shared" si="5"/>
        <v>0</v>
      </c>
      <c r="BC16" s="247">
        <f t="shared" si="5"/>
        <v>0</v>
      </c>
      <c r="BD16" s="247">
        <f t="shared" si="5"/>
        <v>0</v>
      </c>
      <c r="BE16" s="247">
        <f t="shared" si="5"/>
        <v>0</v>
      </c>
      <c r="BF16" s="247">
        <f t="shared" si="5"/>
        <v>0</v>
      </c>
      <c r="BG16" s="247">
        <f t="shared" si="5"/>
        <v>0</v>
      </c>
      <c r="BH16" s="247">
        <f t="shared" si="5"/>
        <v>0</v>
      </c>
      <c r="BI16" s="247">
        <f t="shared" si="5"/>
        <v>0</v>
      </c>
      <c r="BJ16" s="247">
        <f t="shared" si="5"/>
        <v>0</v>
      </c>
      <c r="BK16" s="247">
        <f t="shared" si="5"/>
        <v>0</v>
      </c>
      <c r="BL16" s="247">
        <f t="shared" si="5"/>
        <v>0</v>
      </c>
      <c r="BM16" s="247">
        <f t="shared" si="5"/>
        <v>0</v>
      </c>
      <c r="BN16" s="247">
        <f t="shared" si="5"/>
        <v>0</v>
      </c>
      <c r="BO16" s="247">
        <f t="shared" si="5"/>
        <v>0</v>
      </c>
      <c r="BP16" s="247">
        <f t="shared" si="5"/>
        <v>0</v>
      </c>
      <c r="BQ16" s="247">
        <f t="shared" si="5"/>
        <v>0</v>
      </c>
      <c r="BR16" s="247">
        <f t="shared" si="5"/>
        <v>0</v>
      </c>
      <c r="BS16" s="247">
        <f t="shared" si="5"/>
        <v>0</v>
      </c>
      <c r="BT16" s="247">
        <f t="shared" si="5"/>
        <v>0</v>
      </c>
      <c r="BU16" s="247">
        <f t="shared" si="5"/>
        <v>0</v>
      </c>
      <c r="BV16" s="247">
        <f t="shared" si="5"/>
        <v>0</v>
      </c>
      <c r="BW16" s="247">
        <f t="shared" si="5"/>
        <v>0</v>
      </c>
      <c r="BX16" s="247">
        <f t="shared" si="5"/>
        <v>0</v>
      </c>
      <c r="BY16" s="778">
        <f>BZ5+BZ9+BZ12</f>
        <v>269464117.01495552</v>
      </c>
      <c r="BZ16" s="774"/>
      <c r="CA16" s="226"/>
      <c r="CB16" s="778">
        <f>CC5+CC9+CC12</f>
        <v>869713018.04486656</v>
      </c>
      <c r="CC16" s="774"/>
      <c r="CD16" s="226"/>
      <c r="CE16" s="226"/>
      <c r="CF16" s="226"/>
      <c r="CG16" s="226"/>
      <c r="CH16" s="226"/>
    </row>
    <row r="17" spans="1:85" ht="16" collapsed="1">
      <c r="A17" s="603"/>
      <c r="B17" s="789" t="s">
        <v>267</v>
      </c>
      <c r="C17" s="248" t="s">
        <v>268</v>
      </c>
      <c r="D17" s="249"/>
      <c r="E17" s="250">
        <f t="shared" ref="E17:BY17" si="6">SUM(E18:E22)</f>
        <v>0</v>
      </c>
      <c r="F17" s="250">
        <f t="shared" si="6"/>
        <v>0</v>
      </c>
      <c r="G17" s="250">
        <f t="shared" si="6"/>
        <v>0</v>
      </c>
      <c r="H17" s="250">
        <f t="shared" si="6"/>
        <v>-10620712</v>
      </c>
      <c r="I17" s="250">
        <f t="shared" si="6"/>
        <v>0</v>
      </c>
      <c r="J17" s="250">
        <f t="shared" si="6"/>
        <v>-808333</v>
      </c>
      <c r="K17" s="250">
        <f t="shared" si="6"/>
        <v>0</v>
      </c>
      <c r="L17" s="250">
        <f t="shared" si="6"/>
        <v>0</v>
      </c>
      <c r="M17" s="250">
        <f t="shared" si="6"/>
        <v>0</v>
      </c>
      <c r="N17" s="250">
        <f t="shared" si="6"/>
        <v>0</v>
      </c>
      <c r="O17" s="250">
        <f t="shared" si="6"/>
        <v>0</v>
      </c>
      <c r="P17" s="250">
        <f t="shared" si="6"/>
        <v>0</v>
      </c>
      <c r="Q17" s="250">
        <f t="shared" si="6"/>
        <v>0</v>
      </c>
      <c r="R17" s="250">
        <f t="shared" si="6"/>
        <v>0</v>
      </c>
      <c r="S17" s="250">
        <f t="shared" si="6"/>
        <v>0</v>
      </c>
      <c r="T17" s="250">
        <f t="shared" si="6"/>
        <v>0</v>
      </c>
      <c r="U17" s="250">
        <f t="shared" si="6"/>
        <v>0</v>
      </c>
      <c r="V17" s="250">
        <f t="shared" si="6"/>
        <v>0</v>
      </c>
      <c r="W17" s="250">
        <f t="shared" si="6"/>
        <v>0</v>
      </c>
      <c r="X17" s="250">
        <f t="shared" si="6"/>
        <v>0</v>
      </c>
      <c r="Y17" s="250">
        <f t="shared" si="6"/>
        <v>0</v>
      </c>
      <c r="Z17" s="250">
        <f t="shared" si="6"/>
        <v>0</v>
      </c>
      <c r="AA17" s="250">
        <f t="shared" si="6"/>
        <v>0</v>
      </c>
      <c r="AB17" s="250">
        <f t="shared" si="6"/>
        <v>0</v>
      </c>
      <c r="AC17" s="250">
        <f t="shared" si="6"/>
        <v>0</v>
      </c>
      <c r="AD17" s="250">
        <f t="shared" si="6"/>
        <v>0</v>
      </c>
      <c r="AE17" s="250">
        <f t="shared" si="6"/>
        <v>0</v>
      </c>
      <c r="AF17" s="250">
        <f t="shared" si="6"/>
        <v>0</v>
      </c>
      <c r="AG17" s="250">
        <f t="shared" si="6"/>
        <v>0</v>
      </c>
      <c r="AH17" s="250">
        <f t="shared" si="6"/>
        <v>0</v>
      </c>
      <c r="AI17" s="250">
        <f t="shared" si="6"/>
        <v>0</v>
      </c>
      <c r="AJ17" s="250">
        <f t="shared" si="6"/>
        <v>0</v>
      </c>
      <c r="AK17" s="250">
        <f t="shared" si="6"/>
        <v>0</v>
      </c>
      <c r="AL17" s="250">
        <f t="shared" si="6"/>
        <v>0</v>
      </c>
      <c r="AM17" s="250">
        <f t="shared" si="6"/>
        <v>0</v>
      </c>
      <c r="AN17" s="250">
        <f t="shared" si="6"/>
        <v>0</v>
      </c>
      <c r="AO17" s="250">
        <f t="shared" si="6"/>
        <v>0</v>
      </c>
      <c r="AP17" s="250">
        <f t="shared" si="6"/>
        <v>0</v>
      </c>
      <c r="AQ17" s="250">
        <f t="shared" si="6"/>
        <v>0</v>
      </c>
      <c r="AR17" s="250">
        <f t="shared" si="6"/>
        <v>0</v>
      </c>
      <c r="AS17" s="250">
        <f t="shared" si="6"/>
        <v>0</v>
      </c>
      <c r="AT17" s="250">
        <f t="shared" si="6"/>
        <v>0</v>
      </c>
      <c r="AU17" s="250">
        <f t="shared" si="6"/>
        <v>0</v>
      </c>
      <c r="AV17" s="250">
        <f t="shared" si="6"/>
        <v>0</v>
      </c>
      <c r="AW17" s="250">
        <f t="shared" si="6"/>
        <v>0</v>
      </c>
      <c r="AX17" s="250">
        <f t="shared" si="6"/>
        <v>0</v>
      </c>
      <c r="AY17" s="250">
        <f t="shared" si="6"/>
        <v>0</v>
      </c>
      <c r="AZ17" s="250">
        <f t="shared" si="6"/>
        <v>0</v>
      </c>
      <c r="BA17" s="250">
        <f t="shared" si="6"/>
        <v>0</v>
      </c>
      <c r="BB17" s="250">
        <f t="shared" si="6"/>
        <v>0</v>
      </c>
      <c r="BC17" s="250">
        <f t="shared" si="6"/>
        <v>0</v>
      </c>
      <c r="BD17" s="250">
        <f t="shared" si="6"/>
        <v>0</v>
      </c>
      <c r="BE17" s="250">
        <f t="shared" si="6"/>
        <v>0</v>
      </c>
      <c r="BF17" s="250">
        <f t="shared" si="6"/>
        <v>0</v>
      </c>
      <c r="BG17" s="250">
        <f t="shared" si="6"/>
        <v>0</v>
      </c>
      <c r="BH17" s="250">
        <f t="shared" si="6"/>
        <v>0</v>
      </c>
      <c r="BI17" s="250">
        <f t="shared" si="6"/>
        <v>0</v>
      </c>
      <c r="BJ17" s="250">
        <f t="shared" si="6"/>
        <v>0</v>
      </c>
      <c r="BK17" s="250">
        <f t="shared" si="6"/>
        <v>0</v>
      </c>
      <c r="BL17" s="250">
        <f t="shared" si="6"/>
        <v>0</v>
      </c>
      <c r="BM17" s="250">
        <f t="shared" si="6"/>
        <v>0</v>
      </c>
      <c r="BN17" s="250">
        <f t="shared" si="6"/>
        <v>0</v>
      </c>
      <c r="BO17" s="250">
        <f t="shared" si="6"/>
        <v>0</v>
      </c>
      <c r="BP17" s="250">
        <f t="shared" si="6"/>
        <v>0</v>
      </c>
      <c r="BQ17" s="250">
        <f t="shared" si="6"/>
        <v>0</v>
      </c>
      <c r="BR17" s="250">
        <f t="shared" si="6"/>
        <v>0</v>
      </c>
      <c r="BS17" s="250">
        <f t="shared" si="6"/>
        <v>0</v>
      </c>
      <c r="BT17" s="250">
        <f t="shared" si="6"/>
        <v>0</v>
      </c>
      <c r="BU17" s="250">
        <f t="shared" si="6"/>
        <v>0</v>
      </c>
      <c r="BV17" s="250">
        <f t="shared" si="6"/>
        <v>0</v>
      </c>
      <c r="BW17" s="250">
        <f t="shared" si="6"/>
        <v>0</v>
      </c>
      <c r="BX17" s="250">
        <f t="shared" si="6"/>
        <v>0</v>
      </c>
      <c r="BY17" s="251">
        <f t="shared" si="6"/>
        <v>-11429045</v>
      </c>
      <c r="BZ17" s="777">
        <f>BY17+BY23+BY26+BY34+BY37+BY49+BY55+BY63+BY87</f>
        <v>-123998543.97521475</v>
      </c>
      <c r="CA17" s="226"/>
      <c r="CB17" s="252"/>
      <c r="CC17" s="777"/>
      <c r="CD17" s="226"/>
      <c r="CE17" s="226"/>
      <c r="CF17" s="226"/>
      <c r="CG17" s="226"/>
    </row>
    <row r="18" spans="1:85" ht="16" hidden="1" outlineLevel="1">
      <c r="A18" s="603"/>
      <c r="B18" s="787"/>
      <c r="C18" s="253" t="s">
        <v>269</v>
      </c>
      <c r="D18" s="254" t="s">
        <v>270</v>
      </c>
      <c r="E18" s="255"/>
      <c r="F18" s="255"/>
      <c r="G18" s="255"/>
      <c r="H18" s="256">
        <f>-8458812-2161900</f>
        <v>-10620712</v>
      </c>
      <c r="I18" s="256"/>
      <c r="J18" s="256">
        <f>-657296-151037</f>
        <v>-808333</v>
      </c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7">
        <f t="shared" ref="BY18:BY22" si="7">SUM(E18:BX18)</f>
        <v>-11429045</v>
      </c>
      <c r="BZ18" s="771"/>
      <c r="CA18" s="226"/>
      <c r="CB18" s="252"/>
      <c r="CC18" s="771"/>
      <c r="CD18" s="226"/>
      <c r="CE18" s="226"/>
      <c r="CF18" s="226"/>
      <c r="CG18" s="226"/>
    </row>
    <row r="19" spans="1:85" ht="16" hidden="1" outlineLevel="1">
      <c r="A19" s="603"/>
      <c r="B19" s="787"/>
      <c r="C19" s="253" t="s">
        <v>271</v>
      </c>
      <c r="D19" s="254" t="s">
        <v>270</v>
      </c>
      <c r="E19" s="255"/>
      <c r="F19" s="255"/>
      <c r="G19" s="255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si="7"/>
        <v>0</v>
      </c>
      <c r="BZ19" s="771"/>
      <c r="CA19" s="226"/>
      <c r="CB19" s="252"/>
      <c r="CC19" s="771"/>
      <c r="CD19" s="226"/>
      <c r="CE19" s="226"/>
      <c r="CF19" s="226"/>
      <c r="CG19" s="226"/>
    </row>
    <row r="20" spans="1:85" ht="16" hidden="1" outlineLevel="1">
      <c r="A20" s="603"/>
      <c r="B20" s="787"/>
      <c r="C20" s="253" t="s">
        <v>272</v>
      </c>
      <c r="D20" s="254" t="s">
        <v>270</v>
      </c>
      <c r="E20" s="255"/>
      <c r="F20" s="255"/>
      <c r="G20" s="255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7"/>
        <v>0</v>
      </c>
      <c r="BZ20" s="771"/>
      <c r="CA20" s="226"/>
      <c r="CB20" s="252"/>
      <c r="CC20" s="771"/>
      <c r="CD20" s="226"/>
      <c r="CE20" s="226"/>
      <c r="CF20" s="226"/>
      <c r="CG20" s="226"/>
    </row>
    <row r="21" spans="1:85" ht="16" hidden="1" outlineLevel="1">
      <c r="A21" s="603"/>
      <c r="B21" s="787"/>
      <c r="C21" s="253" t="s">
        <v>273</v>
      </c>
      <c r="D21" s="254" t="s">
        <v>270</v>
      </c>
      <c r="E21" s="255"/>
      <c r="F21" s="255"/>
      <c r="G21" s="255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7"/>
        <v>0</v>
      </c>
      <c r="BZ21" s="771"/>
      <c r="CA21" s="226"/>
      <c r="CB21" s="252"/>
      <c r="CC21" s="771"/>
      <c r="CD21" s="226"/>
      <c r="CE21" s="226"/>
      <c r="CF21" s="226"/>
      <c r="CG21" s="226"/>
    </row>
    <row r="22" spans="1:85" ht="16" hidden="1" outlineLevel="1">
      <c r="A22" s="603"/>
      <c r="B22" s="787"/>
      <c r="C22" s="253" t="s">
        <v>274</v>
      </c>
      <c r="D22" s="258" t="s">
        <v>270</v>
      </c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7"/>
        <v>0</v>
      </c>
      <c r="BZ22" s="771"/>
      <c r="CA22" s="226"/>
      <c r="CB22" s="252"/>
      <c r="CC22" s="771"/>
      <c r="CD22" s="226"/>
      <c r="CE22" s="226"/>
      <c r="CF22" s="226"/>
      <c r="CG22" s="226"/>
    </row>
    <row r="23" spans="1:85" ht="16">
      <c r="A23" s="603"/>
      <c r="B23" s="787"/>
      <c r="C23" s="248" t="s">
        <v>275</v>
      </c>
      <c r="D23" s="249"/>
      <c r="E23" s="250">
        <f t="shared" ref="E23:BY23" si="8">SUM(E24:E25)</f>
        <v>0</v>
      </c>
      <c r="F23" s="250">
        <f t="shared" si="8"/>
        <v>0</v>
      </c>
      <c r="G23" s="250">
        <f t="shared" si="8"/>
        <v>0</v>
      </c>
      <c r="H23" s="250">
        <f t="shared" si="8"/>
        <v>0</v>
      </c>
      <c r="I23" s="250">
        <f t="shared" si="8"/>
        <v>-366025</v>
      </c>
      <c r="J23" s="250">
        <f t="shared" si="8"/>
        <v>0</v>
      </c>
      <c r="K23" s="250">
        <f t="shared" si="8"/>
        <v>0</v>
      </c>
      <c r="L23" s="250">
        <f t="shared" si="8"/>
        <v>-15913.92</v>
      </c>
      <c r="M23" s="250">
        <f t="shared" si="8"/>
        <v>0</v>
      </c>
      <c r="N23" s="250">
        <f t="shared" si="8"/>
        <v>0</v>
      </c>
      <c r="O23" s="250">
        <f t="shared" si="8"/>
        <v>0</v>
      </c>
      <c r="P23" s="250">
        <f t="shared" si="8"/>
        <v>-723335.58000000007</v>
      </c>
      <c r="Q23" s="250">
        <f t="shared" si="8"/>
        <v>-393250</v>
      </c>
      <c r="R23" s="250">
        <f t="shared" si="8"/>
        <v>-393250</v>
      </c>
      <c r="S23" s="250">
        <f t="shared" si="8"/>
        <v>0</v>
      </c>
      <c r="T23" s="250">
        <f t="shared" si="8"/>
        <v>0</v>
      </c>
      <c r="U23" s="250">
        <f t="shared" si="8"/>
        <v>0</v>
      </c>
      <c r="V23" s="250">
        <f t="shared" si="8"/>
        <v>0</v>
      </c>
      <c r="W23" s="250">
        <f t="shared" si="8"/>
        <v>0</v>
      </c>
      <c r="X23" s="250">
        <f t="shared" si="8"/>
        <v>0</v>
      </c>
      <c r="Y23" s="250">
        <f t="shared" si="8"/>
        <v>0</v>
      </c>
      <c r="Z23" s="250">
        <f t="shared" si="8"/>
        <v>0</v>
      </c>
      <c r="AA23" s="250">
        <f t="shared" si="8"/>
        <v>0</v>
      </c>
      <c r="AB23" s="250">
        <f t="shared" si="8"/>
        <v>0</v>
      </c>
      <c r="AC23" s="250">
        <f t="shared" si="8"/>
        <v>0</v>
      </c>
      <c r="AD23" s="250">
        <f t="shared" si="8"/>
        <v>0</v>
      </c>
      <c r="AE23" s="250">
        <f t="shared" si="8"/>
        <v>0</v>
      </c>
      <c r="AF23" s="250">
        <f t="shared" si="8"/>
        <v>0</v>
      </c>
      <c r="AG23" s="250">
        <f t="shared" si="8"/>
        <v>0</v>
      </c>
      <c r="AH23" s="250">
        <f t="shared" si="8"/>
        <v>0</v>
      </c>
      <c r="AI23" s="250">
        <f t="shared" si="8"/>
        <v>0</v>
      </c>
      <c r="AJ23" s="250">
        <f t="shared" si="8"/>
        <v>0</v>
      </c>
      <c r="AK23" s="250">
        <f t="shared" si="8"/>
        <v>0</v>
      </c>
      <c r="AL23" s="250">
        <f t="shared" si="8"/>
        <v>0</v>
      </c>
      <c r="AM23" s="250">
        <f t="shared" si="8"/>
        <v>0</v>
      </c>
      <c r="AN23" s="250">
        <f t="shared" si="8"/>
        <v>0</v>
      </c>
      <c r="AO23" s="250">
        <f t="shared" si="8"/>
        <v>0</v>
      </c>
      <c r="AP23" s="250">
        <f t="shared" si="8"/>
        <v>0</v>
      </c>
      <c r="AQ23" s="250">
        <f t="shared" si="8"/>
        <v>0</v>
      </c>
      <c r="AR23" s="250">
        <f t="shared" si="8"/>
        <v>0</v>
      </c>
      <c r="AS23" s="250">
        <f t="shared" si="8"/>
        <v>0</v>
      </c>
      <c r="AT23" s="250">
        <f t="shared" si="8"/>
        <v>0</v>
      </c>
      <c r="AU23" s="250">
        <f t="shared" si="8"/>
        <v>0</v>
      </c>
      <c r="AV23" s="250">
        <f t="shared" si="8"/>
        <v>0</v>
      </c>
      <c r="AW23" s="250">
        <f t="shared" si="8"/>
        <v>0</v>
      </c>
      <c r="AX23" s="250">
        <f t="shared" si="8"/>
        <v>0</v>
      </c>
      <c r="AY23" s="250">
        <f t="shared" si="8"/>
        <v>0</v>
      </c>
      <c r="AZ23" s="250">
        <f t="shared" si="8"/>
        <v>0</v>
      </c>
      <c r="BA23" s="250">
        <f t="shared" si="8"/>
        <v>0</v>
      </c>
      <c r="BB23" s="250">
        <f t="shared" si="8"/>
        <v>0</v>
      </c>
      <c r="BC23" s="250">
        <f t="shared" si="8"/>
        <v>0</v>
      </c>
      <c r="BD23" s="250">
        <f t="shared" si="8"/>
        <v>0</v>
      </c>
      <c r="BE23" s="250">
        <f t="shared" si="8"/>
        <v>0</v>
      </c>
      <c r="BF23" s="250">
        <f t="shared" si="8"/>
        <v>0</v>
      </c>
      <c r="BG23" s="250">
        <f t="shared" si="8"/>
        <v>0</v>
      </c>
      <c r="BH23" s="250">
        <f t="shared" si="8"/>
        <v>0</v>
      </c>
      <c r="BI23" s="250">
        <f t="shared" si="8"/>
        <v>0</v>
      </c>
      <c r="BJ23" s="250">
        <f t="shared" si="8"/>
        <v>0</v>
      </c>
      <c r="BK23" s="250">
        <f t="shared" si="8"/>
        <v>0</v>
      </c>
      <c r="BL23" s="250">
        <f t="shared" si="8"/>
        <v>0</v>
      </c>
      <c r="BM23" s="250">
        <f t="shared" si="8"/>
        <v>0</v>
      </c>
      <c r="BN23" s="250">
        <f t="shared" si="8"/>
        <v>0</v>
      </c>
      <c r="BO23" s="250">
        <f t="shared" si="8"/>
        <v>0</v>
      </c>
      <c r="BP23" s="250">
        <f t="shared" si="8"/>
        <v>0</v>
      </c>
      <c r="BQ23" s="250">
        <f t="shared" si="8"/>
        <v>0</v>
      </c>
      <c r="BR23" s="250">
        <f t="shared" si="8"/>
        <v>0</v>
      </c>
      <c r="BS23" s="250">
        <f t="shared" si="8"/>
        <v>0</v>
      </c>
      <c r="BT23" s="250">
        <f t="shared" si="8"/>
        <v>0</v>
      </c>
      <c r="BU23" s="250">
        <f t="shared" si="8"/>
        <v>0</v>
      </c>
      <c r="BV23" s="250">
        <f t="shared" si="8"/>
        <v>0</v>
      </c>
      <c r="BW23" s="250">
        <f t="shared" si="8"/>
        <v>0</v>
      </c>
      <c r="BX23" s="250">
        <f t="shared" si="8"/>
        <v>0</v>
      </c>
      <c r="BY23" s="251">
        <f t="shared" si="8"/>
        <v>-1891774.5</v>
      </c>
      <c r="BZ23" s="771"/>
      <c r="CA23" s="226">
        <f>BY23/1.21</f>
        <v>-1563450</v>
      </c>
      <c r="CB23" s="252"/>
      <c r="CC23" s="771"/>
      <c r="CD23" s="226"/>
      <c r="CE23" s="226">
        <f>7000000*1.21</f>
        <v>8470000</v>
      </c>
      <c r="CF23" s="226"/>
      <c r="CG23" s="226">
        <f>BY5</f>
        <v>16365002</v>
      </c>
    </row>
    <row r="24" spans="1:85" ht="16" outlineLevel="1">
      <c r="A24" s="603"/>
      <c r="B24" s="787"/>
      <c r="C24" s="253" t="s">
        <v>276</v>
      </c>
      <c r="D24" s="258" t="s">
        <v>270</v>
      </c>
      <c r="E24" s="259"/>
      <c r="F24" s="259"/>
      <c r="G24" s="259"/>
      <c r="H24" s="260"/>
      <c r="I24" s="260">
        <f>-302500*1.21</f>
        <v>-366025</v>
      </c>
      <c r="J24" s="260"/>
      <c r="K24" s="260"/>
      <c r="L24" s="260">
        <f>-15913.92</f>
        <v>-15913.92</v>
      </c>
      <c r="M24" s="260"/>
      <c r="N24" s="260"/>
      <c r="O24" s="260"/>
      <c r="P24" s="260">
        <f>(-675000-SUM(I24:O24)/1.21)*1.21-152500*1.21</f>
        <v>-619336.08000000007</v>
      </c>
      <c r="Q24" s="260">
        <f>-Businessplan_prodej!$F$21*0.5*1.21</f>
        <v>-393250</v>
      </c>
      <c r="R24" s="260">
        <f>-Businessplan_prodej!$F$21*0.5*1.21</f>
        <v>-393250</v>
      </c>
      <c r="S24" s="260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61">
        <f t="shared" ref="BY24:BY25" si="9">SUM(E24:BX24)</f>
        <v>-1787775</v>
      </c>
      <c r="BZ24" s="771"/>
      <c r="CA24" s="226"/>
      <c r="CB24" s="252"/>
      <c r="CC24" s="771"/>
      <c r="CD24" s="226"/>
      <c r="CE24" s="226"/>
      <c r="CF24" s="226"/>
      <c r="CG24" s="242">
        <f>0.11</f>
        <v>0.11</v>
      </c>
    </row>
    <row r="25" spans="1:85" ht="16" outlineLevel="1">
      <c r="A25" s="603"/>
      <c r="B25" s="787"/>
      <c r="C25" s="253" t="s">
        <v>277</v>
      </c>
      <c r="D25" s="258" t="s">
        <v>270</v>
      </c>
      <c r="E25" s="259"/>
      <c r="F25" s="259"/>
      <c r="G25" s="259"/>
      <c r="H25" s="260"/>
      <c r="I25" s="260"/>
      <c r="J25" s="260"/>
      <c r="K25" s="260"/>
      <c r="L25" s="260"/>
      <c r="M25" s="260"/>
      <c r="N25" s="260"/>
      <c r="O25" s="260"/>
      <c r="P25" s="260">
        <f>-Businessplan_prodej!$F$22*1.21</f>
        <v>-103999.5</v>
      </c>
      <c r="Q25" s="260"/>
      <c r="R25" s="260"/>
      <c r="S25" s="260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1">
        <f t="shared" si="9"/>
        <v>-103999.5</v>
      </c>
      <c r="BZ25" s="771"/>
      <c r="CA25" s="226"/>
      <c r="CB25" s="252"/>
      <c r="CC25" s="771"/>
      <c r="CD25" s="226"/>
      <c r="CE25" s="226"/>
      <c r="CF25" s="226"/>
      <c r="CG25" s="262">
        <v>45590</v>
      </c>
    </row>
    <row r="26" spans="1:85" ht="16">
      <c r="A26" s="603"/>
      <c r="B26" s="787"/>
      <c r="C26" s="248" t="s">
        <v>278</v>
      </c>
      <c r="D26" s="249"/>
      <c r="E26" s="250">
        <f t="shared" ref="E26:BX26" si="10">SUM(E27:E33)</f>
        <v>0</v>
      </c>
      <c r="F26" s="250">
        <f t="shared" si="10"/>
        <v>0</v>
      </c>
      <c r="G26" s="250">
        <f t="shared" si="10"/>
        <v>0</v>
      </c>
      <c r="H26" s="250">
        <f t="shared" si="10"/>
        <v>-2420</v>
      </c>
      <c r="I26" s="250">
        <f t="shared" si="10"/>
        <v>-1081909</v>
      </c>
      <c r="J26" s="250">
        <f t="shared" si="10"/>
        <v>0</v>
      </c>
      <c r="K26" s="250">
        <f t="shared" si="10"/>
        <v>0</v>
      </c>
      <c r="L26" s="250">
        <f t="shared" si="10"/>
        <v>-4688041</v>
      </c>
      <c r="M26" s="250">
        <f t="shared" si="10"/>
        <v>-10044501.530000001</v>
      </c>
      <c r="N26" s="250">
        <f t="shared" si="10"/>
        <v>-19919080.57</v>
      </c>
      <c r="O26" s="250">
        <f t="shared" si="10"/>
        <v>-9000862.4199999999</v>
      </c>
      <c r="P26" s="250">
        <f t="shared" si="10"/>
        <v>-9114615.5130000003</v>
      </c>
      <c r="Q26" s="250">
        <f t="shared" si="10"/>
        <v>-6727817.9669999927</v>
      </c>
      <c r="R26" s="250">
        <f t="shared" si="10"/>
        <v>-1500000</v>
      </c>
      <c r="S26" s="250">
        <f t="shared" si="10"/>
        <v>-3214461.25</v>
      </c>
      <c r="T26" s="250">
        <f t="shared" si="10"/>
        <v>-3214461.25</v>
      </c>
      <c r="U26" s="250">
        <f t="shared" si="10"/>
        <v>-3214461.25</v>
      </c>
      <c r="V26" s="250">
        <f t="shared" si="10"/>
        <v>-3214461.25</v>
      </c>
      <c r="W26" s="250">
        <f t="shared" si="10"/>
        <v>-3214461.25</v>
      </c>
      <c r="X26" s="250">
        <f t="shared" si="10"/>
        <v>-3214461.25</v>
      </c>
      <c r="Y26" s="250">
        <f t="shared" si="10"/>
        <v>-3214461.25</v>
      </c>
      <c r="Z26" s="250">
        <f t="shared" si="10"/>
        <v>-3214461.25</v>
      </c>
      <c r="AA26" s="250">
        <f t="shared" si="10"/>
        <v>0</v>
      </c>
      <c r="AB26" s="250">
        <f t="shared" si="10"/>
        <v>0</v>
      </c>
      <c r="AC26" s="250">
        <f t="shared" si="10"/>
        <v>0</v>
      </c>
      <c r="AD26" s="250">
        <f t="shared" si="10"/>
        <v>0</v>
      </c>
      <c r="AE26" s="250">
        <f t="shared" si="10"/>
        <v>0</v>
      </c>
      <c r="AF26" s="250">
        <f t="shared" si="10"/>
        <v>0</v>
      </c>
      <c r="AG26" s="250">
        <f t="shared" si="10"/>
        <v>0</v>
      </c>
      <c r="AH26" s="250">
        <f t="shared" si="10"/>
        <v>0</v>
      </c>
      <c r="AI26" s="250">
        <f t="shared" si="10"/>
        <v>0</v>
      </c>
      <c r="AJ26" s="250">
        <f t="shared" si="10"/>
        <v>0</v>
      </c>
      <c r="AK26" s="250">
        <f t="shared" si="10"/>
        <v>0</v>
      </c>
      <c r="AL26" s="250">
        <f t="shared" si="10"/>
        <v>0</v>
      </c>
      <c r="AM26" s="250">
        <f t="shared" si="10"/>
        <v>0</v>
      </c>
      <c r="AN26" s="250">
        <f t="shared" si="10"/>
        <v>0</v>
      </c>
      <c r="AO26" s="250">
        <f t="shared" si="10"/>
        <v>0</v>
      </c>
      <c r="AP26" s="250">
        <f t="shared" si="10"/>
        <v>0</v>
      </c>
      <c r="AQ26" s="250">
        <f t="shared" si="10"/>
        <v>0</v>
      </c>
      <c r="AR26" s="250">
        <f t="shared" si="10"/>
        <v>0</v>
      </c>
      <c r="AS26" s="250">
        <f t="shared" si="10"/>
        <v>0</v>
      </c>
      <c r="AT26" s="250">
        <f t="shared" si="10"/>
        <v>0</v>
      </c>
      <c r="AU26" s="250">
        <f t="shared" si="10"/>
        <v>0</v>
      </c>
      <c r="AV26" s="250">
        <f t="shared" si="10"/>
        <v>0</v>
      </c>
      <c r="AW26" s="250">
        <f t="shared" si="10"/>
        <v>0</v>
      </c>
      <c r="AX26" s="250">
        <f t="shared" si="10"/>
        <v>0</v>
      </c>
      <c r="AY26" s="250">
        <f t="shared" si="10"/>
        <v>0</v>
      </c>
      <c r="AZ26" s="250">
        <f t="shared" si="10"/>
        <v>0</v>
      </c>
      <c r="BA26" s="250">
        <f t="shared" si="10"/>
        <v>0</v>
      </c>
      <c r="BB26" s="250">
        <f t="shared" si="10"/>
        <v>0</v>
      </c>
      <c r="BC26" s="250">
        <f t="shared" si="10"/>
        <v>0</v>
      </c>
      <c r="BD26" s="250">
        <f t="shared" si="10"/>
        <v>0</v>
      </c>
      <c r="BE26" s="250">
        <f t="shared" si="10"/>
        <v>0</v>
      </c>
      <c r="BF26" s="250">
        <f t="shared" si="10"/>
        <v>0</v>
      </c>
      <c r="BG26" s="250">
        <f t="shared" si="10"/>
        <v>0</v>
      </c>
      <c r="BH26" s="250">
        <f t="shared" si="10"/>
        <v>0</v>
      </c>
      <c r="BI26" s="250">
        <f t="shared" si="10"/>
        <v>0</v>
      </c>
      <c r="BJ26" s="250">
        <f t="shared" si="10"/>
        <v>0</v>
      </c>
      <c r="BK26" s="250">
        <f t="shared" si="10"/>
        <v>0</v>
      </c>
      <c r="BL26" s="250">
        <f t="shared" si="10"/>
        <v>0</v>
      </c>
      <c r="BM26" s="250">
        <f t="shared" si="10"/>
        <v>0</v>
      </c>
      <c r="BN26" s="250">
        <f t="shared" si="10"/>
        <v>0</v>
      </c>
      <c r="BO26" s="250">
        <f t="shared" si="10"/>
        <v>0</v>
      </c>
      <c r="BP26" s="250">
        <f t="shared" si="10"/>
        <v>0</v>
      </c>
      <c r="BQ26" s="250">
        <f t="shared" si="10"/>
        <v>0</v>
      </c>
      <c r="BR26" s="250">
        <f t="shared" si="10"/>
        <v>0</v>
      </c>
      <c r="BS26" s="250">
        <f t="shared" si="10"/>
        <v>0</v>
      </c>
      <c r="BT26" s="250">
        <f t="shared" si="10"/>
        <v>0</v>
      </c>
      <c r="BU26" s="250">
        <f t="shared" si="10"/>
        <v>0</v>
      </c>
      <c r="BV26" s="250">
        <f t="shared" si="10"/>
        <v>0</v>
      </c>
      <c r="BW26" s="250">
        <f t="shared" si="10"/>
        <v>0</v>
      </c>
      <c r="BX26" s="250">
        <f t="shared" si="10"/>
        <v>0</v>
      </c>
      <c r="BY26" s="252">
        <f>SUM(BY27:BY33)</f>
        <v>-87794938</v>
      </c>
      <c r="BZ26" s="771"/>
      <c r="CA26" s="226"/>
      <c r="CB26" s="252"/>
      <c r="CC26" s="771"/>
      <c r="CD26" s="226"/>
      <c r="CE26" s="226"/>
      <c r="CF26" s="226"/>
      <c r="CG26" s="262">
        <v>45991</v>
      </c>
    </row>
    <row r="27" spans="1:85" ht="16" outlineLevel="1">
      <c r="A27" s="603"/>
      <c r="B27" s="787"/>
      <c r="C27" s="253" t="s">
        <v>279</v>
      </c>
      <c r="D27" s="254" t="s">
        <v>270</v>
      </c>
      <c r="E27" s="255"/>
      <c r="F27" s="255"/>
      <c r="G27" s="255"/>
      <c r="H27" s="256"/>
      <c r="I27" s="256"/>
      <c r="J27" s="256"/>
      <c r="K27" s="256"/>
      <c r="L27" s="256">
        <f>-4688041</f>
        <v>-4688041</v>
      </c>
      <c r="M27" s="256">
        <f>-3615000-6429501.53</f>
        <v>-10044501.530000001</v>
      </c>
      <c r="N27" s="256">
        <f>-19909473.57</f>
        <v>-19909473.57</v>
      </c>
      <c r="O27" s="256">
        <f>-8977222.42</f>
        <v>-8977222.4199999999</v>
      </c>
      <c r="P27" s="256">
        <f>-10127350.57*0.9</f>
        <v>-9114615.5130000003</v>
      </c>
      <c r="Q27" s="256">
        <f>-(58593172+SUM($L$27:P27))</f>
        <v>-5859317.9669999927</v>
      </c>
      <c r="R27" s="256">
        <f>-1500000</f>
        <v>-1500000</v>
      </c>
      <c r="S27" s="263">
        <f>-(Businessplan_prodej!$F$31)/8</f>
        <v>-2922237.5</v>
      </c>
      <c r="T27" s="263">
        <f>-(Businessplan_prodej!$F$31)/8</f>
        <v>-2922237.5</v>
      </c>
      <c r="U27" s="263">
        <f>-(Businessplan_prodej!$F$31)/8</f>
        <v>-2922237.5</v>
      </c>
      <c r="V27" s="263">
        <f>-(Businessplan_prodej!$F$31)/8</f>
        <v>-2922237.5</v>
      </c>
      <c r="W27" s="263">
        <f>-(Businessplan_prodej!$F$31)/8</f>
        <v>-2922237.5</v>
      </c>
      <c r="X27" s="263">
        <f>-(Businessplan_prodej!$F$31)/8</f>
        <v>-2922237.5</v>
      </c>
      <c r="Y27" s="256">
        <f>-(Businessplan_prodej!$F$31)/8</f>
        <v>-2922237.5</v>
      </c>
      <c r="Z27" s="256">
        <f>-(Businessplan_prodej!$F$31)/8</f>
        <v>-2922237.5</v>
      </c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64"/>
      <c r="BY27" s="265">
        <f t="shared" ref="BY27:BY33" si="11">SUM(E27:BX27)</f>
        <v>-83471072</v>
      </c>
      <c r="BZ27" s="771"/>
      <c r="CA27" s="226"/>
      <c r="CB27" s="252"/>
      <c r="CC27" s="771"/>
      <c r="CD27" s="226"/>
      <c r="CE27" s="226"/>
      <c r="CF27" s="226"/>
      <c r="CG27" s="226">
        <f>CG26-CG25</f>
        <v>401</v>
      </c>
    </row>
    <row r="28" spans="1:85" ht="16" outlineLevel="1">
      <c r="A28" s="603"/>
      <c r="B28" s="787"/>
      <c r="C28" s="253" t="s">
        <v>280</v>
      </c>
      <c r="D28" s="254" t="s">
        <v>270</v>
      </c>
      <c r="E28" s="255"/>
      <c r="F28" s="255"/>
      <c r="G28" s="255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66">
        <f t="shared" si="11"/>
        <v>0</v>
      </c>
      <c r="BZ28" s="771"/>
      <c r="CA28" s="226"/>
      <c r="CB28" s="252"/>
      <c r="CC28" s="771"/>
      <c r="CD28" s="226"/>
      <c r="CE28" s="226"/>
      <c r="CF28" s="226"/>
      <c r="CG28" s="226"/>
    </row>
    <row r="29" spans="1:85" ht="16" outlineLevel="1">
      <c r="A29" s="603"/>
      <c r="B29" s="787"/>
      <c r="C29" s="253" t="s">
        <v>281</v>
      </c>
      <c r="D29" s="254" t="s">
        <v>270</v>
      </c>
      <c r="E29" s="255"/>
      <c r="F29" s="255"/>
      <c r="G29" s="255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66">
        <f t="shared" si="11"/>
        <v>0</v>
      </c>
      <c r="BZ29" s="771"/>
      <c r="CA29" s="226"/>
      <c r="CB29" s="252"/>
      <c r="CC29" s="771"/>
      <c r="CD29" s="226"/>
      <c r="CE29" s="226"/>
      <c r="CF29" s="226"/>
      <c r="CG29" s="226"/>
    </row>
    <row r="30" spans="1:85" ht="16" outlineLevel="1">
      <c r="A30" s="603"/>
      <c r="B30" s="787"/>
      <c r="C30" s="253" t="s">
        <v>282</v>
      </c>
      <c r="D30" s="254" t="s">
        <v>270</v>
      </c>
      <c r="E30" s="255"/>
      <c r="F30" s="255"/>
      <c r="G30" s="255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>
        <f>-Businessplan_prodej!$F$37*0.5</f>
        <v>0</v>
      </c>
      <c r="T30" s="256">
        <f>-Businessplan_prodej!$F$37*0.3</f>
        <v>0</v>
      </c>
      <c r="U30" s="256">
        <f>-Businessplan_prodej!$F$37*0.2</f>
        <v>0</v>
      </c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66">
        <f t="shared" si="11"/>
        <v>0</v>
      </c>
      <c r="BZ30" s="771"/>
      <c r="CA30" s="226"/>
      <c r="CB30" s="252"/>
      <c r="CC30" s="771"/>
      <c r="CD30" s="226"/>
      <c r="CE30" s="226"/>
      <c r="CF30" s="226"/>
      <c r="CG30" s="226"/>
    </row>
    <row r="31" spans="1:85" ht="16" outlineLevel="1">
      <c r="A31" s="603"/>
      <c r="B31" s="787"/>
      <c r="C31" s="253" t="s">
        <v>283</v>
      </c>
      <c r="D31" s="254" t="s">
        <v>270</v>
      </c>
      <c r="E31" s="255"/>
      <c r="F31" s="255"/>
      <c r="G31" s="255"/>
      <c r="H31" s="256">
        <f>-2420</f>
        <v>-2420</v>
      </c>
      <c r="I31" s="256"/>
      <c r="J31" s="256"/>
      <c r="K31" s="256"/>
      <c r="L31" s="256"/>
      <c r="M31" s="256"/>
      <c r="N31" s="256">
        <f>-500-9107</f>
        <v>-9607</v>
      </c>
      <c r="O31" s="256">
        <f>-18750-2420-2470</f>
        <v>-23640</v>
      </c>
      <c r="P31" s="256"/>
      <c r="Q31" s="256"/>
      <c r="R31" s="256"/>
      <c r="S31" s="256">
        <f>-Businessplan_prodej!$F$38/8</f>
        <v>0</v>
      </c>
      <c r="T31" s="256">
        <f>-Businessplan_prodej!$F$38/8</f>
        <v>0</v>
      </c>
      <c r="U31" s="256">
        <f>-Businessplan_prodej!$F$38/8</f>
        <v>0</v>
      </c>
      <c r="V31" s="256">
        <f>-Businessplan_prodej!$F$38/8</f>
        <v>0</v>
      </c>
      <c r="W31" s="256">
        <f>-Businessplan_prodej!$F$38/8</f>
        <v>0</v>
      </c>
      <c r="X31" s="256">
        <f>-Businessplan_prodej!$F$38/8</f>
        <v>0</v>
      </c>
      <c r="Y31" s="256">
        <f>-Businessplan_prodej!$F$38/8</f>
        <v>0</v>
      </c>
      <c r="Z31" s="256">
        <f>-Businessplan_prodej!$F$38/8</f>
        <v>0</v>
      </c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66">
        <f t="shared" si="11"/>
        <v>-35667</v>
      </c>
      <c r="BZ31" s="771"/>
      <c r="CA31" s="226"/>
      <c r="CB31" s="252"/>
      <c r="CC31" s="771"/>
      <c r="CD31" s="226"/>
      <c r="CE31" s="226"/>
      <c r="CF31" s="226"/>
      <c r="CG31" s="226"/>
    </row>
    <row r="32" spans="1:85" ht="16" outlineLevel="1">
      <c r="A32" s="603"/>
      <c r="B32" s="787"/>
      <c r="C32" s="267" t="s">
        <v>284</v>
      </c>
      <c r="D32" s="254" t="s">
        <v>270</v>
      </c>
      <c r="E32" s="255"/>
      <c r="F32" s="255"/>
      <c r="G32" s="255"/>
      <c r="H32" s="256"/>
      <c r="I32" s="256">
        <f>-1081909</f>
        <v>-1081909</v>
      </c>
      <c r="J32" s="256"/>
      <c r="K32" s="256"/>
      <c r="L32" s="256"/>
      <c r="M32" s="256"/>
      <c r="N32" s="256"/>
      <c r="O32" s="256"/>
      <c r="P32" s="256"/>
      <c r="Q32" s="256">
        <f>-868500</f>
        <v>-868500</v>
      </c>
      <c r="R32" s="256"/>
      <c r="S32" s="256"/>
      <c r="T32" s="256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66">
        <f t="shared" si="11"/>
        <v>-1950409</v>
      </c>
      <c r="BZ32" s="771"/>
      <c r="CA32" s="226"/>
      <c r="CB32" s="252"/>
      <c r="CC32" s="771"/>
      <c r="CD32" s="226"/>
      <c r="CE32" s="226"/>
      <c r="CF32" s="226"/>
      <c r="CG32" s="226"/>
    </row>
    <row r="33" spans="1:81" ht="16" outlineLevel="1">
      <c r="A33" s="603"/>
      <c r="B33" s="787"/>
      <c r="C33" s="253" t="s">
        <v>285</v>
      </c>
      <c r="D33" s="258" t="s">
        <v>270</v>
      </c>
      <c r="E33" s="255"/>
      <c r="F33" s="255"/>
      <c r="G33" s="255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>
        <f>-Businessplan_prodej!$F$41/8</f>
        <v>-292223.75</v>
      </c>
      <c r="T33" s="256">
        <f>-Businessplan_prodej!$F$41/8</f>
        <v>-292223.75</v>
      </c>
      <c r="U33" s="256">
        <f>-Businessplan_prodej!$F$41/8</f>
        <v>-292223.75</v>
      </c>
      <c r="V33" s="256">
        <f>-Businessplan_prodej!$F$41/8</f>
        <v>-292223.75</v>
      </c>
      <c r="W33" s="256">
        <f>-Businessplan_prodej!$F$41/8</f>
        <v>-292223.75</v>
      </c>
      <c r="X33" s="256">
        <f>-Businessplan_prodej!$F$41/8</f>
        <v>-292223.75</v>
      </c>
      <c r="Y33" s="256">
        <f>-Businessplan_prodej!$F$41/8</f>
        <v>-292223.75</v>
      </c>
      <c r="Z33" s="256">
        <f>-Businessplan_prodej!$F$41/8</f>
        <v>-292223.75</v>
      </c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68">
        <f t="shared" si="11"/>
        <v>-2337790</v>
      </c>
      <c r="BZ33" s="771"/>
      <c r="CA33" s="226"/>
      <c r="CB33" s="252"/>
      <c r="CC33" s="771"/>
    </row>
    <row r="34" spans="1:81" ht="16">
      <c r="A34" s="603"/>
      <c r="B34" s="787"/>
      <c r="C34" s="248" t="s">
        <v>286</v>
      </c>
      <c r="D34" s="249"/>
      <c r="E34" s="250">
        <f t="shared" ref="E34:BX34" si="12">SUM(E35:E36)</f>
        <v>0</v>
      </c>
      <c r="F34" s="250">
        <f t="shared" si="12"/>
        <v>0</v>
      </c>
      <c r="G34" s="250">
        <f t="shared" si="12"/>
        <v>0</v>
      </c>
      <c r="H34" s="250">
        <f t="shared" si="12"/>
        <v>0</v>
      </c>
      <c r="I34" s="250">
        <f t="shared" si="12"/>
        <v>0</v>
      </c>
      <c r="J34" s="250">
        <f t="shared" si="12"/>
        <v>0</v>
      </c>
      <c r="K34" s="250">
        <f t="shared" si="12"/>
        <v>0</v>
      </c>
      <c r="L34" s="250">
        <f t="shared" si="12"/>
        <v>0</v>
      </c>
      <c r="M34" s="250">
        <f t="shared" si="12"/>
        <v>0</v>
      </c>
      <c r="N34" s="250">
        <f t="shared" si="12"/>
        <v>0</v>
      </c>
      <c r="O34" s="250">
        <f t="shared" si="12"/>
        <v>0</v>
      </c>
      <c r="P34" s="250">
        <f t="shared" si="12"/>
        <v>0</v>
      </c>
      <c r="Q34" s="250">
        <f t="shared" si="12"/>
        <v>0</v>
      </c>
      <c r="R34" s="250">
        <f t="shared" si="12"/>
        <v>0</v>
      </c>
      <c r="S34" s="250">
        <f t="shared" si="12"/>
        <v>-577762.5</v>
      </c>
      <c r="T34" s="250">
        <f t="shared" si="12"/>
        <v>-577762.5</v>
      </c>
      <c r="U34" s="250">
        <f t="shared" si="12"/>
        <v>-577762.5</v>
      </c>
      <c r="V34" s="250">
        <f t="shared" si="12"/>
        <v>-577762.5</v>
      </c>
      <c r="W34" s="250">
        <f t="shared" si="12"/>
        <v>-577762.5</v>
      </c>
      <c r="X34" s="250">
        <f t="shared" si="12"/>
        <v>-577762.5</v>
      </c>
      <c r="Y34" s="250">
        <f t="shared" si="12"/>
        <v>-577762.5</v>
      </c>
      <c r="Z34" s="250">
        <f t="shared" si="12"/>
        <v>-577762.5</v>
      </c>
      <c r="AA34" s="250">
        <f t="shared" si="12"/>
        <v>0</v>
      </c>
      <c r="AB34" s="250">
        <f t="shared" si="12"/>
        <v>0</v>
      </c>
      <c r="AC34" s="250">
        <f t="shared" si="12"/>
        <v>0</v>
      </c>
      <c r="AD34" s="250">
        <f t="shared" si="12"/>
        <v>0</v>
      </c>
      <c r="AE34" s="250">
        <f t="shared" si="12"/>
        <v>0</v>
      </c>
      <c r="AF34" s="250">
        <f t="shared" si="12"/>
        <v>0</v>
      </c>
      <c r="AG34" s="250">
        <f t="shared" si="12"/>
        <v>0</v>
      </c>
      <c r="AH34" s="250">
        <f t="shared" si="12"/>
        <v>0</v>
      </c>
      <c r="AI34" s="250">
        <f t="shared" si="12"/>
        <v>0</v>
      </c>
      <c r="AJ34" s="250">
        <f t="shared" si="12"/>
        <v>0</v>
      </c>
      <c r="AK34" s="250">
        <f t="shared" si="12"/>
        <v>0</v>
      </c>
      <c r="AL34" s="250">
        <f t="shared" si="12"/>
        <v>0</v>
      </c>
      <c r="AM34" s="250">
        <f t="shared" si="12"/>
        <v>0</v>
      </c>
      <c r="AN34" s="250">
        <f t="shared" si="12"/>
        <v>0</v>
      </c>
      <c r="AO34" s="250">
        <f t="shared" si="12"/>
        <v>0</v>
      </c>
      <c r="AP34" s="250">
        <f t="shared" si="12"/>
        <v>0</v>
      </c>
      <c r="AQ34" s="250">
        <f t="shared" si="12"/>
        <v>0</v>
      </c>
      <c r="AR34" s="250">
        <f t="shared" si="12"/>
        <v>0</v>
      </c>
      <c r="AS34" s="250">
        <f t="shared" si="12"/>
        <v>0</v>
      </c>
      <c r="AT34" s="250">
        <f t="shared" si="12"/>
        <v>0</v>
      </c>
      <c r="AU34" s="250">
        <f t="shared" si="12"/>
        <v>0</v>
      </c>
      <c r="AV34" s="250">
        <f t="shared" si="12"/>
        <v>0</v>
      </c>
      <c r="AW34" s="250">
        <f t="shared" si="12"/>
        <v>0</v>
      </c>
      <c r="AX34" s="250">
        <f t="shared" si="12"/>
        <v>0</v>
      </c>
      <c r="AY34" s="250">
        <f t="shared" si="12"/>
        <v>0</v>
      </c>
      <c r="AZ34" s="250">
        <f t="shared" si="12"/>
        <v>0</v>
      </c>
      <c r="BA34" s="250">
        <f t="shared" si="12"/>
        <v>0</v>
      </c>
      <c r="BB34" s="250">
        <f t="shared" si="12"/>
        <v>0</v>
      </c>
      <c r="BC34" s="250">
        <f t="shared" si="12"/>
        <v>0</v>
      </c>
      <c r="BD34" s="250">
        <f t="shared" si="12"/>
        <v>0</v>
      </c>
      <c r="BE34" s="250">
        <f t="shared" si="12"/>
        <v>0</v>
      </c>
      <c r="BF34" s="250">
        <f t="shared" si="12"/>
        <v>0</v>
      </c>
      <c r="BG34" s="250">
        <f t="shared" si="12"/>
        <v>0</v>
      </c>
      <c r="BH34" s="250">
        <f t="shared" si="12"/>
        <v>0</v>
      </c>
      <c r="BI34" s="250">
        <f t="shared" si="12"/>
        <v>0</v>
      </c>
      <c r="BJ34" s="250">
        <f t="shared" si="12"/>
        <v>0</v>
      </c>
      <c r="BK34" s="250">
        <f t="shared" si="12"/>
        <v>0</v>
      </c>
      <c r="BL34" s="250">
        <f t="shared" si="12"/>
        <v>0</v>
      </c>
      <c r="BM34" s="250">
        <f t="shared" si="12"/>
        <v>0</v>
      </c>
      <c r="BN34" s="250">
        <f t="shared" si="12"/>
        <v>0</v>
      </c>
      <c r="BO34" s="250">
        <f t="shared" si="12"/>
        <v>0</v>
      </c>
      <c r="BP34" s="250">
        <f t="shared" si="12"/>
        <v>0</v>
      </c>
      <c r="BQ34" s="250">
        <f t="shared" si="12"/>
        <v>0</v>
      </c>
      <c r="BR34" s="250">
        <f t="shared" si="12"/>
        <v>0</v>
      </c>
      <c r="BS34" s="250">
        <f t="shared" si="12"/>
        <v>0</v>
      </c>
      <c r="BT34" s="250">
        <f t="shared" si="12"/>
        <v>0</v>
      </c>
      <c r="BU34" s="250">
        <f t="shared" si="12"/>
        <v>0</v>
      </c>
      <c r="BV34" s="250">
        <f t="shared" si="12"/>
        <v>0</v>
      </c>
      <c r="BW34" s="250">
        <f t="shared" si="12"/>
        <v>0</v>
      </c>
      <c r="BX34" s="250">
        <f t="shared" si="12"/>
        <v>0</v>
      </c>
      <c r="BY34" s="252">
        <f>SUM(BY35:BY36)</f>
        <v>-4622100</v>
      </c>
      <c r="BZ34" s="771"/>
      <c r="CA34" s="226"/>
      <c r="CB34" s="252"/>
      <c r="CC34" s="771"/>
    </row>
    <row r="35" spans="1:81" ht="16" outlineLevel="1">
      <c r="A35" s="603"/>
      <c r="B35" s="787"/>
      <c r="C35" s="253" t="s">
        <v>287</v>
      </c>
      <c r="D35" s="254" t="s">
        <v>270</v>
      </c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460">
        <f>-Businessplan_prodej!$C$51/8</f>
        <v>-577762.5</v>
      </c>
      <c r="T35" s="460">
        <f>-Businessplan_prodej!$C$51/8</f>
        <v>-577762.5</v>
      </c>
      <c r="U35" s="460">
        <f>-Businessplan_prodej!$C$51/8</f>
        <v>-577762.5</v>
      </c>
      <c r="V35" s="460">
        <f>-Businessplan_prodej!$C$51/8</f>
        <v>-577762.5</v>
      </c>
      <c r="W35" s="460">
        <f>-Businessplan_prodej!$C$51/8</f>
        <v>-577762.5</v>
      </c>
      <c r="X35" s="460">
        <f>-Businessplan_prodej!$C$51/8</f>
        <v>-577762.5</v>
      </c>
      <c r="Y35" s="270">
        <f>-Businessplan_prodej!$C$51/8</f>
        <v>-577762.5</v>
      </c>
      <c r="Z35" s="270">
        <f>-Businessplan_prodej!$C$51/8</f>
        <v>-577762.5</v>
      </c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64"/>
      <c r="BY35" s="265">
        <f t="shared" ref="BY35:BY36" si="13">SUM(E35:BX35)</f>
        <v>-4622100</v>
      </c>
      <c r="BZ35" s="771"/>
      <c r="CA35" s="226"/>
      <c r="CB35" s="252"/>
      <c r="CC35" s="771"/>
    </row>
    <row r="36" spans="1:81" ht="16" outlineLevel="1">
      <c r="A36" s="603"/>
      <c r="B36" s="787"/>
      <c r="C36" s="253" t="s">
        <v>288</v>
      </c>
      <c r="D36" s="258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70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68">
        <f t="shared" si="13"/>
        <v>0</v>
      </c>
      <c r="BZ36" s="771"/>
      <c r="CA36" s="226"/>
      <c r="CB36" s="252"/>
      <c r="CC36" s="771"/>
    </row>
    <row r="37" spans="1:81" ht="16">
      <c r="A37" s="603"/>
      <c r="B37" s="787"/>
      <c r="C37" s="248" t="s">
        <v>289</v>
      </c>
      <c r="D37" s="249"/>
      <c r="E37" s="250">
        <f t="shared" ref="E37:G37" si="14">SUM(E38:E48)</f>
        <v>0</v>
      </c>
      <c r="F37" s="250">
        <f t="shared" si="14"/>
        <v>0</v>
      </c>
      <c r="G37" s="250">
        <f t="shared" si="14"/>
        <v>0</v>
      </c>
      <c r="H37" s="250">
        <f t="shared" ref="H37:BM37" si="15">SUM(H38:H41,H42,H45,H46:H48)</f>
        <v>-113225.2</v>
      </c>
      <c r="I37" s="250">
        <f t="shared" si="15"/>
        <v>-414970</v>
      </c>
      <c r="J37" s="250">
        <f t="shared" si="15"/>
        <v>-1007845.81</v>
      </c>
      <c r="K37" s="250">
        <f t="shared" si="15"/>
        <v>-901583.60700000008</v>
      </c>
      <c r="L37" s="250">
        <f t="shared" si="15"/>
        <v>-332396.81</v>
      </c>
      <c r="M37" s="250">
        <f t="shared" si="15"/>
        <v>-666968.62</v>
      </c>
      <c r="N37" s="250">
        <f t="shared" si="15"/>
        <v>-25339</v>
      </c>
      <c r="O37" s="250">
        <f t="shared" si="15"/>
        <v>-744252.62</v>
      </c>
      <c r="P37" s="250">
        <f t="shared" si="15"/>
        <v>-343445.64333333331</v>
      </c>
      <c r="Q37" s="250">
        <f t="shared" si="15"/>
        <v>-211291.37475000002</v>
      </c>
      <c r="R37" s="250">
        <f t="shared" si="15"/>
        <v>-619526.47375</v>
      </c>
      <c r="S37" s="250">
        <f t="shared" si="15"/>
        <v>-722445.66016249987</v>
      </c>
      <c r="T37" s="250">
        <f t="shared" si="15"/>
        <v>-293782.23975000001</v>
      </c>
      <c r="U37" s="250">
        <f t="shared" si="15"/>
        <v>-264335.31475000002</v>
      </c>
      <c r="V37" s="250">
        <f t="shared" si="15"/>
        <v>-264335.31475000002</v>
      </c>
      <c r="W37" s="250">
        <f t="shared" si="15"/>
        <v>-264335.31475000002</v>
      </c>
      <c r="X37" s="250">
        <f t="shared" si="15"/>
        <v>-264335.31475000002</v>
      </c>
      <c r="Y37" s="250">
        <f t="shared" si="15"/>
        <v>-264335.31475000002</v>
      </c>
      <c r="Z37" s="250">
        <f t="shared" si="15"/>
        <v>-851892.58516249992</v>
      </c>
      <c r="AA37" s="250">
        <f t="shared" si="15"/>
        <v>-14235</v>
      </c>
      <c r="AB37" s="250">
        <f t="shared" si="15"/>
        <v>0</v>
      </c>
      <c r="AC37" s="250">
        <f t="shared" si="15"/>
        <v>0</v>
      </c>
      <c r="AD37" s="250">
        <f t="shared" si="15"/>
        <v>0</v>
      </c>
      <c r="AE37" s="250">
        <f t="shared" si="15"/>
        <v>0</v>
      </c>
      <c r="AF37" s="250">
        <f t="shared" si="15"/>
        <v>0</v>
      </c>
      <c r="AG37" s="250">
        <f t="shared" si="15"/>
        <v>0</v>
      </c>
      <c r="AH37" s="250">
        <f t="shared" si="15"/>
        <v>0</v>
      </c>
      <c r="AI37" s="250">
        <f t="shared" si="15"/>
        <v>0</v>
      </c>
      <c r="AJ37" s="250">
        <f t="shared" si="15"/>
        <v>0</v>
      </c>
      <c r="AK37" s="250">
        <f t="shared" si="15"/>
        <v>0</v>
      </c>
      <c r="AL37" s="250">
        <f t="shared" si="15"/>
        <v>0</v>
      </c>
      <c r="AM37" s="250">
        <f t="shared" si="15"/>
        <v>0</v>
      </c>
      <c r="AN37" s="250">
        <f t="shared" si="15"/>
        <v>0</v>
      </c>
      <c r="AO37" s="250">
        <f t="shared" si="15"/>
        <v>0</v>
      </c>
      <c r="AP37" s="250">
        <f t="shared" si="15"/>
        <v>0</v>
      </c>
      <c r="AQ37" s="250">
        <f t="shared" si="15"/>
        <v>0</v>
      </c>
      <c r="AR37" s="250">
        <f t="shared" si="15"/>
        <v>0</v>
      </c>
      <c r="AS37" s="250">
        <f t="shared" si="15"/>
        <v>0</v>
      </c>
      <c r="AT37" s="250">
        <f t="shared" si="15"/>
        <v>0</v>
      </c>
      <c r="AU37" s="250">
        <f t="shared" si="15"/>
        <v>0</v>
      </c>
      <c r="AV37" s="250">
        <f t="shared" si="15"/>
        <v>0</v>
      </c>
      <c r="AW37" s="250">
        <f t="shared" si="15"/>
        <v>0</v>
      </c>
      <c r="AX37" s="250">
        <f t="shared" si="15"/>
        <v>0</v>
      </c>
      <c r="AY37" s="250">
        <f t="shared" si="15"/>
        <v>0</v>
      </c>
      <c r="AZ37" s="250">
        <f t="shared" si="15"/>
        <v>0</v>
      </c>
      <c r="BA37" s="250">
        <f t="shared" si="15"/>
        <v>0</v>
      </c>
      <c r="BB37" s="250">
        <f t="shared" si="15"/>
        <v>0</v>
      </c>
      <c r="BC37" s="250">
        <f t="shared" si="15"/>
        <v>0</v>
      </c>
      <c r="BD37" s="250">
        <f t="shared" si="15"/>
        <v>0</v>
      </c>
      <c r="BE37" s="250">
        <f t="shared" si="15"/>
        <v>0</v>
      </c>
      <c r="BF37" s="250">
        <f t="shared" si="15"/>
        <v>0</v>
      </c>
      <c r="BG37" s="250">
        <f t="shared" si="15"/>
        <v>0</v>
      </c>
      <c r="BH37" s="250">
        <f t="shared" si="15"/>
        <v>0</v>
      </c>
      <c r="BI37" s="250">
        <f t="shared" si="15"/>
        <v>0</v>
      </c>
      <c r="BJ37" s="250">
        <f t="shared" si="15"/>
        <v>0</v>
      </c>
      <c r="BK37" s="250">
        <f t="shared" si="15"/>
        <v>0</v>
      </c>
      <c r="BL37" s="250">
        <f t="shared" si="15"/>
        <v>0</v>
      </c>
      <c r="BM37" s="250">
        <f t="shared" si="15"/>
        <v>0</v>
      </c>
      <c r="BN37" s="250">
        <f t="shared" ref="BN37:BX37" si="16">SUM(BN38:BN48)</f>
        <v>0</v>
      </c>
      <c r="BO37" s="250">
        <f t="shared" si="16"/>
        <v>0</v>
      </c>
      <c r="BP37" s="250">
        <f t="shared" si="16"/>
        <v>0</v>
      </c>
      <c r="BQ37" s="250">
        <f t="shared" si="16"/>
        <v>0</v>
      </c>
      <c r="BR37" s="250">
        <f t="shared" si="16"/>
        <v>0</v>
      </c>
      <c r="BS37" s="250">
        <f t="shared" si="16"/>
        <v>0</v>
      </c>
      <c r="BT37" s="250">
        <f t="shared" si="16"/>
        <v>0</v>
      </c>
      <c r="BU37" s="250">
        <f t="shared" si="16"/>
        <v>0</v>
      </c>
      <c r="BV37" s="250">
        <f t="shared" si="16"/>
        <v>0</v>
      </c>
      <c r="BW37" s="250">
        <f t="shared" si="16"/>
        <v>0</v>
      </c>
      <c r="BX37" s="250">
        <f t="shared" si="16"/>
        <v>0</v>
      </c>
      <c r="BY37" s="252">
        <f>SUM(BY38:BY48)</f>
        <v>-9047863.2176583335</v>
      </c>
      <c r="BZ37" s="771"/>
      <c r="CA37" s="226"/>
      <c r="CB37" s="252"/>
      <c r="CC37" s="771"/>
    </row>
    <row r="38" spans="1:81" ht="16" outlineLevel="1">
      <c r="A38" s="603"/>
      <c r="B38" s="787"/>
      <c r="C38" s="267" t="s">
        <v>216</v>
      </c>
      <c r="D38" s="254" t="s">
        <v>270</v>
      </c>
      <c r="E38" s="259"/>
      <c r="F38" s="259"/>
      <c r="G38" s="259"/>
      <c r="H38" s="260"/>
      <c r="I38" s="260">
        <f>-400000</f>
        <v>-400000</v>
      </c>
      <c r="J38" s="260">
        <f>-661353-(23520+28160+192281+20000)*1.21</f>
        <v>-980745.81</v>
      </c>
      <c r="K38" s="260"/>
      <c r="L38" s="260">
        <f>-(23520+28160+192281+20000)*1.21</f>
        <v>-319392.81</v>
      </c>
      <c r="M38" s="260">
        <f>-(23520+28160+192281+20000)*1.21-(23520+28160+192281+20000)*1.21</f>
        <v>-638785.62</v>
      </c>
      <c r="N38" s="260"/>
      <c r="O38" s="260">
        <f>-(23520+28160+192281+20000)*1.21*2</f>
        <v>-638785.62</v>
      </c>
      <c r="P38" s="260">
        <f>-(23520+28160+192281+20000)*1.21</f>
        <v>-319392.81</v>
      </c>
      <c r="Q38" s="260">
        <f>-Businessplan_prodej!$F$78/10*1.21</f>
        <v>-91620.564750000005</v>
      </c>
      <c r="R38" s="461">
        <f>-Businessplan_prodej!$F$78/10*1.21</f>
        <v>-91620.564750000005</v>
      </c>
      <c r="S38" s="461">
        <f>-Businessplan_prodej!$F$78/10*1.21</f>
        <v>-91620.564750000005</v>
      </c>
      <c r="T38" s="461">
        <f>-Businessplan_prodej!$F$78/10*1.21</f>
        <v>-91620.564750000005</v>
      </c>
      <c r="U38" s="461">
        <f>-Businessplan_prodej!$F$78/10*1.21</f>
        <v>-91620.564750000005</v>
      </c>
      <c r="V38" s="461">
        <f>-Businessplan_prodej!$F$78/10*1.21</f>
        <v>-91620.564750000005</v>
      </c>
      <c r="W38" s="461">
        <f>-Businessplan_prodej!$F$78/10*1.21</f>
        <v>-91620.564750000005</v>
      </c>
      <c r="X38" s="461">
        <f>-Businessplan_prodej!$F$78/10*1.21</f>
        <v>-91620.564750000005</v>
      </c>
      <c r="Y38" s="461">
        <f>-Businessplan_prodej!$F$78/10*1.21</f>
        <v>-91620.564750000005</v>
      </c>
      <c r="Z38" s="461">
        <f>-Businessplan_prodej!$F$78/10*1.21</f>
        <v>-91620.564750000005</v>
      </c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71"/>
      <c r="BY38" s="265">
        <f t="shared" ref="BY38:BY48" si="17">SUM(E38:BX38)</f>
        <v>-4213308.3174999999</v>
      </c>
      <c r="BZ38" s="771"/>
      <c r="CA38" s="226"/>
      <c r="CB38" s="252"/>
      <c r="CC38" s="771"/>
    </row>
    <row r="39" spans="1:81" ht="16" outlineLevel="1">
      <c r="A39" s="603"/>
      <c r="B39" s="787"/>
      <c r="C39" s="267" t="s">
        <v>217</v>
      </c>
      <c r="D39" s="254" t="s">
        <v>270</v>
      </c>
      <c r="E39" s="259"/>
      <c r="F39" s="259"/>
      <c r="G39" s="259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461">
        <f>-100000*1.21</f>
        <v>-121000</v>
      </c>
      <c r="S39" s="461">
        <f>-Businessplan_prodej!$F$82/8*1.21</f>
        <v>-139119.75</v>
      </c>
      <c r="T39" s="461">
        <f>-Businessplan_prodej!$F$82/8*1.21</f>
        <v>-139119.75</v>
      </c>
      <c r="U39" s="461">
        <f>-Businessplan_prodej!$F$82/8*1.21</f>
        <v>-139119.75</v>
      </c>
      <c r="V39" s="461">
        <f>-Businessplan_prodej!$F$82/8*1.21</f>
        <v>-139119.75</v>
      </c>
      <c r="W39" s="461">
        <f>-Businessplan_prodej!$F$82/8*1.21</f>
        <v>-139119.75</v>
      </c>
      <c r="X39" s="461">
        <f>-Businessplan_prodej!$F$82/8*1.21</f>
        <v>-139119.75</v>
      </c>
      <c r="Y39" s="461">
        <f>-Businessplan_prodej!$F$82/8*1.21</f>
        <v>-139119.75</v>
      </c>
      <c r="Z39" s="461">
        <f>-Businessplan_prodej!$F$82/8*1.21</f>
        <v>-139119.75</v>
      </c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66">
        <f t="shared" si="17"/>
        <v>-1233958</v>
      </c>
      <c r="BZ39" s="771"/>
      <c r="CA39" s="226"/>
      <c r="CB39" s="252"/>
      <c r="CC39" s="771"/>
    </row>
    <row r="40" spans="1:81" ht="16" outlineLevel="1">
      <c r="A40" s="603"/>
      <c r="B40" s="787"/>
      <c r="C40" s="267" t="s">
        <v>218</v>
      </c>
      <c r="D40" s="254" t="s">
        <v>270</v>
      </c>
      <c r="E40" s="259"/>
      <c r="F40" s="259"/>
      <c r="G40" s="259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72"/>
      <c r="T40" s="260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66">
        <f t="shared" si="17"/>
        <v>0</v>
      </c>
      <c r="BZ40" s="771"/>
      <c r="CA40" s="226"/>
      <c r="CB40" s="252"/>
      <c r="CC40" s="771"/>
    </row>
    <row r="41" spans="1:81" ht="16" outlineLevel="1">
      <c r="A41" s="603"/>
      <c r="B41" s="787"/>
      <c r="C41" s="267" t="s">
        <v>222</v>
      </c>
      <c r="D41" s="254" t="s">
        <v>270</v>
      </c>
      <c r="E41" s="259"/>
      <c r="F41" s="259"/>
      <c r="G41" s="259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72">
        <f>-Businessplan_prodej!$F$87/9*1.21</f>
        <v>0</v>
      </c>
      <c r="S41" s="272">
        <f>-Businessplan_prodej!$F$87/9*1.21</f>
        <v>0</v>
      </c>
      <c r="T41" s="272">
        <f>-Businessplan_prodej!$F$87/9*1.21</f>
        <v>0</v>
      </c>
      <c r="U41" s="272">
        <f>-Businessplan_prodej!$F$87/9*1.21</f>
        <v>0</v>
      </c>
      <c r="V41" s="272">
        <f>-Businessplan_prodej!$F$87/9*1.21</f>
        <v>0</v>
      </c>
      <c r="W41" s="272">
        <f>-Businessplan_prodej!$F$87/9*1.21</f>
        <v>0</v>
      </c>
      <c r="X41" s="272">
        <f>-Businessplan_prodej!$F$87/9*1.21</f>
        <v>0</v>
      </c>
      <c r="Y41" s="272">
        <f>-Businessplan_prodej!$F$87/9*1.21</f>
        <v>0</v>
      </c>
      <c r="Z41" s="272">
        <f>-Businessplan_prodej!$F$87/9*1.21</f>
        <v>0</v>
      </c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66">
        <f t="shared" si="17"/>
        <v>0</v>
      </c>
      <c r="BZ41" s="771"/>
      <c r="CA41" s="226"/>
      <c r="CB41" s="252"/>
      <c r="CC41" s="771"/>
    </row>
    <row r="42" spans="1:81" ht="16" outlineLevel="1">
      <c r="A42" s="603"/>
      <c r="B42" s="787"/>
      <c r="C42" s="253" t="s">
        <v>223</v>
      </c>
      <c r="D42" s="273" t="s">
        <v>270</v>
      </c>
      <c r="E42" s="274"/>
      <c r="F42" s="275"/>
      <c r="G42" s="275"/>
      <c r="H42" s="275">
        <f t="shared" ref="H42:AA42" si="18">SUM(H43:H44)</f>
        <v>-36364</v>
      </c>
      <c r="I42" s="275">
        <f t="shared" si="18"/>
        <v>-8194</v>
      </c>
      <c r="J42" s="275">
        <f t="shared" si="18"/>
        <v>-27000</v>
      </c>
      <c r="K42" s="275">
        <f t="shared" si="18"/>
        <v>-7113</v>
      </c>
      <c r="L42" s="275">
        <f t="shared" si="18"/>
        <v>-5262</v>
      </c>
      <c r="M42" s="275">
        <f t="shared" si="18"/>
        <v>-3613</v>
      </c>
      <c r="N42" s="275">
        <f t="shared" si="18"/>
        <v>-3999</v>
      </c>
      <c r="O42" s="275">
        <f t="shared" si="18"/>
        <v>-6441</v>
      </c>
      <c r="P42" s="275">
        <f t="shared" si="18"/>
        <v>-5000</v>
      </c>
      <c r="Q42" s="275">
        <f t="shared" si="18"/>
        <v>-85000</v>
      </c>
      <c r="R42" s="275">
        <f t="shared" si="18"/>
        <v>-85000</v>
      </c>
      <c r="S42" s="275">
        <f t="shared" si="18"/>
        <v>-10000</v>
      </c>
      <c r="T42" s="275">
        <f t="shared" si="18"/>
        <v>-10000</v>
      </c>
      <c r="U42" s="275">
        <f t="shared" si="18"/>
        <v>-10000</v>
      </c>
      <c r="V42" s="275">
        <f t="shared" si="18"/>
        <v>-10000</v>
      </c>
      <c r="W42" s="275">
        <f t="shared" si="18"/>
        <v>-10000</v>
      </c>
      <c r="X42" s="275">
        <f t="shared" si="18"/>
        <v>-10000</v>
      </c>
      <c r="Y42" s="275">
        <f t="shared" si="18"/>
        <v>-10000</v>
      </c>
      <c r="Z42" s="275">
        <f t="shared" si="18"/>
        <v>-110000</v>
      </c>
      <c r="AA42" s="275">
        <f t="shared" si="18"/>
        <v>-10000</v>
      </c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6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64"/>
      <c r="BY42" s="266">
        <f t="shared" si="17"/>
        <v>-462986</v>
      </c>
      <c r="BZ42" s="771"/>
      <c r="CA42" s="226"/>
      <c r="CB42" s="252"/>
      <c r="CC42" s="771"/>
    </row>
    <row r="43" spans="1:81" ht="16" outlineLevel="2">
      <c r="A43" s="603"/>
      <c r="B43" s="787"/>
      <c r="C43" s="277" t="s">
        <v>290</v>
      </c>
      <c r="D43" s="254" t="s">
        <v>270</v>
      </c>
      <c r="E43" s="255"/>
      <c r="F43" s="255"/>
      <c r="G43" s="255"/>
      <c r="H43" s="278">
        <f>-11364</f>
        <v>-11364</v>
      </c>
      <c r="I43" s="278">
        <f>-8194</f>
        <v>-8194</v>
      </c>
      <c r="J43" s="278"/>
      <c r="K43" s="278">
        <f>-3219-3894</f>
        <v>-7113</v>
      </c>
      <c r="L43" s="278">
        <f>-5262</f>
        <v>-5262</v>
      </c>
      <c r="M43" s="278">
        <f>-3613</f>
        <v>-3613</v>
      </c>
      <c r="N43" s="278">
        <f>-3999</f>
        <v>-3999</v>
      </c>
      <c r="O43" s="278">
        <f>-6441</f>
        <v>-6441</v>
      </c>
      <c r="P43" s="278">
        <f>-5000</f>
        <v>-5000</v>
      </c>
      <c r="Q43" s="278">
        <f>-(Businessplan_prodej!$F$88-3000*25)/11</f>
        <v>-10000</v>
      </c>
      <c r="R43" s="278">
        <f>-(Businessplan_prodej!$F$88-3000*25)/11</f>
        <v>-10000</v>
      </c>
      <c r="S43" s="278">
        <f>-(Businessplan_prodej!$F$88-3000*25)/11</f>
        <v>-10000</v>
      </c>
      <c r="T43" s="278">
        <f>-(Businessplan_prodej!$F$88-3000*25)/11</f>
        <v>-10000</v>
      </c>
      <c r="U43" s="278">
        <f>-(Businessplan_prodej!$F$88-3000*25)/11</f>
        <v>-10000</v>
      </c>
      <c r="V43" s="278">
        <f>-(Businessplan_prodej!$F$88-3000*25)/11</f>
        <v>-10000</v>
      </c>
      <c r="W43" s="278">
        <f>-(Businessplan_prodej!$F$88-3000*25)/11</f>
        <v>-10000</v>
      </c>
      <c r="X43" s="278">
        <f>-(Businessplan_prodej!$F$88-3000*25)/11</f>
        <v>-10000</v>
      </c>
      <c r="Y43" s="278">
        <f>-(Businessplan_prodej!$F$88-3000*25)/11</f>
        <v>-10000</v>
      </c>
      <c r="Z43" s="278">
        <f>-(Businessplan_prodej!$F$88-3000*25)/11</f>
        <v>-10000</v>
      </c>
      <c r="AA43" s="278">
        <f>-(Businessplan_prodej!$F$88-3000*25)/11</f>
        <v>-10000</v>
      </c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66">
        <f t="shared" si="17"/>
        <v>-160986</v>
      </c>
      <c r="BZ43" s="771"/>
      <c r="CA43" s="226"/>
      <c r="CB43" s="252"/>
      <c r="CC43" s="771"/>
    </row>
    <row r="44" spans="1:81" ht="16" outlineLevel="2">
      <c r="A44" s="603"/>
      <c r="B44" s="787"/>
      <c r="C44" s="277" t="s">
        <v>291</v>
      </c>
      <c r="D44" s="254" t="s">
        <v>270</v>
      </c>
      <c r="E44" s="255"/>
      <c r="F44" s="255"/>
      <c r="G44" s="255"/>
      <c r="H44" s="278">
        <f>-25000</f>
        <v>-25000</v>
      </c>
      <c r="I44" s="278"/>
      <c r="J44" s="278">
        <f>-27000</f>
        <v>-27000</v>
      </c>
      <c r="K44" s="278"/>
      <c r="L44" s="278"/>
      <c r="M44" s="278"/>
      <c r="N44" s="278"/>
      <c r="O44" s="278"/>
      <c r="P44" s="278"/>
      <c r="Q44" s="278">
        <f t="shared" ref="Q44:R44" si="19">-3000*25</f>
        <v>-75000</v>
      </c>
      <c r="R44" s="278">
        <f t="shared" si="19"/>
        <v>-75000</v>
      </c>
      <c r="S44" s="278"/>
      <c r="T44" s="278"/>
      <c r="U44" s="278"/>
      <c r="V44" s="278"/>
      <c r="W44" s="278"/>
      <c r="X44" s="278"/>
      <c r="Y44" s="278"/>
      <c r="Z44" s="278">
        <f>-50000*2</f>
        <v>-100000</v>
      </c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278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66">
        <f t="shared" si="17"/>
        <v>-302000</v>
      </c>
      <c r="BZ44" s="771"/>
      <c r="CA44" s="226"/>
      <c r="CB44" s="252"/>
      <c r="CC44" s="771"/>
    </row>
    <row r="45" spans="1:81" ht="16" outlineLevel="1">
      <c r="A45" s="603"/>
      <c r="B45" s="787"/>
      <c r="C45" s="253" t="s">
        <v>224</v>
      </c>
      <c r="D45" s="254" t="s">
        <v>270</v>
      </c>
      <c r="E45" s="255"/>
      <c r="F45" s="255"/>
      <c r="G45" s="255"/>
      <c r="H45" s="256">
        <f>-1000</f>
        <v>-1000</v>
      </c>
      <c r="I45" s="256"/>
      <c r="J45" s="256">
        <f>-100</f>
        <v>-100</v>
      </c>
      <c r="K45" s="256">
        <f>-7230</f>
        <v>-7230</v>
      </c>
      <c r="L45" s="256">
        <f>-1000-6742</f>
        <v>-7742</v>
      </c>
      <c r="M45" s="256">
        <f>-2000-20570-2000</f>
        <v>-24570</v>
      </c>
      <c r="N45" s="256">
        <f>-19360-1980</f>
        <v>-21340</v>
      </c>
      <c r="O45" s="256">
        <f>-7865-7000-19360-21780-43021</f>
        <v>-99026</v>
      </c>
      <c r="P45" s="256">
        <f>-Businessplan_prodej!$F$68/12*1.21</f>
        <v>-19052.833333333336</v>
      </c>
      <c r="Q45" s="256">
        <f t="shared" ref="Q45:R45" si="20">-3500*1.21</f>
        <v>-4235</v>
      </c>
      <c r="R45" s="256">
        <f t="shared" si="20"/>
        <v>-4235</v>
      </c>
      <c r="S45" s="256">
        <f t="shared" ref="S45:Z45" si="21">-3500*1.21-19360</f>
        <v>-23595</v>
      </c>
      <c r="T45" s="256">
        <f t="shared" si="21"/>
        <v>-23595</v>
      </c>
      <c r="U45" s="256">
        <f t="shared" si="21"/>
        <v>-23595</v>
      </c>
      <c r="V45" s="256">
        <f t="shared" si="21"/>
        <v>-23595</v>
      </c>
      <c r="W45" s="256">
        <f t="shared" si="21"/>
        <v>-23595</v>
      </c>
      <c r="X45" s="256">
        <f t="shared" si="21"/>
        <v>-23595</v>
      </c>
      <c r="Y45" s="256">
        <f t="shared" si="21"/>
        <v>-23595</v>
      </c>
      <c r="Z45" s="256">
        <f t="shared" si="21"/>
        <v>-23595</v>
      </c>
      <c r="AA45" s="256">
        <f>-3500*1.21</f>
        <v>-4235</v>
      </c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66">
        <f t="shared" si="17"/>
        <v>-381525.83333333337</v>
      </c>
      <c r="BZ45" s="771"/>
      <c r="CA45" s="226"/>
      <c r="CB45" s="252"/>
      <c r="CC45" s="771"/>
    </row>
    <row r="46" spans="1:81" ht="14.25" customHeight="1" outlineLevel="1">
      <c r="A46" s="603"/>
      <c r="B46" s="787"/>
      <c r="C46" s="253" t="s">
        <v>225</v>
      </c>
      <c r="D46" s="254" t="s">
        <v>270</v>
      </c>
      <c r="E46" s="255"/>
      <c r="F46" s="255"/>
      <c r="G46" s="255"/>
      <c r="H46" s="256">
        <f>-10188.2-65673</f>
        <v>-75861.2</v>
      </c>
      <c r="I46" s="256">
        <f>-6776</f>
        <v>-6776</v>
      </c>
      <c r="J46" s="256"/>
      <c r="K46" s="256">
        <f>-4900.5</f>
        <v>-4900.5</v>
      </c>
      <c r="L46" s="256"/>
      <c r="M46" s="256"/>
      <c r="N46" s="256"/>
      <c r="O46" s="256"/>
      <c r="P46" s="256"/>
      <c r="Q46" s="256">
        <f>-Businessplan_prodej!$F$69*0.3*1.21-$K$46</f>
        <v>-30435.809999999998</v>
      </c>
      <c r="R46" s="256">
        <f>-Businessplan_prodej!$F$69*0.2*1.21</f>
        <v>-23557.54</v>
      </c>
      <c r="S46" s="256"/>
      <c r="T46" s="256">
        <f>-Businessplan_prodej!$F$69*0.25*1.21</f>
        <v>-29446.924999999999</v>
      </c>
      <c r="U46" s="255"/>
      <c r="V46" s="255"/>
      <c r="W46" s="255"/>
      <c r="X46" s="255"/>
      <c r="Y46" s="255"/>
      <c r="Z46" s="256">
        <f>-Businessplan_prodej!$F$69*0.25*1.21</f>
        <v>-29446.924999999999</v>
      </c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66">
        <f t="shared" si="17"/>
        <v>-200424.89999999997</v>
      </c>
      <c r="BZ46" s="771"/>
      <c r="CA46" s="226"/>
      <c r="CB46" s="252"/>
      <c r="CC46" s="771"/>
    </row>
    <row r="47" spans="1:81" ht="14.25" customHeight="1" outlineLevel="1">
      <c r="A47" s="603"/>
      <c r="B47" s="787"/>
      <c r="C47" s="253" t="s">
        <v>226</v>
      </c>
      <c r="D47" s="254" t="s">
        <v>270</v>
      </c>
      <c r="E47" s="255"/>
      <c r="F47" s="255"/>
      <c r="G47" s="255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>
        <f>-Businessplan_prodej!$F$91*0.2*1.21</f>
        <v>0</v>
      </c>
      <c r="T47" s="256"/>
      <c r="U47" s="255"/>
      <c r="V47" s="255"/>
      <c r="W47" s="256">
        <f>-Businessplan_prodej!$F$91*0.3*1.21</f>
        <v>0</v>
      </c>
      <c r="X47" s="255"/>
      <c r="Y47" s="256">
        <f>-Businessplan_prodej!$F$91*0.5*1.21</f>
        <v>0</v>
      </c>
      <c r="Z47" s="256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5"/>
      <c r="BS47" s="255"/>
      <c r="BT47" s="255"/>
      <c r="BU47" s="255"/>
      <c r="BV47" s="255"/>
      <c r="BW47" s="255"/>
      <c r="BX47" s="264"/>
      <c r="BY47" s="266">
        <f t="shared" si="17"/>
        <v>0</v>
      </c>
      <c r="BZ47" s="771"/>
      <c r="CA47" s="226"/>
      <c r="CB47" s="252"/>
      <c r="CC47" s="771"/>
    </row>
    <row r="48" spans="1:81" ht="14.25" customHeight="1" outlineLevel="1">
      <c r="A48" s="603"/>
      <c r="B48" s="787"/>
      <c r="C48" s="253" t="s">
        <v>227</v>
      </c>
      <c r="D48" s="258" t="s">
        <v>270</v>
      </c>
      <c r="E48" s="255"/>
      <c r="F48" s="255"/>
      <c r="G48" s="255"/>
      <c r="H48" s="256"/>
      <c r="I48" s="256"/>
      <c r="J48" s="256"/>
      <c r="K48" s="256">
        <f>-((17529*2*25.2+44407*2)*1.21)*75%</f>
        <v>-882340.10700000008</v>
      </c>
      <c r="L48" s="256"/>
      <c r="M48" s="256"/>
      <c r="N48" s="256"/>
      <c r="O48" s="256"/>
      <c r="P48" s="256"/>
      <c r="Q48" s="256"/>
      <c r="R48" s="256">
        <f>-((17529*2*25.2+44407*2)*1.21)*25%</f>
        <v>-294113.36900000001</v>
      </c>
      <c r="S48" s="256">
        <f>-Businessplan_prodej!$F$92*0.5*1.21</f>
        <v>-458110.34541249991</v>
      </c>
      <c r="T48" s="256"/>
      <c r="U48" s="255"/>
      <c r="V48" s="255"/>
      <c r="W48" s="255"/>
      <c r="X48" s="255"/>
      <c r="Y48" s="255"/>
      <c r="Z48" s="256">
        <f>-Businessplan_prodej!$F$92*0.5*1.21</f>
        <v>-458110.34541249991</v>
      </c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66">
        <f t="shared" si="17"/>
        <v>-2092674.166825</v>
      </c>
      <c r="BZ48" s="771"/>
      <c r="CA48" s="226"/>
      <c r="CB48" s="252"/>
      <c r="CC48" s="771"/>
    </row>
    <row r="49" spans="1:87" ht="16" collapsed="1">
      <c r="A49" s="603"/>
      <c r="B49" s="787"/>
      <c r="C49" s="248" t="s">
        <v>292</v>
      </c>
      <c r="D49" s="249"/>
      <c r="E49" s="250">
        <f t="shared" ref="E49:BX49" si="22">SUM(E50:E54)</f>
        <v>0</v>
      </c>
      <c r="F49" s="250">
        <f t="shared" si="22"/>
        <v>0</v>
      </c>
      <c r="G49" s="250">
        <f t="shared" si="22"/>
        <v>0</v>
      </c>
      <c r="H49" s="250">
        <f t="shared" si="22"/>
        <v>-1442.155</v>
      </c>
      <c r="I49" s="250">
        <f t="shared" si="22"/>
        <v>-4792.1949999999997</v>
      </c>
      <c r="J49" s="250">
        <f t="shared" si="22"/>
        <v>-1444.855</v>
      </c>
      <c r="K49" s="250">
        <f t="shared" si="22"/>
        <v>-1290.27</v>
      </c>
      <c r="L49" s="250">
        <f t="shared" si="22"/>
        <v>-1842.35</v>
      </c>
      <c r="M49" s="250">
        <f t="shared" si="22"/>
        <v>-1088.2900000000002</v>
      </c>
      <c r="N49" s="250">
        <f t="shared" si="22"/>
        <v>-1844.5900000000001</v>
      </c>
      <c r="O49" s="250">
        <f t="shared" si="22"/>
        <v>-3360</v>
      </c>
      <c r="P49" s="250">
        <f t="shared" si="22"/>
        <v>-1290.27</v>
      </c>
      <c r="Q49" s="250">
        <f t="shared" si="22"/>
        <v>-1290.27</v>
      </c>
      <c r="R49" s="250">
        <f t="shared" si="22"/>
        <v>-1290.27</v>
      </c>
      <c r="S49" s="250">
        <f t="shared" si="22"/>
        <v>-1290.27</v>
      </c>
      <c r="T49" s="250">
        <f t="shared" si="22"/>
        <v>-1290.27</v>
      </c>
      <c r="U49" s="250">
        <f t="shared" si="22"/>
        <v>-1290.27</v>
      </c>
      <c r="V49" s="250">
        <f t="shared" si="22"/>
        <v>-1290.27</v>
      </c>
      <c r="W49" s="250">
        <f t="shared" si="22"/>
        <v>-1290.27</v>
      </c>
      <c r="X49" s="250">
        <f t="shared" si="22"/>
        <v>-1290.27</v>
      </c>
      <c r="Y49" s="250">
        <f t="shared" si="22"/>
        <v>-1290.27</v>
      </c>
      <c r="Z49" s="250">
        <f t="shared" si="22"/>
        <v>-1290.27</v>
      </c>
      <c r="AA49" s="250">
        <f t="shared" si="22"/>
        <v>-1290.27</v>
      </c>
      <c r="AB49" s="250">
        <f t="shared" si="22"/>
        <v>0</v>
      </c>
      <c r="AC49" s="250">
        <f t="shared" si="22"/>
        <v>0</v>
      </c>
      <c r="AD49" s="250">
        <f t="shared" si="22"/>
        <v>0</v>
      </c>
      <c r="AE49" s="250">
        <f t="shared" si="22"/>
        <v>0</v>
      </c>
      <c r="AF49" s="250">
        <f t="shared" si="22"/>
        <v>0</v>
      </c>
      <c r="AG49" s="250">
        <f t="shared" si="22"/>
        <v>0</v>
      </c>
      <c r="AH49" s="250">
        <f t="shared" si="22"/>
        <v>0</v>
      </c>
      <c r="AI49" s="250">
        <f t="shared" si="22"/>
        <v>0</v>
      </c>
      <c r="AJ49" s="250">
        <f t="shared" si="22"/>
        <v>0</v>
      </c>
      <c r="AK49" s="250">
        <f t="shared" si="22"/>
        <v>0</v>
      </c>
      <c r="AL49" s="250">
        <f t="shared" si="22"/>
        <v>0</v>
      </c>
      <c r="AM49" s="250">
        <f t="shared" si="22"/>
        <v>0</v>
      </c>
      <c r="AN49" s="250">
        <f t="shared" si="22"/>
        <v>0</v>
      </c>
      <c r="AO49" s="250">
        <f t="shared" si="22"/>
        <v>0</v>
      </c>
      <c r="AP49" s="250">
        <f t="shared" si="22"/>
        <v>0</v>
      </c>
      <c r="AQ49" s="250">
        <f t="shared" si="22"/>
        <v>0</v>
      </c>
      <c r="AR49" s="250">
        <f t="shared" si="22"/>
        <v>0</v>
      </c>
      <c r="AS49" s="250">
        <f t="shared" si="22"/>
        <v>0</v>
      </c>
      <c r="AT49" s="250">
        <f t="shared" si="22"/>
        <v>0</v>
      </c>
      <c r="AU49" s="250">
        <f t="shared" si="22"/>
        <v>0</v>
      </c>
      <c r="AV49" s="250">
        <f t="shared" si="22"/>
        <v>0</v>
      </c>
      <c r="AW49" s="250">
        <f t="shared" si="22"/>
        <v>0</v>
      </c>
      <c r="AX49" s="250">
        <f t="shared" si="22"/>
        <v>0</v>
      </c>
      <c r="AY49" s="250">
        <f t="shared" si="22"/>
        <v>0</v>
      </c>
      <c r="AZ49" s="250">
        <f t="shared" si="22"/>
        <v>0</v>
      </c>
      <c r="BA49" s="250">
        <f t="shared" si="22"/>
        <v>0</v>
      </c>
      <c r="BB49" s="250">
        <f t="shared" si="22"/>
        <v>0</v>
      </c>
      <c r="BC49" s="250">
        <f t="shared" si="22"/>
        <v>0</v>
      </c>
      <c r="BD49" s="250">
        <f t="shared" si="22"/>
        <v>0</v>
      </c>
      <c r="BE49" s="250">
        <f t="shared" si="22"/>
        <v>0</v>
      </c>
      <c r="BF49" s="250">
        <f t="shared" si="22"/>
        <v>0</v>
      </c>
      <c r="BG49" s="250">
        <f t="shared" si="22"/>
        <v>0</v>
      </c>
      <c r="BH49" s="250">
        <f t="shared" si="22"/>
        <v>0</v>
      </c>
      <c r="BI49" s="250">
        <f t="shared" si="22"/>
        <v>0</v>
      </c>
      <c r="BJ49" s="250">
        <f t="shared" si="22"/>
        <v>0</v>
      </c>
      <c r="BK49" s="250">
        <f t="shared" si="22"/>
        <v>0</v>
      </c>
      <c r="BL49" s="250">
        <f t="shared" si="22"/>
        <v>0</v>
      </c>
      <c r="BM49" s="250">
        <f t="shared" si="22"/>
        <v>0</v>
      </c>
      <c r="BN49" s="250">
        <f t="shared" si="22"/>
        <v>0</v>
      </c>
      <c r="BO49" s="250">
        <f t="shared" si="22"/>
        <v>0</v>
      </c>
      <c r="BP49" s="250">
        <f t="shared" si="22"/>
        <v>0</v>
      </c>
      <c r="BQ49" s="250">
        <f t="shared" si="22"/>
        <v>0</v>
      </c>
      <c r="BR49" s="250">
        <f t="shared" si="22"/>
        <v>0</v>
      </c>
      <c r="BS49" s="250">
        <f t="shared" si="22"/>
        <v>0</v>
      </c>
      <c r="BT49" s="250">
        <f t="shared" si="22"/>
        <v>0</v>
      </c>
      <c r="BU49" s="250">
        <f t="shared" si="22"/>
        <v>0</v>
      </c>
      <c r="BV49" s="250">
        <f t="shared" si="22"/>
        <v>0</v>
      </c>
      <c r="BW49" s="250">
        <f t="shared" si="22"/>
        <v>0</v>
      </c>
      <c r="BX49" s="250">
        <f t="shared" si="22"/>
        <v>0</v>
      </c>
      <c r="BY49" s="252">
        <f>SUM(BY50:BY54)</f>
        <v>-32587.945000000007</v>
      </c>
      <c r="BZ49" s="771"/>
      <c r="CA49" s="226"/>
      <c r="CB49" s="252"/>
      <c r="CC49" s="771"/>
      <c r="CD49" s="226"/>
      <c r="CE49" s="226"/>
      <c r="CF49" s="226"/>
      <c r="CG49" s="226"/>
      <c r="CH49" s="226"/>
      <c r="CI49" s="226"/>
    </row>
    <row r="50" spans="1:87" ht="16" hidden="1" outlineLevel="1">
      <c r="A50" s="603"/>
      <c r="B50" s="787"/>
      <c r="C50" s="253" t="s">
        <v>229</v>
      </c>
      <c r="D50" s="254" t="s">
        <v>270</v>
      </c>
      <c r="E50" s="255"/>
      <c r="F50" s="255"/>
      <c r="G50" s="255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64"/>
      <c r="BY50" s="265">
        <f t="shared" ref="BY50:BY54" si="23">SUM(E50:BX50)</f>
        <v>0</v>
      </c>
      <c r="BZ50" s="771"/>
      <c r="CA50" s="226"/>
      <c r="CB50" s="252"/>
      <c r="CC50" s="771"/>
      <c r="CD50" s="226"/>
      <c r="CE50" s="226"/>
      <c r="CF50" s="226"/>
      <c r="CG50" s="226"/>
      <c r="CH50" s="226"/>
      <c r="CI50" s="226"/>
    </row>
    <row r="51" spans="1:87" ht="16" hidden="1" outlineLevel="1">
      <c r="A51" s="603"/>
      <c r="B51" s="787"/>
      <c r="C51" s="253" t="s">
        <v>293</v>
      </c>
      <c r="D51" s="254" t="s">
        <v>270</v>
      </c>
      <c r="E51" s="255"/>
      <c r="F51" s="255"/>
      <c r="G51" s="255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65">
        <f t="shared" si="23"/>
        <v>0</v>
      </c>
      <c r="BZ51" s="771"/>
      <c r="CA51" s="226"/>
      <c r="CB51" s="252"/>
      <c r="CC51" s="771"/>
      <c r="CD51" s="226"/>
      <c r="CE51" s="226"/>
      <c r="CF51" s="226"/>
      <c r="CG51" s="226"/>
      <c r="CH51" s="226"/>
      <c r="CI51" s="226"/>
    </row>
    <row r="52" spans="1:87" ht="16" hidden="1" outlineLevel="1">
      <c r="A52" s="603"/>
      <c r="B52" s="787"/>
      <c r="C52" s="253" t="s">
        <v>294</v>
      </c>
      <c r="D52" s="254" t="s">
        <v>270</v>
      </c>
      <c r="E52" s="255"/>
      <c r="F52" s="255"/>
      <c r="G52" s="255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65">
        <f t="shared" si="23"/>
        <v>0</v>
      </c>
      <c r="BZ52" s="771"/>
      <c r="CA52" s="226"/>
      <c r="CB52" s="252"/>
      <c r="CC52" s="771"/>
      <c r="CD52" s="226"/>
      <c r="CE52" s="226"/>
      <c r="CF52" s="226"/>
      <c r="CG52" s="226"/>
      <c r="CH52" s="226"/>
      <c r="CI52" s="226"/>
    </row>
    <row r="53" spans="1:87" ht="16" hidden="1" outlineLevel="1">
      <c r="A53" s="603"/>
      <c r="B53" s="787"/>
      <c r="C53" s="253" t="s">
        <v>236</v>
      </c>
      <c r="D53" s="254" t="s">
        <v>270</v>
      </c>
      <c r="E53" s="255"/>
      <c r="F53" s="255"/>
      <c r="G53" s="255"/>
      <c r="H53" s="256">
        <f>-3-12-5-200-2-12-400-36-(0.02+0.09+0.21+17.06)*22-15.91*24.5</f>
        <v>-1442.155</v>
      </c>
      <c r="I53" s="256">
        <f>-6-5-200-12-400-24-2-16.19*24.5-17.57*22</f>
        <v>-1432.1949999999999</v>
      </c>
      <c r="J53" s="256">
        <f>-3-32-5-6-200-15-400-2-(0.01+0.08+15.98+0.2)*24.5-(0.02+0.09+0.21+17.1)*22</f>
        <v>-1444.855</v>
      </c>
      <c r="K53" s="256">
        <f>-20-12-3-200-2-400-10-2-10.9*24.5-17.01*22</f>
        <v>-1290.27</v>
      </c>
      <c r="L53" s="256">
        <f>-12-4-6-200-15-400-24-400-15.98*24.5-17.72*22</f>
        <v>-1842.35</v>
      </c>
      <c r="M53" s="256">
        <f>-40-200-15-2-12-400-10-2-400.11-(0.01+0.08+0.2+15.89)*25-(0.03-0.09-17.78-0.22)*22</f>
        <v>-1088.2900000000002</v>
      </c>
      <c r="N53" s="256">
        <f>-9-9-5-200-400-24-3-399.88-15.79*25-18.18*22</f>
        <v>-1844.5900000000001</v>
      </c>
      <c r="O53" s="256"/>
      <c r="P53" s="256">
        <f t="shared" ref="P53:AA53" si="24">-20-12-3-200-2-400-10-2-10.9*24.5-17.01*22</f>
        <v>-1290.27</v>
      </c>
      <c r="Q53" s="256">
        <f t="shared" si="24"/>
        <v>-1290.27</v>
      </c>
      <c r="R53" s="256">
        <f t="shared" si="24"/>
        <v>-1290.27</v>
      </c>
      <c r="S53" s="256">
        <f t="shared" si="24"/>
        <v>-1290.27</v>
      </c>
      <c r="T53" s="256">
        <f t="shared" si="24"/>
        <v>-1290.27</v>
      </c>
      <c r="U53" s="256">
        <f t="shared" si="24"/>
        <v>-1290.27</v>
      </c>
      <c r="V53" s="256">
        <f t="shared" si="24"/>
        <v>-1290.27</v>
      </c>
      <c r="W53" s="256">
        <f t="shared" si="24"/>
        <v>-1290.27</v>
      </c>
      <c r="X53" s="256">
        <f t="shared" si="24"/>
        <v>-1290.27</v>
      </c>
      <c r="Y53" s="256">
        <f t="shared" si="24"/>
        <v>-1290.27</v>
      </c>
      <c r="Z53" s="256">
        <f t="shared" si="24"/>
        <v>-1290.27</v>
      </c>
      <c r="AA53" s="256">
        <f t="shared" si="24"/>
        <v>-1290.27</v>
      </c>
      <c r="AB53" s="255"/>
      <c r="AC53" s="255"/>
      <c r="AD53" s="255"/>
      <c r="AE53" s="255"/>
      <c r="AF53" s="255"/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  <c r="AT53" s="255"/>
      <c r="AU53" s="255"/>
      <c r="AV53" s="255"/>
      <c r="AW53" s="255"/>
      <c r="AX53" s="255"/>
      <c r="AY53" s="255"/>
      <c r="AZ53" s="255"/>
      <c r="BA53" s="255"/>
      <c r="BB53" s="255"/>
      <c r="BC53" s="255"/>
      <c r="BD53" s="255"/>
      <c r="BE53" s="255"/>
      <c r="BF53" s="255"/>
      <c r="BG53" s="255"/>
      <c r="BH53" s="255"/>
      <c r="BI53" s="255"/>
      <c r="BJ53" s="255"/>
      <c r="BK53" s="255"/>
      <c r="BL53" s="255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64"/>
      <c r="BY53" s="266">
        <f t="shared" si="23"/>
        <v>-25867.945000000007</v>
      </c>
      <c r="BZ53" s="771"/>
      <c r="CA53" s="226"/>
      <c r="CB53" s="252"/>
      <c r="CC53" s="771"/>
      <c r="CD53" s="226"/>
      <c r="CE53" s="226"/>
      <c r="CF53" s="226"/>
      <c r="CG53" s="226"/>
      <c r="CH53" s="226"/>
      <c r="CI53" s="226"/>
    </row>
    <row r="54" spans="1:87" ht="16" hidden="1" outlineLevel="1">
      <c r="A54" s="603"/>
      <c r="B54" s="787"/>
      <c r="C54" s="253" t="s">
        <v>237</v>
      </c>
      <c r="D54" s="258" t="s">
        <v>270</v>
      </c>
      <c r="E54" s="259"/>
      <c r="F54" s="259"/>
      <c r="G54" s="255"/>
      <c r="H54" s="256"/>
      <c r="I54" s="256">
        <f>-3360</f>
        <v>-3360</v>
      </c>
      <c r="J54" s="256"/>
      <c r="K54" s="256"/>
      <c r="L54" s="256"/>
      <c r="M54" s="256"/>
      <c r="N54" s="256"/>
      <c r="O54" s="256">
        <f>-3360</f>
        <v>-3360</v>
      </c>
      <c r="P54" s="256"/>
      <c r="Q54" s="256"/>
      <c r="R54" s="256"/>
      <c r="S54" s="256"/>
      <c r="T54" s="256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55"/>
      <c r="BN54" s="255"/>
      <c r="BO54" s="255"/>
      <c r="BP54" s="255"/>
      <c r="BQ54" s="255"/>
      <c r="BR54" s="255"/>
      <c r="BS54" s="255"/>
      <c r="BT54" s="255"/>
      <c r="BU54" s="255"/>
      <c r="BV54" s="255"/>
      <c r="BW54" s="255"/>
      <c r="BX54" s="264"/>
      <c r="BY54" s="268">
        <f t="shared" si="23"/>
        <v>-6720</v>
      </c>
      <c r="BZ54" s="771"/>
      <c r="CA54" s="226"/>
      <c r="CB54" s="252"/>
      <c r="CC54" s="771"/>
      <c r="CD54" s="226"/>
      <c r="CE54" s="226"/>
      <c r="CF54" s="226"/>
      <c r="CG54" s="226"/>
      <c r="CH54" s="226"/>
      <c r="CI54" s="226"/>
    </row>
    <row r="55" spans="1:87" ht="16">
      <c r="A55" s="603"/>
      <c r="B55" s="787"/>
      <c r="C55" s="248" t="s">
        <v>295</v>
      </c>
      <c r="D55" s="249"/>
      <c r="E55" s="250">
        <f t="shared" ref="E55:BX55" si="25">SUM(E56:E62)</f>
        <v>0</v>
      </c>
      <c r="F55" s="250">
        <f t="shared" si="25"/>
        <v>0</v>
      </c>
      <c r="G55" s="250">
        <f t="shared" si="25"/>
        <v>0</v>
      </c>
      <c r="H55" s="250">
        <f t="shared" si="25"/>
        <v>0</v>
      </c>
      <c r="I55" s="250">
        <f t="shared" si="25"/>
        <v>0</v>
      </c>
      <c r="J55" s="250">
        <f t="shared" si="25"/>
        <v>0</v>
      </c>
      <c r="K55" s="250">
        <f t="shared" si="25"/>
        <v>0</v>
      </c>
      <c r="L55" s="250">
        <f t="shared" si="25"/>
        <v>0</v>
      </c>
      <c r="M55" s="250">
        <f t="shared" si="25"/>
        <v>-48944.520000000004</v>
      </c>
      <c r="N55" s="250">
        <f t="shared" si="25"/>
        <v>-123582.04</v>
      </c>
      <c r="O55" s="250">
        <f t="shared" si="25"/>
        <v>-10395.44</v>
      </c>
      <c r="P55" s="250">
        <f t="shared" si="25"/>
        <v>-280000.00000000006</v>
      </c>
      <c r="Q55" s="250">
        <f t="shared" si="25"/>
        <v>-300416.66666666674</v>
      </c>
      <c r="R55" s="250">
        <f t="shared" si="25"/>
        <v>-300416.66666666674</v>
      </c>
      <c r="S55" s="250">
        <f t="shared" si="25"/>
        <v>-259583.3333333334</v>
      </c>
      <c r="T55" s="250">
        <f t="shared" si="25"/>
        <v>-259583.3333333334</v>
      </c>
      <c r="U55" s="250">
        <f t="shared" si="25"/>
        <v>-259583.3333333334</v>
      </c>
      <c r="V55" s="250">
        <f t="shared" si="25"/>
        <v>-284471.33333333337</v>
      </c>
      <c r="W55" s="250">
        <f t="shared" si="25"/>
        <v>-309359.33333333337</v>
      </c>
      <c r="X55" s="250">
        <f t="shared" si="25"/>
        <v>-334247.33333333337</v>
      </c>
      <c r="Y55" s="250">
        <f t="shared" si="25"/>
        <v>-359135.33333333337</v>
      </c>
      <c r="Z55" s="250">
        <f t="shared" si="25"/>
        <v>-384023.33333333337</v>
      </c>
      <c r="AA55" s="250">
        <f t="shared" si="25"/>
        <v>-4897635.1161278533</v>
      </c>
      <c r="AB55" s="250">
        <f t="shared" si="25"/>
        <v>0</v>
      </c>
      <c r="AC55" s="250">
        <f t="shared" si="25"/>
        <v>0</v>
      </c>
      <c r="AD55" s="250">
        <f t="shared" si="25"/>
        <v>0</v>
      </c>
      <c r="AE55" s="250">
        <f t="shared" si="25"/>
        <v>0</v>
      </c>
      <c r="AF55" s="250">
        <f t="shared" si="25"/>
        <v>0</v>
      </c>
      <c r="AG55" s="250">
        <f t="shared" si="25"/>
        <v>0</v>
      </c>
      <c r="AH55" s="250">
        <f t="shared" si="25"/>
        <v>0</v>
      </c>
      <c r="AI55" s="250">
        <f t="shared" si="25"/>
        <v>0</v>
      </c>
      <c r="AJ55" s="250">
        <f t="shared" si="25"/>
        <v>0</v>
      </c>
      <c r="AK55" s="250">
        <f t="shared" si="25"/>
        <v>0</v>
      </c>
      <c r="AL55" s="250">
        <f t="shared" si="25"/>
        <v>0</v>
      </c>
      <c r="AM55" s="250">
        <f t="shared" si="25"/>
        <v>0</v>
      </c>
      <c r="AN55" s="250">
        <f t="shared" si="25"/>
        <v>0</v>
      </c>
      <c r="AO55" s="250">
        <f t="shared" si="25"/>
        <v>0</v>
      </c>
      <c r="AP55" s="250">
        <f t="shared" si="25"/>
        <v>0</v>
      </c>
      <c r="AQ55" s="250">
        <f t="shared" si="25"/>
        <v>0</v>
      </c>
      <c r="AR55" s="250">
        <f t="shared" si="25"/>
        <v>0</v>
      </c>
      <c r="AS55" s="250">
        <f t="shared" si="25"/>
        <v>0</v>
      </c>
      <c r="AT55" s="250">
        <f t="shared" si="25"/>
        <v>0</v>
      </c>
      <c r="AU55" s="250">
        <f t="shared" si="25"/>
        <v>0</v>
      </c>
      <c r="AV55" s="250">
        <f t="shared" si="25"/>
        <v>0</v>
      </c>
      <c r="AW55" s="250">
        <f t="shared" si="25"/>
        <v>0</v>
      </c>
      <c r="AX55" s="250">
        <f t="shared" si="25"/>
        <v>0</v>
      </c>
      <c r="AY55" s="250">
        <f t="shared" si="25"/>
        <v>0</v>
      </c>
      <c r="AZ55" s="250">
        <f t="shared" si="25"/>
        <v>0</v>
      </c>
      <c r="BA55" s="250">
        <f t="shared" si="25"/>
        <v>0</v>
      </c>
      <c r="BB55" s="250">
        <f t="shared" si="25"/>
        <v>0</v>
      </c>
      <c r="BC55" s="250">
        <f t="shared" si="25"/>
        <v>0</v>
      </c>
      <c r="BD55" s="250">
        <f t="shared" si="25"/>
        <v>0</v>
      </c>
      <c r="BE55" s="250">
        <f t="shared" si="25"/>
        <v>0</v>
      </c>
      <c r="BF55" s="250">
        <f t="shared" si="25"/>
        <v>0</v>
      </c>
      <c r="BG55" s="250">
        <f t="shared" si="25"/>
        <v>0</v>
      </c>
      <c r="BH55" s="250">
        <f t="shared" si="25"/>
        <v>0</v>
      </c>
      <c r="BI55" s="250">
        <f t="shared" si="25"/>
        <v>0</v>
      </c>
      <c r="BJ55" s="250">
        <f t="shared" si="25"/>
        <v>0</v>
      </c>
      <c r="BK55" s="250">
        <f t="shared" si="25"/>
        <v>0</v>
      </c>
      <c r="BL55" s="250">
        <f t="shared" si="25"/>
        <v>0</v>
      </c>
      <c r="BM55" s="250">
        <f t="shared" si="25"/>
        <v>0</v>
      </c>
      <c r="BN55" s="250">
        <f t="shared" si="25"/>
        <v>0</v>
      </c>
      <c r="BO55" s="250">
        <f t="shared" si="25"/>
        <v>0</v>
      </c>
      <c r="BP55" s="250">
        <f t="shared" si="25"/>
        <v>0</v>
      </c>
      <c r="BQ55" s="250">
        <f t="shared" si="25"/>
        <v>0</v>
      </c>
      <c r="BR55" s="250">
        <f t="shared" si="25"/>
        <v>0</v>
      </c>
      <c r="BS55" s="250">
        <f t="shared" si="25"/>
        <v>0</v>
      </c>
      <c r="BT55" s="250">
        <f t="shared" si="25"/>
        <v>0</v>
      </c>
      <c r="BU55" s="250">
        <f t="shared" si="25"/>
        <v>0</v>
      </c>
      <c r="BV55" s="250">
        <f t="shared" si="25"/>
        <v>0</v>
      </c>
      <c r="BW55" s="250">
        <f t="shared" si="25"/>
        <v>0</v>
      </c>
      <c r="BX55" s="250">
        <f t="shared" si="25"/>
        <v>0</v>
      </c>
      <c r="BY55" s="252">
        <f>SUM(BY56:BY62)</f>
        <v>-8411377.1161278561</v>
      </c>
      <c r="BZ55" s="771"/>
      <c r="CA55" s="226"/>
      <c r="CB55" s="252"/>
      <c r="CC55" s="771"/>
      <c r="CD55" s="226"/>
      <c r="CE55" s="226"/>
      <c r="CF55" s="226"/>
      <c r="CG55" s="226"/>
      <c r="CH55" s="226"/>
      <c r="CI55" s="226"/>
    </row>
    <row r="56" spans="1:87" ht="16" outlineLevel="1">
      <c r="A56" s="603"/>
      <c r="B56" s="787"/>
      <c r="C56" s="253" t="s">
        <v>296</v>
      </c>
      <c r="D56" s="279">
        <v>0</v>
      </c>
      <c r="E56" s="255"/>
      <c r="F56" s="255"/>
      <c r="G56" s="255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5"/>
      <c r="V56" s="255"/>
      <c r="W56" s="255"/>
      <c r="X56" s="255"/>
      <c r="Y56" s="255"/>
      <c r="Z56" s="255"/>
      <c r="AA56" s="269">
        <f>-BY5*D57/365*CG27</f>
        <v>-1977699.2827945205</v>
      </c>
      <c r="AB56" s="255"/>
      <c r="AC56" s="255"/>
      <c r="AD56" s="255"/>
      <c r="AE56" s="255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80">
        <f t="shared" ref="BY56:BY62" si="26">SUM(E56:BX56)</f>
        <v>-1977699.2827945205</v>
      </c>
      <c r="BZ56" s="771"/>
      <c r="CA56" s="226"/>
      <c r="CB56" s="252"/>
      <c r="CC56" s="771"/>
      <c r="CD56" s="226"/>
      <c r="CE56" s="226"/>
      <c r="CF56" s="226"/>
      <c r="CG56" s="226"/>
      <c r="CH56" s="226"/>
      <c r="CI56" s="226"/>
    </row>
    <row r="57" spans="1:87" ht="16" outlineLevel="1">
      <c r="A57" s="603"/>
      <c r="B57" s="787"/>
      <c r="C57" s="253" t="s">
        <v>297</v>
      </c>
      <c r="D57" s="279">
        <v>0.11</v>
      </c>
      <c r="E57" s="255"/>
      <c r="F57" s="255"/>
      <c r="G57" s="255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5"/>
      <c r="V57" s="255"/>
      <c r="W57" s="255"/>
      <c r="X57" s="255"/>
      <c r="Y57" s="255"/>
      <c r="Z57" s="255"/>
      <c r="AA57" s="269">
        <f>-SUM(' Interest Calc Cash-flow Plan v'!E8:E23)-' Interest Calc Cash-flow Plan v'!E23</f>
        <v>-2535912.5</v>
      </c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80">
        <f t="shared" si="26"/>
        <v>-2535912.5</v>
      </c>
      <c r="BZ57" s="771"/>
      <c r="CA57" s="226"/>
      <c r="CB57" s="252"/>
      <c r="CC57" s="771"/>
      <c r="CD57" s="226"/>
      <c r="CE57" s="226"/>
      <c r="CF57" s="226"/>
      <c r="CG57" s="226"/>
      <c r="CH57" s="226"/>
      <c r="CI57" s="226"/>
    </row>
    <row r="58" spans="1:87" ht="16" outlineLevel="1">
      <c r="A58" s="603"/>
      <c r="B58" s="787"/>
      <c r="C58" s="253" t="s">
        <v>298</v>
      </c>
      <c r="D58" s="279">
        <v>0.11</v>
      </c>
      <c r="E58" s="255"/>
      <c r="F58" s="255"/>
      <c r="G58" s="255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80">
        <f t="shared" si="26"/>
        <v>0</v>
      </c>
      <c r="BZ58" s="771"/>
      <c r="CA58" s="226"/>
      <c r="CB58" s="252"/>
      <c r="CC58" s="771"/>
      <c r="CD58" s="226"/>
      <c r="CE58" s="226"/>
      <c r="CF58" s="226"/>
      <c r="CG58" s="226"/>
      <c r="CH58" s="226"/>
      <c r="CI58" s="226"/>
    </row>
    <row r="59" spans="1:87" ht="16" outlineLevel="1">
      <c r="A59" s="603"/>
      <c r="B59" s="787"/>
      <c r="C59" s="253" t="s">
        <v>299</v>
      </c>
      <c r="D59" s="279">
        <v>0.105</v>
      </c>
      <c r="E59" s="255"/>
      <c r="F59" s="255"/>
      <c r="G59" s="255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81">
        <f t="shared" si="26"/>
        <v>0</v>
      </c>
      <c r="BZ59" s="771"/>
      <c r="CA59" s="226"/>
      <c r="CB59" s="252"/>
      <c r="CC59" s="771"/>
      <c r="CD59" s="226"/>
      <c r="CE59" s="226"/>
      <c r="CF59" s="226"/>
      <c r="CG59" s="226"/>
      <c r="CH59" s="226"/>
      <c r="CI59" s="226"/>
    </row>
    <row r="60" spans="1:87" ht="16" outlineLevel="1">
      <c r="A60" s="603"/>
      <c r="B60" s="787"/>
      <c r="C60" s="253" t="s">
        <v>300</v>
      </c>
      <c r="D60" s="279">
        <v>0.15</v>
      </c>
      <c r="E60" s="255"/>
      <c r="F60" s="255"/>
      <c r="G60" s="255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5"/>
      <c r="AL60" s="255"/>
      <c r="AM60" s="255"/>
      <c r="AN60" s="255"/>
      <c r="AO60" s="255"/>
      <c r="AP60" s="255"/>
      <c r="AQ60" s="255"/>
      <c r="AR60" s="255"/>
      <c r="AS60" s="255"/>
      <c r="AT60" s="255"/>
      <c r="AU60" s="255"/>
      <c r="AV60" s="255"/>
      <c r="AW60" s="255"/>
      <c r="AX60" s="255"/>
      <c r="AY60" s="255"/>
      <c r="AZ60" s="255"/>
      <c r="BA60" s="255"/>
      <c r="BB60" s="255"/>
      <c r="BC60" s="255"/>
      <c r="BD60" s="255"/>
      <c r="BE60" s="255"/>
      <c r="BF60" s="255"/>
      <c r="BG60" s="255"/>
      <c r="BH60" s="255"/>
      <c r="BI60" s="255"/>
      <c r="BJ60" s="255"/>
      <c r="BK60" s="255"/>
      <c r="BL60" s="255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82">
        <f t="shared" si="26"/>
        <v>0</v>
      </c>
      <c r="BZ60" s="771"/>
      <c r="CA60" s="226"/>
      <c r="CB60" s="252"/>
      <c r="CC60" s="771"/>
      <c r="CD60" s="226"/>
      <c r="CE60" s="226"/>
      <c r="CF60" s="226"/>
      <c r="CG60" s="226"/>
      <c r="CH60" s="226"/>
      <c r="CI60" s="226"/>
    </row>
    <row r="61" spans="1:87" ht="16" outlineLevel="1">
      <c r="A61" s="603"/>
      <c r="B61" s="787"/>
      <c r="C61" s="253" t="s">
        <v>301</v>
      </c>
      <c r="D61" s="283">
        <v>6.1199999999999997E-2</v>
      </c>
      <c r="E61" s="259"/>
      <c r="F61" s="259"/>
      <c r="G61" s="259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>
        <f>-U10*D61/12</f>
        <v>0</v>
      </c>
      <c r="V61" s="260">
        <f t="shared" ref="V61:AA61" si="27">-SUM($U$10:V10)*$D$61/12</f>
        <v>-24888</v>
      </c>
      <c r="W61" s="260">
        <f t="shared" si="27"/>
        <v>-49776</v>
      </c>
      <c r="X61" s="260">
        <f t="shared" si="27"/>
        <v>-74664</v>
      </c>
      <c r="Y61" s="260">
        <f t="shared" si="27"/>
        <v>-99552</v>
      </c>
      <c r="Z61" s="260">
        <f t="shared" si="27"/>
        <v>-124440</v>
      </c>
      <c r="AA61" s="260">
        <f t="shared" si="27"/>
        <v>-124440</v>
      </c>
      <c r="AB61" s="259"/>
      <c r="AC61" s="259"/>
      <c r="AD61" s="259"/>
      <c r="AE61" s="259"/>
      <c r="AF61" s="259"/>
      <c r="AG61" s="259"/>
      <c r="AH61" s="259"/>
      <c r="AI61" s="259"/>
      <c r="AJ61" s="259"/>
      <c r="AK61" s="259"/>
      <c r="AL61" s="259"/>
      <c r="AM61" s="259"/>
      <c r="AN61" s="259"/>
      <c r="AO61" s="259"/>
      <c r="AP61" s="259"/>
      <c r="AQ61" s="259"/>
      <c r="AR61" s="259"/>
      <c r="AS61" s="259"/>
      <c r="AT61" s="259"/>
      <c r="AU61" s="259"/>
      <c r="AV61" s="259"/>
      <c r="AW61" s="259"/>
      <c r="AX61" s="259"/>
      <c r="AY61" s="259"/>
      <c r="AZ61" s="259"/>
      <c r="BA61" s="259"/>
      <c r="BB61" s="259"/>
      <c r="BC61" s="259"/>
      <c r="BD61" s="259"/>
      <c r="BE61" s="259"/>
      <c r="BF61" s="259"/>
      <c r="BG61" s="259"/>
      <c r="BH61" s="259"/>
      <c r="BI61" s="259"/>
      <c r="BJ61" s="259"/>
      <c r="BK61" s="259"/>
      <c r="BL61" s="255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82">
        <f t="shared" si="26"/>
        <v>-497760</v>
      </c>
      <c r="BZ61" s="771"/>
      <c r="CA61" s="226"/>
      <c r="CB61" s="252"/>
      <c r="CC61" s="771"/>
      <c r="CD61" s="226"/>
      <c r="CE61" s="226"/>
      <c r="CF61" s="226"/>
      <c r="CG61" s="226"/>
      <c r="CH61" s="226"/>
      <c r="CI61" s="226"/>
    </row>
    <row r="62" spans="1:87" ht="16" outlineLevel="1">
      <c r="A62" s="603"/>
      <c r="B62" s="787"/>
      <c r="C62" s="284" t="s">
        <v>302</v>
      </c>
      <c r="D62" s="285">
        <v>7.0000000000000007E-2</v>
      </c>
      <c r="E62" s="286"/>
      <c r="F62" s="286"/>
      <c r="G62" s="286"/>
      <c r="H62" s="287"/>
      <c r="I62" s="287"/>
      <c r="J62" s="287"/>
      <c r="K62" s="287"/>
      <c r="L62" s="287"/>
      <c r="M62" s="287">
        <f>-500-3013.89-17009.89-28420.74</f>
        <v>-48944.520000000004</v>
      </c>
      <c r="N62" s="459">
        <f>-500-3013.89-9715.85-35542.84-269.74-74539.72</f>
        <v>-123582.04</v>
      </c>
      <c r="O62" s="287">
        <f>-10395.44</f>
        <v>-10395.44</v>
      </c>
      <c r="P62" s="287">
        <v>-280000.00000000006</v>
      </c>
      <c r="Q62" s="287">
        <f t="shared" ref="Q62:R62" si="28">-SUM($K$11:Q11)*$D$62/12</f>
        <v>-300416.66666666674</v>
      </c>
      <c r="R62" s="287">
        <f t="shared" si="28"/>
        <v>-300416.66666666674</v>
      </c>
      <c r="S62" s="287">
        <f t="shared" ref="S62:AA62" si="29">(-SUM($K$11:S11)+7000000)*$D$62/12</f>
        <v>-259583.3333333334</v>
      </c>
      <c r="T62" s="287">
        <f t="shared" si="29"/>
        <v>-259583.3333333334</v>
      </c>
      <c r="U62" s="287">
        <f t="shared" si="29"/>
        <v>-259583.3333333334</v>
      </c>
      <c r="V62" s="287">
        <f t="shared" si="29"/>
        <v>-259583.3333333334</v>
      </c>
      <c r="W62" s="287">
        <f t="shared" si="29"/>
        <v>-259583.3333333334</v>
      </c>
      <c r="X62" s="287">
        <f t="shared" si="29"/>
        <v>-259583.3333333334</v>
      </c>
      <c r="Y62" s="287">
        <f t="shared" si="29"/>
        <v>-259583.3333333334</v>
      </c>
      <c r="Z62" s="287">
        <f t="shared" si="29"/>
        <v>-259583.3333333334</v>
      </c>
      <c r="AA62" s="287">
        <f t="shared" si="29"/>
        <v>-259583.3333333334</v>
      </c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8"/>
      <c r="BN62" s="288"/>
      <c r="BO62" s="288"/>
      <c r="BP62" s="288"/>
      <c r="BQ62" s="288"/>
      <c r="BR62" s="288"/>
      <c r="BS62" s="288"/>
      <c r="BT62" s="288"/>
      <c r="BU62" s="288"/>
      <c r="BV62" s="288"/>
      <c r="BW62" s="288"/>
      <c r="BX62" s="288"/>
      <c r="BY62" s="289">
        <f t="shared" si="26"/>
        <v>-3400005.3333333349</v>
      </c>
      <c r="BZ62" s="771"/>
      <c r="CA62" s="226"/>
      <c r="CB62" s="252"/>
      <c r="CC62" s="771"/>
      <c r="CD62" s="226"/>
      <c r="CE62" s="226"/>
      <c r="CF62" s="226"/>
      <c r="CG62" s="226"/>
      <c r="CH62" s="226"/>
      <c r="CI62" s="226"/>
    </row>
    <row r="63" spans="1:87" ht="16" collapsed="1">
      <c r="A63" s="603"/>
      <c r="B63" s="787"/>
      <c r="C63" s="248" t="s">
        <v>303</v>
      </c>
      <c r="D63" s="249"/>
      <c r="E63" s="250">
        <f t="shared" ref="E63:BY63" si="30">SUM(E64:E86)</f>
        <v>0</v>
      </c>
      <c r="F63" s="250">
        <f t="shared" si="30"/>
        <v>0</v>
      </c>
      <c r="G63" s="250">
        <f t="shared" si="30"/>
        <v>0</v>
      </c>
      <c r="H63" s="250">
        <f t="shared" si="30"/>
        <v>0</v>
      </c>
      <c r="I63" s="250">
        <f t="shared" si="30"/>
        <v>0</v>
      </c>
      <c r="J63" s="250">
        <f t="shared" si="30"/>
        <v>0</v>
      </c>
      <c r="K63" s="250">
        <f t="shared" si="30"/>
        <v>0</v>
      </c>
      <c r="L63" s="250">
        <f t="shared" si="30"/>
        <v>0</v>
      </c>
      <c r="M63" s="250">
        <f t="shared" si="30"/>
        <v>0</v>
      </c>
      <c r="N63" s="250">
        <f t="shared" si="30"/>
        <v>0</v>
      </c>
      <c r="O63" s="250">
        <f t="shared" si="30"/>
        <v>0</v>
      </c>
      <c r="P63" s="250">
        <f t="shared" si="30"/>
        <v>0</v>
      </c>
      <c r="Q63" s="250">
        <f t="shared" si="30"/>
        <v>0</v>
      </c>
      <c r="R63" s="250">
        <f t="shared" si="30"/>
        <v>0</v>
      </c>
      <c r="S63" s="250">
        <f t="shared" si="30"/>
        <v>0</v>
      </c>
      <c r="T63" s="250">
        <f t="shared" si="30"/>
        <v>0</v>
      </c>
      <c r="U63" s="250">
        <f t="shared" si="30"/>
        <v>0</v>
      </c>
      <c r="V63" s="250">
        <f t="shared" si="30"/>
        <v>0</v>
      </c>
      <c r="W63" s="250">
        <f t="shared" si="30"/>
        <v>0</v>
      </c>
      <c r="X63" s="250">
        <f t="shared" si="30"/>
        <v>0</v>
      </c>
      <c r="Y63" s="250">
        <f t="shared" si="30"/>
        <v>0</v>
      </c>
      <c r="Z63" s="250">
        <f t="shared" si="30"/>
        <v>0</v>
      </c>
      <c r="AA63" s="250">
        <f t="shared" si="30"/>
        <v>-768858.19642857125</v>
      </c>
      <c r="AB63" s="250">
        <f t="shared" si="30"/>
        <v>0</v>
      </c>
      <c r="AC63" s="250">
        <f t="shared" si="30"/>
        <v>0</v>
      </c>
      <c r="AD63" s="250">
        <f t="shared" si="30"/>
        <v>0</v>
      </c>
      <c r="AE63" s="250">
        <f t="shared" si="30"/>
        <v>0</v>
      </c>
      <c r="AF63" s="250">
        <f t="shared" si="30"/>
        <v>0</v>
      </c>
      <c r="AG63" s="250">
        <f t="shared" si="30"/>
        <v>0</v>
      </c>
      <c r="AH63" s="250">
        <f t="shared" si="30"/>
        <v>0</v>
      </c>
      <c r="AI63" s="250">
        <f t="shared" si="30"/>
        <v>0</v>
      </c>
      <c r="AJ63" s="250">
        <f t="shared" si="30"/>
        <v>0</v>
      </c>
      <c r="AK63" s="250">
        <f t="shared" si="30"/>
        <v>0</v>
      </c>
      <c r="AL63" s="250">
        <f t="shared" si="30"/>
        <v>0</v>
      </c>
      <c r="AM63" s="250">
        <f t="shared" si="30"/>
        <v>0</v>
      </c>
      <c r="AN63" s="250">
        <f t="shared" si="30"/>
        <v>0</v>
      </c>
      <c r="AO63" s="250">
        <f t="shared" si="30"/>
        <v>0</v>
      </c>
      <c r="AP63" s="250">
        <f t="shared" si="30"/>
        <v>0</v>
      </c>
      <c r="AQ63" s="250">
        <f t="shared" si="30"/>
        <v>0</v>
      </c>
      <c r="AR63" s="250">
        <f t="shared" si="30"/>
        <v>0</v>
      </c>
      <c r="AS63" s="250">
        <f t="shared" si="30"/>
        <v>0</v>
      </c>
      <c r="AT63" s="250">
        <f t="shared" si="30"/>
        <v>0</v>
      </c>
      <c r="AU63" s="250">
        <f t="shared" si="30"/>
        <v>0</v>
      </c>
      <c r="AV63" s="250">
        <f t="shared" si="30"/>
        <v>0</v>
      </c>
      <c r="AW63" s="250">
        <f t="shared" si="30"/>
        <v>0</v>
      </c>
      <c r="AX63" s="250">
        <f t="shared" si="30"/>
        <v>0</v>
      </c>
      <c r="AY63" s="250">
        <f t="shared" si="30"/>
        <v>0</v>
      </c>
      <c r="AZ63" s="250">
        <f t="shared" si="30"/>
        <v>0</v>
      </c>
      <c r="BA63" s="250">
        <f t="shared" si="30"/>
        <v>0</v>
      </c>
      <c r="BB63" s="250">
        <f t="shared" si="30"/>
        <v>0</v>
      </c>
      <c r="BC63" s="250">
        <f t="shared" si="30"/>
        <v>0</v>
      </c>
      <c r="BD63" s="250">
        <f t="shared" si="30"/>
        <v>0</v>
      </c>
      <c r="BE63" s="250">
        <f t="shared" si="30"/>
        <v>0</v>
      </c>
      <c r="BF63" s="250">
        <f t="shared" si="30"/>
        <v>0</v>
      </c>
      <c r="BG63" s="250">
        <f t="shared" si="30"/>
        <v>0</v>
      </c>
      <c r="BH63" s="250">
        <f t="shared" si="30"/>
        <v>0</v>
      </c>
      <c r="BI63" s="250">
        <f t="shared" si="30"/>
        <v>0</v>
      </c>
      <c r="BJ63" s="250">
        <f t="shared" si="30"/>
        <v>0</v>
      </c>
      <c r="BK63" s="250">
        <f t="shared" si="30"/>
        <v>0</v>
      </c>
      <c r="BL63" s="250">
        <f t="shared" si="30"/>
        <v>0</v>
      </c>
      <c r="BM63" s="250">
        <f t="shared" si="30"/>
        <v>0</v>
      </c>
      <c r="BN63" s="250">
        <f t="shared" si="30"/>
        <v>0</v>
      </c>
      <c r="BO63" s="250">
        <f t="shared" si="30"/>
        <v>0</v>
      </c>
      <c r="BP63" s="250">
        <f t="shared" si="30"/>
        <v>0</v>
      </c>
      <c r="BQ63" s="250">
        <f t="shared" si="30"/>
        <v>0</v>
      </c>
      <c r="BR63" s="250">
        <f t="shared" si="30"/>
        <v>0</v>
      </c>
      <c r="BS63" s="250">
        <f t="shared" si="30"/>
        <v>0</v>
      </c>
      <c r="BT63" s="250">
        <f t="shared" si="30"/>
        <v>0</v>
      </c>
      <c r="BU63" s="250">
        <f t="shared" si="30"/>
        <v>0</v>
      </c>
      <c r="BV63" s="250">
        <f t="shared" si="30"/>
        <v>0</v>
      </c>
      <c r="BW63" s="250">
        <f t="shared" si="30"/>
        <v>0</v>
      </c>
      <c r="BX63" s="250">
        <f t="shared" si="30"/>
        <v>0</v>
      </c>
      <c r="BY63" s="251">
        <f t="shared" si="30"/>
        <v>-768858.19642857125</v>
      </c>
      <c r="BZ63" s="771"/>
      <c r="CA63" s="226"/>
      <c r="CB63" s="252"/>
      <c r="CC63" s="771"/>
      <c r="CD63" s="226"/>
      <c r="CE63" s="226">
        <v>-165083.33333333334</v>
      </c>
      <c r="CF63" s="226">
        <v>-215833.33333333337</v>
      </c>
      <c r="CG63" s="226">
        <v>-271833.33333333337</v>
      </c>
      <c r="CH63" s="226">
        <v>-280000.00000000006</v>
      </c>
      <c r="CI63" s="226">
        <v>-165083.33333333334</v>
      </c>
    </row>
    <row r="64" spans="1:87" ht="16" hidden="1" outlineLevel="1">
      <c r="A64" s="603"/>
      <c r="B64" s="787"/>
      <c r="C64" s="290" t="s">
        <v>304</v>
      </c>
      <c r="D64" s="254" t="s">
        <v>270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  <c r="AN64" s="256"/>
      <c r="AO64" s="256"/>
      <c r="AP64" s="256"/>
      <c r="AQ64" s="256"/>
      <c r="AR64" s="256"/>
      <c r="AS64" s="256"/>
      <c r="AT64" s="256"/>
      <c r="AU64" s="256"/>
      <c r="AV64" s="256"/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91">
        <f t="shared" ref="BY64:BY86" si="31">SUM(E64:BX64)</f>
        <v>0</v>
      </c>
      <c r="BZ64" s="771"/>
      <c r="CA64" s="226"/>
      <c r="CB64" s="252"/>
      <c r="CC64" s="771"/>
      <c r="CD64" s="226"/>
      <c r="CE64" s="226"/>
      <c r="CF64" s="226"/>
      <c r="CG64" s="226"/>
      <c r="CH64" s="226"/>
      <c r="CI64" s="226"/>
    </row>
    <row r="65" spans="1:81" ht="16" hidden="1" outlineLevel="1">
      <c r="A65" s="603"/>
      <c r="B65" s="787"/>
      <c r="C65" s="292" t="s">
        <v>305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91">
        <f t="shared" si="31"/>
        <v>0</v>
      </c>
      <c r="BZ65" s="771"/>
      <c r="CA65" s="226"/>
      <c r="CB65" s="252"/>
      <c r="CC65" s="771"/>
    </row>
    <row r="66" spans="1:81" ht="16" hidden="1" outlineLevel="1">
      <c r="A66" s="603"/>
      <c r="B66" s="787"/>
      <c r="C66" s="292" t="s">
        <v>306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91">
        <f t="shared" si="31"/>
        <v>0</v>
      </c>
      <c r="BZ66" s="771"/>
      <c r="CA66" s="226"/>
      <c r="CB66" s="252"/>
      <c r="CC66" s="771"/>
    </row>
    <row r="67" spans="1:81" ht="16" hidden="1" outlineLevel="1">
      <c r="A67" s="603"/>
      <c r="B67" s="787"/>
      <c r="C67" s="292" t="s">
        <v>307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91">
        <f t="shared" si="31"/>
        <v>0</v>
      </c>
      <c r="BZ67" s="771"/>
      <c r="CA67" s="226"/>
      <c r="CB67" s="252"/>
      <c r="CC67" s="771"/>
    </row>
    <row r="68" spans="1:81" ht="16" hidden="1" outlineLevel="1">
      <c r="A68" s="603"/>
      <c r="B68" s="787"/>
      <c r="C68" s="292" t="s">
        <v>308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91">
        <f t="shared" si="31"/>
        <v>0</v>
      </c>
      <c r="BZ68" s="771"/>
      <c r="CA68" s="226"/>
      <c r="CB68" s="252"/>
      <c r="CC68" s="771"/>
    </row>
    <row r="69" spans="1:81" ht="16" hidden="1" outlineLevel="1">
      <c r="A69" s="603"/>
      <c r="B69" s="787"/>
      <c r="C69" s="292" t="s">
        <v>309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91">
        <f t="shared" si="31"/>
        <v>0</v>
      </c>
      <c r="BZ69" s="771"/>
      <c r="CA69" s="226"/>
      <c r="CB69" s="252"/>
      <c r="CC69" s="771"/>
    </row>
    <row r="70" spans="1:81" ht="16" hidden="1" outlineLevel="1">
      <c r="A70" s="603"/>
      <c r="B70" s="787"/>
      <c r="C70" s="292" t="s">
        <v>310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91">
        <f t="shared" si="31"/>
        <v>0</v>
      </c>
      <c r="BZ70" s="771"/>
      <c r="CA70" s="226"/>
      <c r="CB70" s="252"/>
      <c r="CC70" s="771"/>
    </row>
    <row r="71" spans="1:81" ht="16" hidden="1" outlineLevel="1">
      <c r="A71" s="603"/>
      <c r="B71" s="787"/>
      <c r="C71" s="292" t="s">
        <v>311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91">
        <f t="shared" si="31"/>
        <v>0</v>
      </c>
      <c r="BZ71" s="771"/>
      <c r="CA71" s="226"/>
      <c r="CB71" s="252"/>
      <c r="CC71" s="771"/>
    </row>
    <row r="72" spans="1:81" ht="16" hidden="1" outlineLevel="1">
      <c r="A72" s="603"/>
      <c r="B72" s="787"/>
      <c r="C72" s="292" t="s">
        <v>312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91">
        <f t="shared" si="31"/>
        <v>0</v>
      </c>
      <c r="BZ72" s="771"/>
      <c r="CA72" s="226"/>
      <c r="CB72" s="252"/>
      <c r="CC72" s="771"/>
    </row>
    <row r="73" spans="1:81" ht="16" hidden="1" outlineLevel="1">
      <c r="A73" s="603"/>
      <c r="B73" s="787"/>
      <c r="C73" s="292" t="s">
        <v>313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91">
        <f t="shared" si="31"/>
        <v>0</v>
      </c>
      <c r="BZ73" s="771"/>
      <c r="CA73" s="226"/>
      <c r="CB73" s="252"/>
      <c r="CC73" s="771"/>
    </row>
    <row r="74" spans="1:81" ht="16" hidden="1" outlineLevel="1">
      <c r="A74" s="603"/>
      <c r="B74" s="787"/>
      <c r="C74" s="292" t="s">
        <v>314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91">
        <f t="shared" si="31"/>
        <v>0</v>
      </c>
      <c r="BZ74" s="771"/>
      <c r="CA74" s="226"/>
      <c r="CB74" s="252"/>
      <c r="CC74" s="771"/>
    </row>
    <row r="75" spans="1:81" ht="16" hidden="1" outlineLevel="1">
      <c r="A75" s="603"/>
      <c r="B75" s="787"/>
      <c r="C75" s="292" t="s">
        <v>315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91">
        <f t="shared" si="31"/>
        <v>0</v>
      </c>
      <c r="BZ75" s="771"/>
      <c r="CA75" s="226"/>
      <c r="CB75" s="252"/>
      <c r="CC75" s="771"/>
    </row>
    <row r="76" spans="1:81" ht="16" hidden="1" outlineLevel="1">
      <c r="A76" s="603"/>
      <c r="B76" s="787"/>
      <c r="C76" s="292" t="s">
        <v>316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91">
        <f t="shared" si="31"/>
        <v>0</v>
      </c>
      <c r="BZ76" s="771"/>
      <c r="CA76" s="226"/>
      <c r="CB76" s="252"/>
      <c r="CC76" s="771"/>
    </row>
    <row r="77" spans="1:81" ht="16" hidden="1" outlineLevel="1">
      <c r="A77" s="603"/>
      <c r="B77" s="787"/>
      <c r="C77" s="292" t="s">
        <v>317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91">
        <f t="shared" si="31"/>
        <v>0</v>
      </c>
      <c r="BZ77" s="771"/>
      <c r="CA77" s="226"/>
      <c r="CB77" s="252"/>
      <c r="CC77" s="771"/>
    </row>
    <row r="78" spans="1:81" ht="16" hidden="1" outlineLevel="1">
      <c r="A78" s="603"/>
      <c r="B78" s="787"/>
      <c r="C78" s="292" t="s">
        <v>318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91">
        <f t="shared" si="31"/>
        <v>0</v>
      </c>
      <c r="BZ78" s="771"/>
      <c r="CA78" s="226"/>
      <c r="CB78" s="252"/>
      <c r="CC78" s="771"/>
    </row>
    <row r="79" spans="1:81" ht="16" hidden="1" outlineLevel="1">
      <c r="A79" s="603"/>
      <c r="B79" s="787"/>
      <c r="C79" s="292" t="s">
        <v>319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91">
        <f t="shared" si="31"/>
        <v>0</v>
      </c>
      <c r="BZ79" s="771"/>
      <c r="CA79" s="226"/>
      <c r="CB79" s="252"/>
      <c r="CC79" s="771"/>
    </row>
    <row r="80" spans="1:81" ht="16" hidden="1" outlineLevel="1">
      <c r="A80" s="603"/>
      <c r="B80" s="787"/>
      <c r="C80" s="292" t="s">
        <v>320</v>
      </c>
      <c r="D80" s="254" t="s">
        <v>270</v>
      </c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  <c r="BX80" s="256"/>
      <c r="BY80" s="291">
        <f t="shared" si="31"/>
        <v>0</v>
      </c>
      <c r="BZ80" s="771"/>
      <c r="CA80" s="226"/>
      <c r="CB80" s="252"/>
      <c r="CC80" s="771"/>
    </row>
    <row r="81" spans="1:81" ht="16" hidden="1" outlineLevel="1">
      <c r="A81" s="603"/>
      <c r="B81" s="787"/>
      <c r="C81" s="292" t="s">
        <v>321</v>
      </c>
      <c r="D81" s="254" t="s">
        <v>270</v>
      </c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/>
      <c r="AP81" s="256"/>
      <c r="AQ81" s="256"/>
      <c r="AR81" s="256"/>
      <c r="AS81" s="256"/>
      <c r="AT81" s="256"/>
      <c r="AU81" s="256"/>
      <c r="AV81" s="256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6"/>
      <c r="BR81" s="256"/>
      <c r="BS81" s="256"/>
      <c r="BT81" s="256"/>
      <c r="BU81" s="256"/>
      <c r="BV81" s="256"/>
      <c r="BW81" s="256"/>
      <c r="BX81" s="256"/>
      <c r="BY81" s="291">
        <f t="shared" si="31"/>
        <v>0</v>
      </c>
      <c r="BZ81" s="771"/>
      <c r="CA81" s="226"/>
      <c r="CB81" s="252"/>
      <c r="CC81" s="771"/>
    </row>
    <row r="82" spans="1:81" ht="16" hidden="1" outlineLevel="1">
      <c r="A82" s="603"/>
      <c r="B82" s="787"/>
      <c r="C82" s="293" t="s">
        <v>224</v>
      </c>
      <c r="D82" s="254" t="s">
        <v>270</v>
      </c>
      <c r="E82" s="256"/>
      <c r="F82" s="255"/>
      <c r="G82" s="255"/>
      <c r="H82" s="256"/>
      <c r="I82" s="256"/>
      <c r="J82" s="256"/>
      <c r="K82" s="256"/>
      <c r="L82" s="256"/>
      <c r="M82" s="256"/>
      <c r="N82" s="256"/>
      <c r="O82" s="256"/>
      <c r="P82" s="256"/>
      <c r="Q82" s="256">
        <f>-Businessplan_prodej!$N$19/12*1.21*Businessplan_prodej!$J$27</f>
        <v>0</v>
      </c>
      <c r="R82" s="256">
        <f>-Businessplan_prodej!$N$19/12*1.21*Businessplan_prodej!$J$27</f>
        <v>0</v>
      </c>
      <c r="S82" s="256">
        <f>-Businessplan_prodej!$N$19/12*1.21*Businessplan_prodej!$J$27</f>
        <v>0</v>
      </c>
      <c r="T82" s="256">
        <f>-Businessplan_prodej!$N$19/12*1.21*Businessplan_prodej!$J$27</f>
        <v>0</v>
      </c>
      <c r="U82" s="256">
        <f>-Businessplan_prodej!$N$19/12*1.21*Businessplan_prodej!$J$27</f>
        <v>0</v>
      </c>
      <c r="V82" s="256">
        <f>-Businessplan_prodej!$N$19/12*1.21*Businessplan_prodej!$J$27</f>
        <v>0</v>
      </c>
      <c r="W82" s="256">
        <f>-Businessplan_prodej!$N$19/12*1.21*Businessplan_prodej!$J$27</f>
        <v>0</v>
      </c>
      <c r="X82" s="256">
        <f>-Businessplan_prodej!$N$19/12*1.21*Businessplan_prodej!$J$27</f>
        <v>0</v>
      </c>
      <c r="Y82" s="256">
        <f>-Businessplan_prodej!$N$19/12*1.21*Businessplan_prodej!$J$27</f>
        <v>0</v>
      </c>
      <c r="Z82" s="256">
        <f>-Businessplan_prodej!$N$19/12*1.21*Businessplan_prodej!$J$27</f>
        <v>0</v>
      </c>
      <c r="AA82" s="256">
        <f>-Businessplan_prodej!$N$19/12*1.21</f>
        <v>-97718.69249999999</v>
      </c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91">
        <f t="shared" si="31"/>
        <v>-97718.69249999999</v>
      </c>
      <c r="BZ82" s="771"/>
      <c r="CA82" s="226"/>
      <c r="CB82" s="252"/>
      <c r="CC82" s="771"/>
    </row>
    <row r="83" spans="1:81" ht="16" hidden="1" outlineLevel="1">
      <c r="A83" s="603"/>
      <c r="B83" s="787"/>
      <c r="C83" s="292" t="s">
        <v>225</v>
      </c>
      <c r="D83" s="254" t="s">
        <v>270</v>
      </c>
      <c r="E83" s="256"/>
      <c r="F83" s="255"/>
      <c r="G83" s="255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5"/>
      <c r="V83" s="255"/>
      <c r="W83" s="255"/>
      <c r="X83" s="255"/>
      <c r="Y83" s="255"/>
      <c r="Z83" s="255"/>
      <c r="AA83" s="255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91">
        <f t="shared" si="31"/>
        <v>0</v>
      </c>
      <c r="BZ83" s="771"/>
      <c r="CA83" s="226"/>
      <c r="CB83" s="252"/>
      <c r="CC83" s="771"/>
    </row>
    <row r="84" spans="1:81" ht="16" hidden="1" outlineLevel="1">
      <c r="A84" s="603"/>
      <c r="B84" s="787"/>
      <c r="C84" s="292" t="s">
        <v>236</v>
      </c>
      <c r="D84" s="254" t="s">
        <v>270</v>
      </c>
      <c r="E84" s="256"/>
      <c r="F84" s="255"/>
      <c r="G84" s="255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5"/>
      <c r="V84" s="255"/>
      <c r="W84" s="255"/>
      <c r="X84" s="255"/>
      <c r="Y84" s="255"/>
      <c r="Z84" s="255"/>
      <c r="AA84" s="255"/>
      <c r="AB84" s="255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5"/>
      <c r="BD84" s="255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91">
        <f t="shared" si="31"/>
        <v>0</v>
      </c>
      <c r="BZ84" s="771"/>
      <c r="CA84" s="226"/>
      <c r="CB84" s="252"/>
      <c r="CC84" s="771"/>
    </row>
    <row r="85" spans="1:81" ht="16" hidden="1" outlineLevel="1">
      <c r="A85" s="603"/>
      <c r="B85" s="787"/>
      <c r="C85" s="292" t="s">
        <v>237</v>
      </c>
      <c r="D85" s="254" t="s">
        <v>270</v>
      </c>
      <c r="E85" s="256"/>
      <c r="F85" s="255"/>
      <c r="G85" s="255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P85" s="255"/>
      <c r="AQ85" s="255"/>
      <c r="AR85" s="255"/>
      <c r="AS85" s="255"/>
      <c r="AT85" s="255"/>
      <c r="AU85" s="255"/>
      <c r="AV85" s="255"/>
      <c r="AW85" s="255"/>
      <c r="AX85" s="255"/>
      <c r="AY85" s="255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91">
        <f t="shared" si="31"/>
        <v>0</v>
      </c>
      <c r="BZ85" s="771"/>
      <c r="CA85" s="226"/>
      <c r="CB85" s="252"/>
      <c r="CC85" s="771"/>
    </row>
    <row r="86" spans="1:81" ht="16" hidden="1" outlineLevel="1">
      <c r="A86" s="603"/>
      <c r="B86" s="787"/>
      <c r="C86" s="294" t="s">
        <v>322</v>
      </c>
      <c r="D86" s="258" t="s">
        <v>270</v>
      </c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>
        <f>Businessplan_prodej!N21</f>
        <v>-671139.50392857124</v>
      </c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5"/>
      <c r="BQ86" s="295"/>
      <c r="BR86" s="295"/>
      <c r="BS86" s="295"/>
      <c r="BT86" s="295"/>
      <c r="BU86" s="295"/>
      <c r="BV86" s="295"/>
      <c r="BW86" s="295"/>
      <c r="BX86" s="295"/>
      <c r="BY86" s="291">
        <f t="shared" si="31"/>
        <v>-671139.50392857124</v>
      </c>
      <c r="BZ86" s="771"/>
      <c r="CA86" s="226"/>
      <c r="CB86" s="252"/>
      <c r="CC86" s="771"/>
    </row>
    <row r="87" spans="1:81" ht="16" collapsed="1">
      <c r="A87" s="603"/>
      <c r="B87" s="787"/>
      <c r="C87" s="248" t="s">
        <v>323</v>
      </c>
      <c r="D87" s="249"/>
      <c r="E87" s="250">
        <f t="shared" ref="E87:BY87" si="32">SUM(E88:E89)</f>
        <v>0</v>
      </c>
      <c r="F87" s="250">
        <f t="shared" si="32"/>
        <v>0</v>
      </c>
      <c r="G87" s="250">
        <f t="shared" si="32"/>
        <v>0</v>
      </c>
      <c r="H87" s="250">
        <f t="shared" si="32"/>
        <v>0</v>
      </c>
      <c r="I87" s="250">
        <f t="shared" si="32"/>
        <v>0</v>
      </c>
      <c r="J87" s="250">
        <f t="shared" si="32"/>
        <v>0</v>
      </c>
      <c r="K87" s="250">
        <f t="shared" si="32"/>
        <v>0</v>
      </c>
      <c r="L87" s="250">
        <f t="shared" si="32"/>
        <v>0</v>
      </c>
      <c r="M87" s="250">
        <f t="shared" si="32"/>
        <v>0</v>
      </c>
      <c r="N87" s="250">
        <f t="shared" si="32"/>
        <v>0</v>
      </c>
      <c r="O87" s="250">
        <f t="shared" si="32"/>
        <v>0</v>
      </c>
      <c r="P87" s="250">
        <f t="shared" si="32"/>
        <v>0</v>
      </c>
      <c r="Q87" s="250">
        <f t="shared" si="32"/>
        <v>0</v>
      </c>
      <c r="R87" s="250">
        <f t="shared" si="32"/>
        <v>0</v>
      </c>
      <c r="S87" s="250">
        <f t="shared" si="32"/>
        <v>0</v>
      </c>
      <c r="T87" s="250">
        <f t="shared" si="32"/>
        <v>0</v>
      </c>
      <c r="U87" s="250">
        <f t="shared" si="32"/>
        <v>0</v>
      </c>
      <c r="V87" s="250">
        <f t="shared" si="32"/>
        <v>0</v>
      </c>
      <c r="W87" s="250">
        <f t="shared" si="32"/>
        <v>0</v>
      </c>
      <c r="X87" s="250">
        <f t="shared" si="32"/>
        <v>0</v>
      </c>
      <c r="Y87" s="250">
        <f t="shared" si="32"/>
        <v>0</v>
      </c>
      <c r="Z87" s="250">
        <f t="shared" si="32"/>
        <v>0</v>
      </c>
      <c r="AA87" s="250">
        <f t="shared" si="32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si="32"/>
        <v>0</v>
      </c>
      <c r="AF87" s="250">
        <f t="shared" si="32"/>
        <v>0</v>
      </c>
      <c r="AG87" s="250">
        <f t="shared" si="32"/>
        <v>0</v>
      </c>
      <c r="AH87" s="250">
        <f t="shared" si="32"/>
        <v>0</v>
      </c>
      <c r="AI87" s="250">
        <f t="shared" si="32"/>
        <v>0</v>
      </c>
      <c r="AJ87" s="250">
        <f t="shared" si="32"/>
        <v>0</v>
      </c>
      <c r="AK87" s="250">
        <f t="shared" si="32"/>
        <v>0</v>
      </c>
      <c r="AL87" s="250">
        <f t="shared" si="32"/>
        <v>0</v>
      </c>
      <c r="AM87" s="250">
        <f t="shared" si="32"/>
        <v>0</v>
      </c>
      <c r="AN87" s="250">
        <f t="shared" si="32"/>
        <v>0</v>
      </c>
      <c r="AO87" s="250">
        <f t="shared" si="32"/>
        <v>0</v>
      </c>
      <c r="AP87" s="250">
        <f t="shared" si="32"/>
        <v>0</v>
      </c>
      <c r="AQ87" s="250">
        <f t="shared" si="32"/>
        <v>0</v>
      </c>
      <c r="AR87" s="250">
        <f t="shared" si="32"/>
        <v>0</v>
      </c>
      <c r="AS87" s="250">
        <f t="shared" si="32"/>
        <v>0</v>
      </c>
      <c r="AT87" s="250">
        <f t="shared" si="32"/>
        <v>0</v>
      </c>
      <c r="AU87" s="250">
        <f t="shared" si="32"/>
        <v>0</v>
      </c>
      <c r="AV87" s="250">
        <f t="shared" si="32"/>
        <v>0</v>
      </c>
      <c r="AW87" s="250">
        <f t="shared" si="32"/>
        <v>0</v>
      </c>
      <c r="AX87" s="250">
        <f t="shared" si="32"/>
        <v>0</v>
      </c>
      <c r="AY87" s="250">
        <f t="shared" si="32"/>
        <v>0</v>
      </c>
      <c r="AZ87" s="250">
        <f t="shared" si="32"/>
        <v>0</v>
      </c>
      <c r="BA87" s="250">
        <f t="shared" si="32"/>
        <v>0</v>
      </c>
      <c r="BB87" s="250">
        <f t="shared" si="32"/>
        <v>0</v>
      </c>
      <c r="BC87" s="250">
        <f t="shared" si="32"/>
        <v>0</v>
      </c>
      <c r="BD87" s="250">
        <f t="shared" si="32"/>
        <v>0</v>
      </c>
      <c r="BE87" s="250">
        <f t="shared" si="32"/>
        <v>0</v>
      </c>
      <c r="BF87" s="250">
        <f t="shared" si="32"/>
        <v>0</v>
      </c>
      <c r="BG87" s="250">
        <f t="shared" si="32"/>
        <v>0</v>
      </c>
      <c r="BH87" s="250">
        <f t="shared" si="32"/>
        <v>0</v>
      </c>
      <c r="BI87" s="250">
        <f t="shared" si="32"/>
        <v>0</v>
      </c>
      <c r="BJ87" s="250">
        <f t="shared" si="32"/>
        <v>0</v>
      </c>
      <c r="BK87" s="250">
        <f t="shared" si="32"/>
        <v>0</v>
      </c>
      <c r="BL87" s="250">
        <f t="shared" si="32"/>
        <v>0</v>
      </c>
      <c r="BM87" s="250">
        <f t="shared" si="32"/>
        <v>0</v>
      </c>
      <c r="BN87" s="250">
        <f t="shared" si="32"/>
        <v>0</v>
      </c>
      <c r="BO87" s="250">
        <f t="shared" si="32"/>
        <v>0</v>
      </c>
      <c r="BP87" s="250">
        <f t="shared" si="32"/>
        <v>0</v>
      </c>
      <c r="BQ87" s="250">
        <f t="shared" si="32"/>
        <v>0</v>
      </c>
      <c r="BR87" s="250">
        <f t="shared" si="32"/>
        <v>0</v>
      </c>
      <c r="BS87" s="250">
        <f t="shared" si="32"/>
        <v>0</v>
      </c>
      <c r="BT87" s="250">
        <f t="shared" si="32"/>
        <v>0</v>
      </c>
      <c r="BU87" s="250">
        <f t="shared" si="32"/>
        <v>0</v>
      </c>
      <c r="BV87" s="250">
        <f t="shared" si="32"/>
        <v>0</v>
      </c>
      <c r="BW87" s="250">
        <f t="shared" si="32"/>
        <v>0</v>
      </c>
      <c r="BX87" s="250">
        <f t="shared" si="32"/>
        <v>0</v>
      </c>
      <c r="BY87" s="251">
        <f t="shared" si="32"/>
        <v>0</v>
      </c>
      <c r="BZ87" s="771"/>
      <c r="CA87" s="226"/>
      <c r="CB87" s="252"/>
      <c r="CC87" s="771"/>
    </row>
    <row r="88" spans="1:81" ht="16" hidden="1" outlineLevel="1">
      <c r="A88" s="603"/>
      <c r="B88" s="787"/>
      <c r="C88" s="290" t="s">
        <v>324</v>
      </c>
      <c r="D88" s="254" t="s">
        <v>270</v>
      </c>
      <c r="E88" s="260"/>
      <c r="F88" s="260"/>
      <c r="G88" s="260"/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0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60"/>
      <c r="AV88" s="260"/>
      <c r="AW88" s="260"/>
      <c r="AX88" s="260"/>
      <c r="AY88" s="260"/>
      <c r="AZ88" s="260"/>
      <c r="BA88" s="260"/>
      <c r="BB88" s="260"/>
      <c r="BC88" s="260"/>
      <c r="BD88" s="260"/>
      <c r="BE88" s="260"/>
      <c r="BF88" s="260"/>
      <c r="BG88" s="260"/>
      <c r="BH88" s="260"/>
      <c r="BI88" s="260"/>
      <c r="BJ88" s="260"/>
      <c r="BK88" s="260"/>
      <c r="BL88" s="260"/>
      <c r="BM88" s="260"/>
      <c r="BN88" s="260"/>
      <c r="BO88" s="260"/>
      <c r="BP88" s="260"/>
      <c r="BQ88" s="260"/>
      <c r="BR88" s="260"/>
      <c r="BS88" s="260"/>
      <c r="BT88" s="260"/>
      <c r="BU88" s="260"/>
      <c r="BV88" s="260"/>
      <c r="BW88" s="260"/>
      <c r="BX88" s="260"/>
      <c r="BY88" s="296">
        <f t="shared" ref="BY88:BY89" si="33">SUM(E88:BX88)</f>
        <v>0</v>
      </c>
      <c r="BZ88" s="771"/>
      <c r="CA88" s="226"/>
      <c r="CB88" s="252"/>
      <c r="CC88" s="771"/>
    </row>
    <row r="89" spans="1:81" ht="16" hidden="1" outlineLevel="1">
      <c r="A89" s="603"/>
      <c r="B89" s="787"/>
      <c r="C89" s="294" t="s">
        <v>325</v>
      </c>
      <c r="D89" s="258" t="s">
        <v>270</v>
      </c>
      <c r="E89" s="287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97">
        <f t="shared" si="33"/>
        <v>0</v>
      </c>
      <c r="BZ89" s="774"/>
      <c r="CA89" s="226"/>
      <c r="CB89" s="252"/>
      <c r="CC89" s="774"/>
    </row>
    <row r="90" spans="1:81">
      <c r="A90" s="603"/>
      <c r="B90" s="787"/>
      <c r="C90" s="248" t="s">
        <v>326</v>
      </c>
      <c r="D90" s="249"/>
      <c r="E90" s="250">
        <f t="shared" ref="E90:BX90" si="34">SUM(E91:E97)</f>
        <v>0</v>
      </c>
      <c r="F90" s="250">
        <f t="shared" si="34"/>
        <v>0</v>
      </c>
      <c r="G90" s="250">
        <f t="shared" si="34"/>
        <v>0</v>
      </c>
      <c r="H90" s="250">
        <f t="shared" si="34"/>
        <v>0</v>
      </c>
      <c r="I90" s="250">
        <f t="shared" si="34"/>
        <v>0</v>
      </c>
      <c r="J90" s="250">
        <f t="shared" si="34"/>
        <v>0</v>
      </c>
      <c r="K90" s="250">
        <f t="shared" si="34"/>
        <v>0</v>
      </c>
      <c r="L90" s="250">
        <f t="shared" si="34"/>
        <v>0</v>
      </c>
      <c r="M90" s="250">
        <f t="shared" si="34"/>
        <v>0</v>
      </c>
      <c r="N90" s="250">
        <f t="shared" si="34"/>
        <v>0</v>
      </c>
      <c r="O90" s="250">
        <f t="shared" si="34"/>
        <v>0</v>
      </c>
      <c r="P90" s="250">
        <f t="shared" si="34"/>
        <v>0</v>
      </c>
      <c r="Q90" s="250">
        <f t="shared" si="34"/>
        <v>0</v>
      </c>
      <c r="R90" s="250">
        <f t="shared" si="34"/>
        <v>-7063574.6199300056</v>
      </c>
      <c r="S90" s="250">
        <f t="shared" si="34"/>
        <v>-54933.409454082517</v>
      </c>
      <c r="T90" s="250">
        <f t="shared" si="34"/>
        <v>-54933.409454082517</v>
      </c>
      <c r="U90" s="250">
        <f t="shared" si="34"/>
        <v>-54933.409454082517</v>
      </c>
      <c r="V90" s="250">
        <f t="shared" si="34"/>
        <v>-54933.409454082517</v>
      </c>
      <c r="W90" s="250">
        <f t="shared" si="34"/>
        <v>-54933.409454082517</v>
      </c>
      <c r="X90" s="250">
        <f t="shared" si="34"/>
        <v>-54933.409454082517</v>
      </c>
      <c r="Y90" s="250">
        <f t="shared" si="34"/>
        <v>-54933.409454082517</v>
      </c>
      <c r="Z90" s="250">
        <f t="shared" si="34"/>
        <v>-54933.409454082517</v>
      </c>
      <c r="AA90" s="250">
        <f t="shared" si="34"/>
        <v>-110690280.10443735</v>
      </c>
      <c r="AB90" s="250">
        <f t="shared" si="34"/>
        <v>0</v>
      </c>
      <c r="AC90" s="250">
        <f t="shared" si="34"/>
        <v>0</v>
      </c>
      <c r="AD90" s="250">
        <f t="shared" si="34"/>
        <v>0</v>
      </c>
      <c r="AE90" s="250">
        <f t="shared" si="34"/>
        <v>0</v>
      </c>
      <c r="AF90" s="250">
        <f t="shared" si="34"/>
        <v>0</v>
      </c>
      <c r="AG90" s="250">
        <f t="shared" si="34"/>
        <v>0</v>
      </c>
      <c r="AH90" s="250">
        <f t="shared" si="34"/>
        <v>0</v>
      </c>
      <c r="AI90" s="250">
        <f t="shared" si="34"/>
        <v>0</v>
      </c>
      <c r="AJ90" s="250">
        <f t="shared" si="34"/>
        <v>0</v>
      </c>
      <c r="AK90" s="250">
        <f t="shared" si="34"/>
        <v>0</v>
      </c>
      <c r="AL90" s="250">
        <f t="shared" si="34"/>
        <v>0</v>
      </c>
      <c r="AM90" s="250">
        <f t="shared" si="34"/>
        <v>0</v>
      </c>
      <c r="AN90" s="250">
        <f t="shared" si="34"/>
        <v>0</v>
      </c>
      <c r="AO90" s="250">
        <f t="shared" si="34"/>
        <v>0</v>
      </c>
      <c r="AP90" s="250">
        <f t="shared" si="34"/>
        <v>0</v>
      </c>
      <c r="AQ90" s="250">
        <f t="shared" si="34"/>
        <v>0</v>
      </c>
      <c r="AR90" s="250">
        <f t="shared" si="34"/>
        <v>0</v>
      </c>
      <c r="AS90" s="250">
        <f t="shared" si="34"/>
        <v>0</v>
      </c>
      <c r="AT90" s="250">
        <f t="shared" si="34"/>
        <v>0</v>
      </c>
      <c r="AU90" s="250">
        <f t="shared" si="34"/>
        <v>0</v>
      </c>
      <c r="AV90" s="250">
        <f t="shared" si="34"/>
        <v>0</v>
      </c>
      <c r="AW90" s="250">
        <f t="shared" si="34"/>
        <v>0</v>
      </c>
      <c r="AX90" s="250">
        <f t="shared" si="34"/>
        <v>0</v>
      </c>
      <c r="AY90" s="250">
        <f t="shared" si="34"/>
        <v>0</v>
      </c>
      <c r="AZ90" s="250">
        <f t="shared" si="34"/>
        <v>0</v>
      </c>
      <c r="BA90" s="250">
        <f t="shared" si="34"/>
        <v>0</v>
      </c>
      <c r="BB90" s="250">
        <f t="shared" si="34"/>
        <v>0</v>
      </c>
      <c r="BC90" s="250">
        <f t="shared" si="34"/>
        <v>0</v>
      </c>
      <c r="BD90" s="250">
        <f t="shared" si="34"/>
        <v>0</v>
      </c>
      <c r="BE90" s="250">
        <f t="shared" si="34"/>
        <v>0</v>
      </c>
      <c r="BF90" s="250">
        <f t="shared" si="34"/>
        <v>0</v>
      </c>
      <c r="BG90" s="250">
        <f t="shared" si="34"/>
        <v>0</v>
      </c>
      <c r="BH90" s="250">
        <f t="shared" si="34"/>
        <v>0</v>
      </c>
      <c r="BI90" s="250">
        <f t="shared" si="34"/>
        <v>0</v>
      </c>
      <c r="BJ90" s="250">
        <f t="shared" si="34"/>
        <v>0</v>
      </c>
      <c r="BK90" s="250">
        <f t="shared" si="34"/>
        <v>0</v>
      </c>
      <c r="BL90" s="250">
        <f t="shared" si="34"/>
        <v>0</v>
      </c>
      <c r="BM90" s="250">
        <f t="shared" si="34"/>
        <v>0</v>
      </c>
      <c r="BN90" s="250">
        <f t="shared" si="34"/>
        <v>0</v>
      </c>
      <c r="BO90" s="250">
        <f t="shared" si="34"/>
        <v>0</v>
      </c>
      <c r="BP90" s="250">
        <f t="shared" si="34"/>
        <v>0</v>
      </c>
      <c r="BQ90" s="250">
        <f t="shared" si="34"/>
        <v>0</v>
      </c>
      <c r="BR90" s="250">
        <f t="shared" si="34"/>
        <v>0</v>
      </c>
      <c r="BS90" s="250">
        <f t="shared" si="34"/>
        <v>0</v>
      </c>
      <c r="BT90" s="250">
        <f t="shared" si="34"/>
        <v>0</v>
      </c>
      <c r="BU90" s="250">
        <f t="shared" si="34"/>
        <v>0</v>
      </c>
      <c r="BV90" s="250">
        <f t="shared" si="34"/>
        <v>0</v>
      </c>
      <c r="BW90" s="250">
        <f t="shared" si="34"/>
        <v>0</v>
      </c>
      <c r="BX90" s="250">
        <f t="shared" si="34"/>
        <v>0</v>
      </c>
      <c r="BY90" s="779">
        <f>BZ17</f>
        <v>-123998543.97521475</v>
      </c>
      <c r="BZ90" s="768"/>
      <c r="CA90" s="226"/>
      <c r="CB90" s="226"/>
      <c r="CC90" s="226"/>
    </row>
    <row r="91" spans="1:81" outlineLevel="1">
      <c r="A91" s="603"/>
      <c r="B91" s="787"/>
      <c r="C91" s="253" t="s">
        <v>327</v>
      </c>
      <c r="D91" s="254" t="s">
        <v>270</v>
      </c>
      <c r="E91" s="255"/>
      <c r="F91" s="255"/>
      <c r="G91" s="255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5"/>
      <c r="V91" s="255"/>
      <c r="W91" s="255"/>
      <c r="X91" s="255"/>
      <c r="Y91" s="255"/>
      <c r="Z91" s="255"/>
      <c r="AA91" s="256">
        <f>-BY5-SUM(L91:Z91)</f>
        <v>-16365002</v>
      </c>
      <c r="AB91" s="255"/>
      <c r="AC91" s="255"/>
      <c r="AD91" s="255"/>
      <c r="AE91" s="255"/>
      <c r="AF91" s="255"/>
      <c r="AG91" s="255"/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6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64"/>
      <c r="BY91" s="296">
        <f t="shared" ref="BY91:BY97" si="35">SUM(E91:BX91)</f>
        <v>-16365002</v>
      </c>
      <c r="BZ91" s="777">
        <f>SUM(BY91:BY97)</f>
        <v>-118193322</v>
      </c>
      <c r="CA91" s="226"/>
      <c r="CB91" s="226"/>
      <c r="CC91" s="226"/>
    </row>
    <row r="92" spans="1:81" outlineLevel="1">
      <c r="A92" s="253" t="s">
        <v>328</v>
      </c>
      <c r="B92" s="787"/>
      <c r="C92" s="253" t="s">
        <v>329</v>
      </c>
      <c r="D92" s="254" t="s">
        <v>270</v>
      </c>
      <c r="E92" s="255"/>
      <c r="F92" s="255"/>
      <c r="G92" s="255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5"/>
      <c r="V92" s="255"/>
      <c r="W92" s="255"/>
      <c r="X92" s="255"/>
      <c r="Y92" s="255"/>
      <c r="Z92" s="255"/>
      <c r="AA92" s="256">
        <f>-BY6-SUM(E92:Z92)</f>
        <v>-25555000</v>
      </c>
      <c r="AB92" s="255"/>
      <c r="AC92" s="255"/>
      <c r="AD92" s="255"/>
      <c r="AE92" s="255"/>
      <c r="AF92" s="255"/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91">
        <f t="shared" si="35"/>
        <v>-25555000</v>
      </c>
      <c r="BZ92" s="771"/>
      <c r="CA92" s="226"/>
      <c r="CB92" s="226"/>
      <c r="CC92" s="226"/>
    </row>
    <row r="93" spans="1:81" outlineLevel="1">
      <c r="A93" s="253" t="s">
        <v>330</v>
      </c>
      <c r="B93" s="787"/>
      <c r="C93" s="293" t="s">
        <v>328</v>
      </c>
      <c r="D93" s="254" t="s">
        <v>270</v>
      </c>
      <c r="E93" s="255"/>
      <c r="F93" s="255"/>
      <c r="G93" s="255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5"/>
      <c r="V93" s="255"/>
      <c r="W93" s="255"/>
      <c r="X93" s="255"/>
      <c r="Y93" s="255"/>
      <c r="Z93" s="255"/>
      <c r="AA93" s="256">
        <f>-CF7</f>
        <v>0</v>
      </c>
      <c r="AB93" s="255"/>
      <c r="AC93" s="255"/>
      <c r="AD93" s="255"/>
      <c r="AE93" s="255"/>
      <c r="AF93" s="255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5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91">
        <f t="shared" si="35"/>
        <v>0</v>
      </c>
      <c r="BZ93" s="771"/>
      <c r="CA93" s="226"/>
      <c r="CB93" s="226"/>
      <c r="CC93" s="226"/>
    </row>
    <row r="94" spans="1:81" outlineLevel="1">
      <c r="A94" s="603"/>
      <c r="B94" s="787"/>
      <c r="C94" s="292" t="s">
        <v>330</v>
      </c>
      <c r="D94" s="254" t="s">
        <v>270</v>
      </c>
      <c r="E94" s="255"/>
      <c r="F94" s="255"/>
      <c r="G94" s="255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91">
        <f t="shared" si="35"/>
        <v>0</v>
      </c>
      <c r="BZ94" s="771"/>
      <c r="CA94" s="226"/>
      <c r="CB94" s="226"/>
      <c r="CC94" s="226"/>
    </row>
    <row r="95" spans="1:81" outlineLevel="1">
      <c r="A95" s="603"/>
      <c r="B95" s="787"/>
      <c r="C95" s="253" t="s">
        <v>331</v>
      </c>
      <c r="D95" s="254" t="s">
        <v>270</v>
      </c>
      <c r="E95" s="255"/>
      <c r="F95" s="255"/>
      <c r="G95" s="255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6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64"/>
      <c r="BY95" s="291">
        <f t="shared" si="35"/>
        <v>0</v>
      </c>
      <c r="BZ95" s="771"/>
      <c r="CA95" s="226"/>
      <c r="CB95" s="226"/>
      <c r="CC95" s="226"/>
    </row>
    <row r="96" spans="1:81" outlineLevel="1">
      <c r="A96" s="603"/>
      <c r="B96" s="787"/>
      <c r="C96" s="253" t="s">
        <v>332</v>
      </c>
      <c r="D96" s="254" t="s">
        <v>270</v>
      </c>
      <c r="E96" s="255"/>
      <c r="F96" s="255"/>
      <c r="G96" s="255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5"/>
      <c r="V96" s="255"/>
      <c r="W96" s="255"/>
      <c r="X96" s="255"/>
      <c r="Y96" s="255"/>
      <c r="Z96" s="255"/>
      <c r="AA96" s="255">
        <f>-BY10-BY9</f>
        <v>-24773320</v>
      </c>
      <c r="AB96" s="255"/>
      <c r="AC96" s="255"/>
      <c r="AD96" s="255"/>
      <c r="AE96" s="255"/>
      <c r="AF96" s="255"/>
      <c r="AG96" s="255"/>
      <c r="AH96" s="255"/>
      <c r="AI96" s="255"/>
      <c r="AJ96" s="255"/>
      <c r="AK96" s="255"/>
      <c r="AL96" s="255"/>
      <c r="AM96" s="255"/>
      <c r="AN96" s="255"/>
      <c r="AO96" s="255"/>
      <c r="AP96" s="255"/>
      <c r="AQ96" s="255"/>
      <c r="AR96" s="255"/>
      <c r="AS96" s="255"/>
      <c r="AT96" s="255"/>
      <c r="AU96" s="255"/>
      <c r="AV96" s="255"/>
      <c r="AW96" s="255"/>
      <c r="AX96" s="255"/>
      <c r="AY96" s="255"/>
      <c r="AZ96" s="255"/>
      <c r="BA96" s="255"/>
      <c r="BB96" s="255"/>
      <c r="BC96" s="256"/>
      <c r="BD96" s="255"/>
      <c r="BE96" s="255"/>
      <c r="BF96" s="255"/>
      <c r="BG96" s="255"/>
      <c r="BH96" s="255"/>
      <c r="BI96" s="255"/>
      <c r="BJ96" s="255"/>
      <c r="BK96" s="255"/>
      <c r="BL96" s="255"/>
      <c r="BM96" s="255"/>
      <c r="BN96" s="255"/>
      <c r="BO96" s="255"/>
      <c r="BP96" s="255"/>
      <c r="BQ96" s="255"/>
      <c r="BR96" s="255"/>
      <c r="BS96" s="255"/>
      <c r="BT96" s="255"/>
      <c r="BU96" s="255"/>
      <c r="BV96" s="255"/>
      <c r="BW96" s="255"/>
      <c r="BX96" s="264"/>
      <c r="BY96" s="298">
        <f t="shared" si="35"/>
        <v>-24773320</v>
      </c>
      <c r="BZ96" s="771"/>
      <c r="CA96" s="226"/>
      <c r="CB96" s="226"/>
      <c r="CC96" s="226"/>
    </row>
    <row r="97" spans="1:81" outlineLevel="1">
      <c r="A97" s="603"/>
      <c r="B97" s="781"/>
      <c r="C97" s="284" t="s">
        <v>333</v>
      </c>
      <c r="D97" s="299" t="s">
        <v>270</v>
      </c>
      <c r="E97" s="286"/>
      <c r="F97" s="286"/>
      <c r="G97" s="286"/>
      <c r="H97" s="287"/>
      <c r="I97" s="287"/>
      <c r="J97" s="287"/>
      <c r="K97" s="287"/>
      <c r="L97" s="287"/>
      <c r="M97" s="287"/>
      <c r="N97" s="287"/>
      <c r="O97" s="287"/>
      <c r="P97" s="287"/>
      <c r="Q97" s="287"/>
      <c r="R97" s="287">
        <f>PMT($D$62/12,25*12,$BY11)-R62-7000000</f>
        <v>-7063574.6199300056</v>
      </c>
      <c r="S97" s="287">
        <f t="shared" ref="S97:Z97" si="36">(PMT($D$62/12,25*12,$BY11-7000000)-S62)</f>
        <v>-54933.409454082517</v>
      </c>
      <c r="T97" s="287">
        <f t="shared" si="36"/>
        <v>-54933.409454082517</v>
      </c>
      <c r="U97" s="287">
        <f t="shared" si="36"/>
        <v>-54933.409454082517</v>
      </c>
      <c r="V97" s="287">
        <f t="shared" si="36"/>
        <v>-54933.409454082517</v>
      </c>
      <c r="W97" s="287">
        <f t="shared" si="36"/>
        <v>-54933.409454082517</v>
      </c>
      <c r="X97" s="287">
        <f t="shared" si="36"/>
        <v>-54933.409454082517</v>
      </c>
      <c r="Y97" s="287">
        <f t="shared" si="36"/>
        <v>-54933.409454082517</v>
      </c>
      <c r="Z97" s="287">
        <f t="shared" si="36"/>
        <v>-54933.409454082517</v>
      </c>
      <c r="AA97" s="287">
        <f>-$BY$11-SUM($P$97:Z97)</f>
        <v>-43996958.104437344</v>
      </c>
      <c r="AB97" s="286"/>
      <c r="AC97" s="286"/>
      <c r="AD97" s="286"/>
      <c r="AE97" s="286"/>
      <c r="AF97" s="286"/>
      <c r="AG97" s="286"/>
      <c r="AH97" s="286"/>
      <c r="AI97" s="286"/>
      <c r="AJ97" s="286"/>
      <c r="AK97" s="286"/>
      <c r="AL97" s="286"/>
      <c r="AM97" s="286"/>
      <c r="AN97" s="286"/>
      <c r="AO97" s="286"/>
      <c r="AP97" s="286"/>
      <c r="AQ97" s="286"/>
      <c r="AR97" s="286"/>
      <c r="AS97" s="286"/>
      <c r="AT97" s="286"/>
      <c r="AU97" s="286"/>
      <c r="AV97" s="286"/>
      <c r="AW97" s="286"/>
      <c r="AX97" s="286"/>
      <c r="AY97" s="286"/>
      <c r="AZ97" s="286"/>
      <c r="BA97" s="286"/>
      <c r="BB97" s="286"/>
      <c r="BC97" s="286"/>
      <c r="BD97" s="286"/>
      <c r="BE97" s="286"/>
      <c r="BF97" s="286"/>
      <c r="BG97" s="286"/>
      <c r="BH97" s="286"/>
      <c r="BI97" s="286"/>
      <c r="BJ97" s="286"/>
      <c r="BK97" s="286"/>
      <c r="BL97" s="286"/>
      <c r="BM97" s="286"/>
      <c r="BN97" s="286"/>
      <c r="BO97" s="286"/>
      <c r="BP97" s="286"/>
      <c r="BQ97" s="286"/>
      <c r="BR97" s="286"/>
      <c r="BS97" s="286"/>
      <c r="BT97" s="286"/>
      <c r="BU97" s="286"/>
      <c r="BV97" s="286"/>
      <c r="BW97" s="286"/>
      <c r="BX97" s="288"/>
      <c r="BY97" s="268">
        <f t="shared" si="35"/>
        <v>-51500000.000000007</v>
      </c>
      <c r="BZ97" s="776"/>
      <c r="CA97" s="226"/>
      <c r="CB97" s="226"/>
      <c r="CC97" s="226"/>
    </row>
    <row r="98" spans="1:81" ht="16">
      <c r="A98" s="603"/>
      <c r="B98" s="790" t="s">
        <v>334</v>
      </c>
      <c r="C98" s="774"/>
      <c r="D98" s="300" t="s">
        <v>270</v>
      </c>
      <c r="E98" s="301">
        <f t="shared" ref="E98:BX98" si="37">(E17+E23+E26+E34+E37+E49+E55+E63+E87+E90)</f>
        <v>0</v>
      </c>
      <c r="F98" s="301">
        <f t="shared" si="37"/>
        <v>0</v>
      </c>
      <c r="G98" s="301">
        <f t="shared" si="37"/>
        <v>0</v>
      </c>
      <c r="H98" s="301">
        <f t="shared" si="37"/>
        <v>-10737799.354999999</v>
      </c>
      <c r="I98" s="301">
        <f t="shared" si="37"/>
        <v>-1867696.1950000001</v>
      </c>
      <c r="J98" s="301">
        <f t="shared" si="37"/>
        <v>-1817623.665</v>
      </c>
      <c r="K98" s="301">
        <f t="shared" si="37"/>
        <v>-902873.87700000009</v>
      </c>
      <c r="L98" s="301">
        <f t="shared" si="37"/>
        <v>-5038194.0799999991</v>
      </c>
      <c r="M98" s="301">
        <f t="shared" si="37"/>
        <v>-10761502.959999999</v>
      </c>
      <c r="N98" s="301">
        <f t="shared" si="37"/>
        <v>-20069846.199999999</v>
      </c>
      <c r="O98" s="301">
        <f t="shared" si="37"/>
        <v>-9758870.4799999986</v>
      </c>
      <c r="P98" s="301">
        <f t="shared" si="37"/>
        <v>-10462687.006333333</v>
      </c>
      <c r="Q98" s="301">
        <f t="shared" si="37"/>
        <v>-7634066.2784166597</v>
      </c>
      <c r="R98" s="301">
        <f t="shared" si="37"/>
        <v>-9878058.030346673</v>
      </c>
      <c r="S98" s="301">
        <f t="shared" si="37"/>
        <v>-4830476.4229499148</v>
      </c>
      <c r="T98" s="301">
        <f t="shared" si="37"/>
        <v>-4401813.0025374154</v>
      </c>
      <c r="U98" s="301">
        <f t="shared" si="37"/>
        <v>-4372366.0775374155</v>
      </c>
      <c r="V98" s="301">
        <f t="shared" si="37"/>
        <v>-4397254.0775374155</v>
      </c>
      <c r="W98" s="301">
        <f t="shared" si="37"/>
        <v>-4422142.0775374155</v>
      </c>
      <c r="X98" s="301">
        <f t="shared" si="37"/>
        <v>-4447030.0775374155</v>
      </c>
      <c r="Y98" s="301">
        <f t="shared" si="37"/>
        <v>-4471918.0775374155</v>
      </c>
      <c r="Z98" s="301">
        <f t="shared" si="37"/>
        <v>-5084363.3479499146</v>
      </c>
      <c r="AA98" s="301">
        <f t="shared" si="37"/>
        <v>-116372298.68699378</v>
      </c>
      <c r="AB98" s="301">
        <f t="shared" si="37"/>
        <v>0</v>
      </c>
      <c r="AC98" s="301">
        <f t="shared" si="37"/>
        <v>0</v>
      </c>
      <c r="AD98" s="301">
        <f t="shared" si="37"/>
        <v>0</v>
      </c>
      <c r="AE98" s="301">
        <f t="shared" si="37"/>
        <v>0</v>
      </c>
      <c r="AF98" s="301">
        <f t="shared" si="37"/>
        <v>0</v>
      </c>
      <c r="AG98" s="301">
        <f t="shared" si="37"/>
        <v>0</v>
      </c>
      <c r="AH98" s="301">
        <f t="shared" si="37"/>
        <v>0</v>
      </c>
      <c r="AI98" s="301">
        <f t="shared" si="37"/>
        <v>0</v>
      </c>
      <c r="AJ98" s="301">
        <f t="shared" si="37"/>
        <v>0</v>
      </c>
      <c r="AK98" s="301">
        <f t="shared" si="37"/>
        <v>0</v>
      </c>
      <c r="AL98" s="301">
        <f t="shared" si="37"/>
        <v>0</v>
      </c>
      <c r="AM98" s="301">
        <f t="shared" si="37"/>
        <v>0</v>
      </c>
      <c r="AN98" s="301">
        <f t="shared" si="37"/>
        <v>0</v>
      </c>
      <c r="AO98" s="301">
        <f t="shared" si="37"/>
        <v>0</v>
      </c>
      <c r="AP98" s="301">
        <f t="shared" si="37"/>
        <v>0</v>
      </c>
      <c r="AQ98" s="301">
        <f t="shared" si="37"/>
        <v>0</v>
      </c>
      <c r="AR98" s="301">
        <f t="shared" si="37"/>
        <v>0</v>
      </c>
      <c r="AS98" s="301">
        <f t="shared" si="37"/>
        <v>0</v>
      </c>
      <c r="AT98" s="301">
        <f t="shared" si="37"/>
        <v>0</v>
      </c>
      <c r="AU98" s="301">
        <f t="shared" si="37"/>
        <v>0</v>
      </c>
      <c r="AV98" s="301">
        <f t="shared" si="37"/>
        <v>0</v>
      </c>
      <c r="AW98" s="301">
        <f t="shared" si="37"/>
        <v>0</v>
      </c>
      <c r="AX98" s="301">
        <f t="shared" si="37"/>
        <v>0</v>
      </c>
      <c r="AY98" s="301">
        <f t="shared" si="37"/>
        <v>0</v>
      </c>
      <c r="AZ98" s="301">
        <f t="shared" si="37"/>
        <v>0</v>
      </c>
      <c r="BA98" s="301">
        <f t="shared" si="37"/>
        <v>0</v>
      </c>
      <c r="BB98" s="301">
        <f t="shared" si="37"/>
        <v>0</v>
      </c>
      <c r="BC98" s="301">
        <f t="shared" si="37"/>
        <v>0</v>
      </c>
      <c r="BD98" s="301">
        <f t="shared" si="37"/>
        <v>0</v>
      </c>
      <c r="BE98" s="301">
        <f t="shared" si="37"/>
        <v>0</v>
      </c>
      <c r="BF98" s="301">
        <f t="shared" si="37"/>
        <v>0</v>
      </c>
      <c r="BG98" s="301">
        <f t="shared" si="37"/>
        <v>0</v>
      </c>
      <c r="BH98" s="301">
        <f t="shared" si="37"/>
        <v>0</v>
      </c>
      <c r="BI98" s="301">
        <f t="shared" si="37"/>
        <v>0</v>
      </c>
      <c r="BJ98" s="301">
        <f t="shared" si="37"/>
        <v>0</v>
      </c>
      <c r="BK98" s="301">
        <f t="shared" si="37"/>
        <v>0</v>
      </c>
      <c r="BL98" s="301">
        <f t="shared" si="37"/>
        <v>0</v>
      </c>
      <c r="BM98" s="301">
        <f t="shared" si="37"/>
        <v>0</v>
      </c>
      <c r="BN98" s="301">
        <f t="shared" si="37"/>
        <v>0</v>
      </c>
      <c r="BO98" s="301">
        <f t="shared" si="37"/>
        <v>0</v>
      </c>
      <c r="BP98" s="301">
        <f t="shared" si="37"/>
        <v>0</v>
      </c>
      <c r="BQ98" s="301">
        <f t="shared" si="37"/>
        <v>0</v>
      </c>
      <c r="BR98" s="301">
        <f t="shared" si="37"/>
        <v>0</v>
      </c>
      <c r="BS98" s="301">
        <f t="shared" si="37"/>
        <v>0</v>
      </c>
      <c r="BT98" s="301">
        <f t="shared" si="37"/>
        <v>0</v>
      </c>
      <c r="BU98" s="301">
        <f t="shared" si="37"/>
        <v>0</v>
      </c>
      <c r="BV98" s="301">
        <f t="shared" si="37"/>
        <v>0</v>
      </c>
      <c r="BW98" s="301">
        <f t="shared" si="37"/>
        <v>0</v>
      </c>
      <c r="BX98" s="301">
        <f t="shared" si="37"/>
        <v>0</v>
      </c>
      <c r="BY98" s="780">
        <f>BZ91</f>
        <v>-118193322</v>
      </c>
      <c r="BZ98" s="781"/>
      <c r="CA98" s="226"/>
      <c r="CB98" s="226"/>
      <c r="CC98" s="226"/>
    </row>
    <row r="99" spans="1:81" ht="16">
      <c r="A99" s="603"/>
      <c r="B99" s="605"/>
      <c r="C99" s="605"/>
      <c r="D99" s="302"/>
      <c r="E99" s="303"/>
      <c r="F99" s="303"/>
      <c r="G99" s="303"/>
      <c r="H99" s="303">
        <f>H98</f>
        <v>-10737799.354999999</v>
      </c>
      <c r="I99" s="303">
        <f t="shared" ref="I99:N99" si="38">H99+I98</f>
        <v>-12605495.549999999</v>
      </c>
      <c r="J99" s="303">
        <f t="shared" si="38"/>
        <v>-14423119.215</v>
      </c>
      <c r="K99" s="303">
        <f t="shared" si="38"/>
        <v>-15325993.092</v>
      </c>
      <c r="L99" s="303">
        <f t="shared" si="38"/>
        <v>-20364187.171999998</v>
      </c>
      <c r="M99" s="303">
        <f t="shared" si="38"/>
        <v>-31125690.131999999</v>
      </c>
      <c r="N99" s="303">
        <f t="shared" si="38"/>
        <v>-51195536.332000002</v>
      </c>
      <c r="O99" s="304"/>
      <c r="P99" s="304"/>
      <c r="Q99" s="304"/>
      <c r="R99" s="304"/>
      <c r="S99" s="304"/>
      <c r="T99" s="304"/>
      <c r="U99" s="303"/>
      <c r="V99" s="303"/>
      <c r="W99" s="303"/>
      <c r="X99" s="304"/>
      <c r="Y99" s="304"/>
      <c r="Z99" s="304"/>
      <c r="AA99" s="304"/>
      <c r="AB99" s="304"/>
      <c r="AC99" s="303"/>
      <c r="AD99" s="304"/>
      <c r="AE99" s="304"/>
      <c r="AF99" s="304"/>
      <c r="AG99" s="304"/>
      <c r="AH99" s="304"/>
      <c r="AI99" s="304"/>
      <c r="AJ99" s="304"/>
      <c r="AK99" s="304"/>
      <c r="AL99" s="304"/>
      <c r="AM99" s="304"/>
      <c r="AN99" s="304"/>
      <c r="AO99" s="303"/>
      <c r="AP99" s="304"/>
      <c r="AQ99" s="304"/>
      <c r="AR99" s="304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  <c r="BJ99" s="303"/>
      <c r="BK99" s="303"/>
      <c r="BL99" s="305"/>
      <c r="BM99" s="305"/>
      <c r="BN99" s="305"/>
      <c r="BO99" s="305"/>
      <c r="BP99" s="305"/>
      <c r="BQ99" s="305"/>
      <c r="BR99" s="305"/>
      <c r="BS99" s="305"/>
      <c r="BT99" s="305"/>
      <c r="BU99" s="305"/>
      <c r="BV99" s="305"/>
      <c r="BW99" s="305"/>
      <c r="BX99" s="305"/>
      <c r="BY99" s="306"/>
      <c r="BZ99" s="306"/>
      <c r="CA99" s="226"/>
      <c r="CB99" s="226"/>
      <c r="CC99" s="226"/>
    </row>
    <row r="100" spans="1:81" ht="16">
      <c r="A100" s="603"/>
      <c r="B100" s="791" t="s">
        <v>335</v>
      </c>
      <c r="C100" s="774"/>
      <c r="D100" s="307"/>
      <c r="E100" s="303">
        <f t="shared" ref="E100:BX100" si="39">E16+E98</f>
        <v>0</v>
      </c>
      <c r="F100" s="303">
        <f t="shared" si="39"/>
        <v>0</v>
      </c>
      <c r="G100" s="303">
        <f t="shared" si="39"/>
        <v>0</v>
      </c>
      <c r="H100" s="303">
        <f t="shared" si="39"/>
        <v>5627202.6450000014</v>
      </c>
      <c r="I100" s="303">
        <f t="shared" si="39"/>
        <v>-1861469.1950000001</v>
      </c>
      <c r="J100" s="303">
        <f t="shared" si="39"/>
        <v>-1803035.665</v>
      </c>
      <c r="K100" s="303">
        <f t="shared" si="39"/>
        <v>439594.12299999991</v>
      </c>
      <c r="L100" s="303">
        <f t="shared" si="39"/>
        <v>-3040677.0799999991</v>
      </c>
      <c r="M100" s="304">
        <f t="shared" si="39"/>
        <v>57291.090000001714</v>
      </c>
      <c r="N100" s="303">
        <f t="shared" si="39"/>
        <v>-75913.25</v>
      </c>
      <c r="O100" s="304">
        <f t="shared" si="39"/>
        <v>32310.750000001863</v>
      </c>
      <c r="P100" s="304">
        <f t="shared" si="39"/>
        <v>136362.67135261744</v>
      </c>
      <c r="Q100" s="304">
        <f t="shared" si="39"/>
        <v>12866046.353065986</v>
      </c>
      <c r="R100" s="304">
        <f t="shared" si="39"/>
        <v>-9079568.1302689873</v>
      </c>
      <c r="S100" s="304">
        <f t="shared" si="39"/>
        <v>-668151.67906768387</v>
      </c>
      <c r="T100" s="304">
        <f t="shared" si="39"/>
        <v>1181362.4610059736</v>
      </c>
      <c r="U100" s="303">
        <f t="shared" si="39"/>
        <v>360421.39356516767</v>
      </c>
      <c r="V100" s="303">
        <f t="shared" si="39"/>
        <v>1066025.2627497744</v>
      </c>
      <c r="W100" s="303">
        <f t="shared" si="39"/>
        <v>1060914.6394026671</v>
      </c>
      <c r="X100" s="304">
        <f t="shared" si="39"/>
        <v>1060914.6394026671</v>
      </c>
      <c r="Y100" s="304">
        <f t="shared" si="39"/>
        <v>1060914.6394026671</v>
      </c>
      <c r="Z100" s="304">
        <f t="shared" si="39"/>
        <v>473357.36899016798</v>
      </c>
      <c r="AA100" s="304">
        <f t="shared" si="39"/>
        <v>18841334.002139688</v>
      </c>
      <c r="AB100" s="304">
        <f t="shared" si="39"/>
        <v>0</v>
      </c>
      <c r="AC100" s="303">
        <f t="shared" si="39"/>
        <v>0</v>
      </c>
      <c r="AD100" s="304">
        <f t="shared" si="39"/>
        <v>0</v>
      </c>
      <c r="AE100" s="304">
        <f t="shared" si="39"/>
        <v>0</v>
      </c>
      <c r="AF100" s="304">
        <f t="shared" si="39"/>
        <v>0</v>
      </c>
      <c r="AG100" s="304">
        <f t="shared" si="39"/>
        <v>0</v>
      </c>
      <c r="AH100" s="304">
        <f t="shared" si="39"/>
        <v>0</v>
      </c>
      <c r="AI100" s="304">
        <f t="shared" si="39"/>
        <v>0</v>
      </c>
      <c r="AJ100" s="304">
        <f t="shared" si="39"/>
        <v>0</v>
      </c>
      <c r="AK100" s="304">
        <f t="shared" si="39"/>
        <v>0</v>
      </c>
      <c r="AL100" s="304">
        <f t="shared" si="39"/>
        <v>0</v>
      </c>
      <c r="AM100" s="304">
        <f t="shared" si="39"/>
        <v>0</v>
      </c>
      <c r="AN100" s="304">
        <f t="shared" si="39"/>
        <v>0</v>
      </c>
      <c r="AO100" s="303">
        <f t="shared" si="39"/>
        <v>0</v>
      </c>
      <c r="AP100" s="304">
        <f t="shared" si="39"/>
        <v>0</v>
      </c>
      <c r="AQ100" s="304">
        <f t="shared" si="39"/>
        <v>0</v>
      </c>
      <c r="AR100" s="304">
        <f t="shared" si="39"/>
        <v>0</v>
      </c>
      <c r="AS100" s="303">
        <f t="shared" si="39"/>
        <v>0</v>
      </c>
      <c r="AT100" s="303">
        <f t="shared" si="39"/>
        <v>0</v>
      </c>
      <c r="AU100" s="303">
        <f t="shared" si="39"/>
        <v>0</v>
      </c>
      <c r="AV100" s="303">
        <f t="shared" si="39"/>
        <v>0</v>
      </c>
      <c r="AW100" s="303">
        <f t="shared" si="39"/>
        <v>0</v>
      </c>
      <c r="AX100" s="303">
        <f t="shared" si="39"/>
        <v>0</v>
      </c>
      <c r="AY100" s="303">
        <f t="shared" si="39"/>
        <v>0</v>
      </c>
      <c r="AZ100" s="303">
        <f t="shared" si="39"/>
        <v>0</v>
      </c>
      <c r="BA100" s="303">
        <f t="shared" si="39"/>
        <v>0</v>
      </c>
      <c r="BB100" s="303">
        <f t="shared" si="39"/>
        <v>0</v>
      </c>
      <c r="BC100" s="303">
        <f t="shared" si="39"/>
        <v>0</v>
      </c>
      <c r="BD100" s="303">
        <f t="shared" si="39"/>
        <v>0</v>
      </c>
      <c r="BE100" s="303">
        <f t="shared" si="39"/>
        <v>0</v>
      </c>
      <c r="BF100" s="303">
        <f t="shared" si="39"/>
        <v>0</v>
      </c>
      <c r="BG100" s="303">
        <f t="shared" si="39"/>
        <v>0</v>
      </c>
      <c r="BH100" s="303">
        <f t="shared" si="39"/>
        <v>0</v>
      </c>
      <c r="BI100" s="303">
        <f t="shared" si="39"/>
        <v>0</v>
      </c>
      <c r="BJ100" s="303">
        <f t="shared" si="39"/>
        <v>0</v>
      </c>
      <c r="BK100" s="303">
        <f t="shared" si="39"/>
        <v>0</v>
      </c>
      <c r="BL100" s="308">
        <f t="shared" si="39"/>
        <v>0</v>
      </c>
      <c r="BM100" s="308">
        <f t="shared" si="39"/>
        <v>0</v>
      </c>
      <c r="BN100" s="308">
        <f t="shared" si="39"/>
        <v>0</v>
      </c>
      <c r="BO100" s="308">
        <f t="shared" si="39"/>
        <v>0</v>
      </c>
      <c r="BP100" s="308">
        <f t="shared" si="39"/>
        <v>0</v>
      </c>
      <c r="BQ100" s="308">
        <f t="shared" si="39"/>
        <v>0</v>
      </c>
      <c r="BR100" s="308">
        <f t="shared" si="39"/>
        <v>0</v>
      </c>
      <c r="BS100" s="308">
        <f t="shared" si="39"/>
        <v>0</v>
      </c>
      <c r="BT100" s="308">
        <f t="shared" si="39"/>
        <v>0</v>
      </c>
      <c r="BU100" s="308">
        <f t="shared" si="39"/>
        <v>0</v>
      </c>
      <c r="BV100" s="308">
        <f t="shared" si="39"/>
        <v>0</v>
      </c>
      <c r="BW100" s="308">
        <f t="shared" si="39"/>
        <v>0</v>
      </c>
      <c r="BX100" s="308">
        <f t="shared" si="39"/>
        <v>0</v>
      </c>
      <c r="BY100" s="782">
        <f>BY16+BY90+BY98</f>
        <v>27272251.039740771</v>
      </c>
      <c r="BZ100" s="783"/>
      <c r="CA100" s="226"/>
      <c r="CB100" s="226"/>
      <c r="CC100" s="226"/>
    </row>
    <row r="101" spans="1:81">
      <c r="A101" s="603"/>
      <c r="B101" s="792" t="s">
        <v>336</v>
      </c>
      <c r="C101" s="774"/>
      <c r="D101" s="309"/>
      <c r="E101" s="310">
        <f>E100</f>
        <v>0</v>
      </c>
      <c r="F101" s="310">
        <f>F100+E101</f>
        <v>0</v>
      </c>
      <c r="G101" s="310">
        <f>655760.63+24.98*24.5-16.85*22</f>
        <v>656001.94000000006</v>
      </c>
      <c r="H101" s="310">
        <f>H100+G101-66</f>
        <v>6283138.5850000018</v>
      </c>
      <c r="I101" s="310">
        <f t="shared" ref="I101:BX101" si="40">I100+H101</f>
        <v>4421669.3900000015</v>
      </c>
      <c r="J101" s="310">
        <f t="shared" si="40"/>
        <v>2618633.7250000015</v>
      </c>
      <c r="K101" s="310">
        <f t="shared" si="40"/>
        <v>3058227.8480000012</v>
      </c>
      <c r="L101" s="310">
        <f t="shared" si="40"/>
        <v>17550.768000002019</v>
      </c>
      <c r="M101" s="310">
        <f t="shared" si="40"/>
        <v>74841.858000003733</v>
      </c>
      <c r="N101" s="310">
        <f t="shared" si="40"/>
        <v>-1071.3919999962673</v>
      </c>
      <c r="O101" s="310">
        <f t="shared" si="40"/>
        <v>31239.358000005595</v>
      </c>
      <c r="P101" s="310">
        <f t="shared" si="40"/>
        <v>167602.02935262304</v>
      </c>
      <c r="Q101" s="310">
        <f t="shared" si="40"/>
        <v>13033648.38241861</v>
      </c>
      <c r="R101" s="310">
        <f t="shared" si="40"/>
        <v>3954080.2521496229</v>
      </c>
      <c r="S101" s="310">
        <f t="shared" si="40"/>
        <v>3285928.573081939</v>
      </c>
      <c r="T101" s="310">
        <f t="shared" si="40"/>
        <v>4467291.0340879131</v>
      </c>
      <c r="U101" s="310">
        <f t="shared" si="40"/>
        <v>4827712.4276530808</v>
      </c>
      <c r="V101" s="310">
        <f t="shared" si="40"/>
        <v>5893737.6904028552</v>
      </c>
      <c r="W101" s="310">
        <f t="shared" si="40"/>
        <v>6954652.3298055222</v>
      </c>
      <c r="X101" s="310">
        <f t="shared" si="40"/>
        <v>8015566.9692081893</v>
      </c>
      <c r="Y101" s="310">
        <f t="shared" si="40"/>
        <v>9076481.6086108573</v>
      </c>
      <c r="Z101" s="310">
        <f t="shared" si="40"/>
        <v>9549838.9776010253</v>
      </c>
      <c r="AA101" s="310">
        <f t="shared" si="40"/>
        <v>28391172.979740713</v>
      </c>
      <c r="AB101" s="310">
        <f t="shared" si="40"/>
        <v>28391172.979740713</v>
      </c>
      <c r="AC101" s="310">
        <f t="shared" si="40"/>
        <v>28391172.979740713</v>
      </c>
      <c r="AD101" s="310">
        <f t="shared" si="40"/>
        <v>28391172.979740713</v>
      </c>
      <c r="AE101" s="310">
        <f t="shared" si="40"/>
        <v>28391172.979740713</v>
      </c>
      <c r="AF101" s="310">
        <f t="shared" si="40"/>
        <v>28391172.979740713</v>
      </c>
      <c r="AG101" s="310">
        <f t="shared" si="40"/>
        <v>28391172.979740713</v>
      </c>
      <c r="AH101" s="310">
        <f t="shared" si="40"/>
        <v>28391172.979740713</v>
      </c>
      <c r="AI101" s="310">
        <f t="shared" si="40"/>
        <v>28391172.979740713</v>
      </c>
      <c r="AJ101" s="310">
        <f t="shared" si="40"/>
        <v>28391172.979740713</v>
      </c>
      <c r="AK101" s="310">
        <f t="shared" si="40"/>
        <v>28391172.979740713</v>
      </c>
      <c r="AL101" s="310">
        <f t="shared" si="40"/>
        <v>28391172.979740713</v>
      </c>
      <c r="AM101" s="310">
        <f t="shared" si="40"/>
        <v>28391172.979740713</v>
      </c>
      <c r="AN101" s="310">
        <f t="shared" si="40"/>
        <v>28391172.979740713</v>
      </c>
      <c r="AO101" s="310">
        <f t="shared" si="40"/>
        <v>28391172.979740713</v>
      </c>
      <c r="AP101" s="310">
        <f t="shared" si="40"/>
        <v>28391172.979740713</v>
      </c>
      <c r="AQ101" s="310">
        <f t="shared" si="40"/>
        <v>28391172.979740713</v>
      </c>
      <c r="AR101" s="310">
        <f t="shared" si="40"/>
        <v>28391172.979740713</v>
      </c>
      <c r="AS101" s="310">
        <f t="shared" si="40"/>
        <v>28391172.979740713</v>
      </c>
      <c r="AT101" s="310">
        <f t="shared" si="40"/>
        <v>28391172.979740713</v>
      </c>
      <c r="AU101" s="310">
        <f t="shared" si="40"/>
        <v>28391172.979740713</v>
      </c>
      <c r="AV101" s="310">
        <f t="shared" si="40"/>
        <v>28391172.979740713</v>
      </c>
      <c r="AW101" s="310">
        <f t="shared" si="40"/>
        <v>28391172.979740713</v>
      </c>
      <c r="AX101" s="310">
        <f t="shared" si="40"/>
        <v>28391172.979740713</v>
      </c>
      <c r="AY101" s="310">
        <f t="shared" si="40"/>
        <v>28391172.979740713</v>
      </c>
      <c r="AZ101" s="310">
        <f t="shared" si="40"/>
        <v>28391172.979740713</v>
      </c>
      <c r="BA101" s="310">
        <f t="shared" si="40"/>
        <v>28391172.979740713</v>
      </c>
      <c r="BB101" s="310">
        <f t="shared" si="40"/>
        <v>28391172.979740713</v>
      </c>
      <c r="BC101" s="310">
        <f t="shared" si="40"/>
        <v>28391172.979740713</v>
      </c>
      <c r="BD101" s="310">
        <f t="shared" si="40"/>
        <v>28391172.979740713</v>
      </c>
      <c r="BE101" s="310">
        <f t="shared" si="40"/>
        <v>28391172.979740713</v>
      </c>
      <c r="BF101" s="310">
        <f t="shared" si="40"/>
        <v>28391172.979740713</v>
      </c>
      <c r="BG101" s="310">
        <f t="shared" si="40"/>
        <v>28391172.979740713</v>
      </c>
      <c r="BH101" s="310">
        <f t="shared" si="40"/>
        <v>28391172.979740713</v>
      </c>
      <c r="BI101" s="310">
        <f t="shared" si="40"/>
        <v>28391172.979740713</v>
      </c>
      <c r="BJ101" s="310">
        <f t="shared" si="40"/>
        <v>28391172.979740713</v>
      </c>
      <c r="BK101" s="310">
        <f t="shared" si="40"/>
        <v>28391172.979740713</v>
      </c>
      <c r="BL101" s="310">
        <f t="shared" si="40"/>
        <v>28391172.979740713</v>
      </c>
      <c r="BM101" s="310">
        <f t="shared" si="40"/>
        <v>28391172.979740713</v>
      </c>
      <c r="BN101" s="310">
        <f t="shared" si="40"/>
        <v>28391172.979740713</v>
      </c>
      <c r="BO101" s="310">
        <f t="shared" si="40"/>
        <v>28391172.979740713</v>
      </c>
      <c r="BP101" s="310">
        <f t="shared" si="40"/>
        <v>28391172.979740713</v>
      </c>
      <c r="BQ101" s="310">
        <f t="shared" si="40"/>
        <v>28391172.979740713</v>
      </c>
      <c r="BR101" s="310">
        <f t="shared" si="40"/>
        <v>28391172.979740713</v>
      </c>
      <c r="BS101" s="310">
        <f t="shared" si="40"/>
        <v>28391172.979740713</v>
      </c>
      <c r="BT101" s="310">
        <f t="shared" si="40"/>
        <v>28391172.979740713</v>
      </c>
      <c r="BU101" s="310">
        <f t="shared" si="40"/>
        <v>28391172.979740713</v>
      </c>
      <c r="BV101" s="310">
        <f t="shared" si="40"/>
        <v>28391172.979740713</v>
      </c>
      <c r="BW101" s="310">
        <f t="shared" si="40"/>
        <v>28391172.979740713</v>
      </c>
      <c r="BX101" s="310">
        <f t="shared" si="40"/>
        <v>28391172.979740713</v>
      </c>
      <c r="BY101" s="226"/>
      <c r="BZ101" s="226"/>
      <c r="CA101" s="226"/>
      <c r="CB101" s="226"/>
      <c r="CC101" s="226"/>
    </row>
    <row r="102" spans="1:81">
      <c r="A102" s="226"/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26"/>
      <c r="AG102" s="226"/>
      <c r="AH102" s="226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6"/>
      <c r="AT102" s="226"/>
      <c r="AU102" s="226"/>
      <c r="AV102" s="226"/>
      <c r="AW102" s="226"/>
      <c r="AX102" s="226"/>
      <c r="AY102" s="226"/>
      <c r="AZ102" s="226"/>
      <c r="BA102" s="226"/>
      <c r="BB102" s="226"/>
      <c r="BC102" s="226"/>
      <c r="BD102" s="226"/>
      <c r="BE102" s="226"/>
      <c r="BF102" s="226"/>
      <c r="BG102" s="226"/>
      <c r="BH102" s="226"/>
      <c r="BI102" s="226"/>
      <c r="BJ102" s="226"/>
      <c r="BK102" s="226"/>
      <c r="BL102" s="226"/>
      <c r="BM102" s="226"/>
      <c r="BN102" s="226"/>
      <c r="BO102" s="226"/>
      <c r="BP102" s="226"/>
      <c r="BQ102" s="226"/>
      <c r="BR102" s="226"/>
      <c r="BS102" s="226"/>
      <c r="BT102" s="226"/>
      <c r="BU102" s="226"/>
      <c r="BV102" s="226"/>
      <c r="BW102" s="226"/>
      <c r="BX102" s="226"/>
      <c r="BY102" s="311"/>
      <c r="BZ102" s="226">
        <f>T101-8333333</f>
        <v>-3866041.9659120869</v>
      </c>
      <c r="CA102" s="226"/>
      <c r="CB102" s="226"/>
      <c r="CC102" s="226"/>
    </row>
    <row r="103" spans="1:81" hidden="1">
      <c r="A103" s="226"/>
      <c r="B103" s="226"/>
      <c r="C103" s="226"/>
      <c r="D103" s="312" t="s">
        <v>337</v>
      </c>
      <c r="E103" s="312"/>
      <c r="F103" s="312"/>
      <c r="G103" s="312"/>
      <c r="H103" s="312"/>
      <c r="I103" s="312"/>
      <c r="J103" s="312"/>
      <c r="K103" s="312"/>
      <c r="L103" s="312"/>
      <c r="M103" s="312"/>
      <c r="N103" s="312"/>
      <c r="O103" s="312"/>
      <c r="P103" s="312"/>
      <c r="Q103" s="312"/>
      <c r="R103" s="312"/>
      <c r="S103" s="312"/>
      <c r="T103" s="312"/>
      <c r="U103" s="312"/>
      <c r="V103" s="313"/>
      <c r="W103" s="313"/>
      <c r="X103" s="313"/>
      <c r="Y103" s="313"/>
      <c r="Z103" s="313"/>
      <c r="AA103" s="313"/>
      <c r="AB103" s="313"/>
      <c r="AC103" s="313"/>
      <c r="AD103" s="313"/>
      <c r="AE103" s="313"/>
      <c r="AF103" s="313"/>
      <c r="AG103" s="313"/>
      <c r="AH103" s="313"/>
      <c r="AI103" s="313"/>
      <c r="AJ103" s="313"/>
      <c r="AK103" s="313"/>
      <c r="AL103" s="313"/>
      <c r="AM103" s="313"/>
      <c r="AN103" s="313"/>
      <c r="AO103" s="313"/>
      <c r="AP103" s="313"/>
      <c r="AQ103" s="313"/>
      <c r="AR103" s="313"/>
      <c r="AS103" s="313"/>
      <c r="AT103" s="313"/>
      <c r="AU103" s="313"/>
      <c r="AV103" s="313"/>
      <c r="AW103" s="313"/>
      <c r="AX103" s="313"/>
      <c r="AY103" s="313"/>
      <c r="AZ103" s="313"/>
      <c r="BA103" s="313"/>
      <c r="BB103" s="313"/>
      <c r="BC103" s="313"/>
      <c r="BD103" s="313"/>
      <c r="BE103" s="313"/>
      <c r="BF103" s="313"/>
      <c r="BG103" s="313"/>
      <c r="BH103" s="313"/>
      <c r="BI103" s="313"/>
      <c r="BJ103" s="313"/>
      <c r="BK103" s="313"/>
      <c r="BL103" s="313"/>
      <c r="BM103" s="313"/>
      <c r="BN103" s="313"/>
      <c r="BO103" s="313"/>
      <c r="BP103" s="313"/>
      <c r="BQ103" s="313"/>
      <c r="BR103" s="313"/>
      <c r="BS103" s="313"/>
      <c r="BT103" s="313"/>
      <c r="BU103" s="313"/>
      <c r="BV103" s="313"/>
      <c r="BW103" s="313"/>
      <c r="BX103" s="313"/>
      <c r="BY103" s="311"/>
      <c r="BZ103" s="226"/>
      <c r="CA103" s="226"/>
      <c r="CB103" s="226"/>
      <c r="CC103" s="226"/>
    </row>
    <row r="104" spans="1:81" hidden="1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6"/>
      <c r="BN104" s="226"/>
      <c r="BO104" s="226"/>
      <c r="BP104" s="226"/>
      <c r="BQ104" s="226"/>
      <c r="BR104" s="226"/>
      <c r="BS104" s="226"/>
      <c r="BT104" s="226"/>
      <c r="BU104" s="226"/>
      <c r="BV104" s="226"/>
      <c r="BW104" s="226"/>
      <c r="BX104" s="226"/>
      <c r="BY104" s="311"/>
      <c r="BZ104" s="226"/>
      <c r="CA104" s="226"/>
      <c r="CB104" s="226"/>
      <c r="CC104" s="226"/>
    </row>
    <row r="105" spans="1:81" hidden="1">
      <c r="A105" s="226"/>
      <c r="B105" s="226"/>
      <c r="C105" s="314" t="s">
        <v>338</v>
      </c>
      <c r="D105" s="315"/>
      <c r="E105" s="316">
        <f>E113+E131+E163+E179</f>
        <v>0</v>
      </c>
      <c r="F105" s="316">
        <f t="shared" ref="F105:BW105" si="41">F113+F179</f>
        <v>0</v>
      </c>
      <c r="G105" s="316">
        <f t="shared" si="41"/>
        <v>0</v>
      </c>
      <c r="H105" s="316">
        <f t="shared" si="41"/>
        <v>-5341205.5</v>
      </c>
      <c r="I105" s="316">
        <f t="shared" si="41"/>
        <v>0</v>
      </c>
      <c r="J105" s="316">
        <f t="shared" si="41"/>
        <v>0</v>
      </c>
      <c r="K105" s="316">
        <f t="shared" si="41"/>
        <v>-885000</v>
      </c>
      <c r="L105" s="316">
        <f t="shared" si="41"/>
        <v>-1940000</v>
      </c>
      <c r="M105" s="316">
        <f t="shared" si="41"/>
        <v>-4260000</v>
      </c>
      <c r="N105" s="316">
        <f t="shared" si="41"/>
        <v>0</v>
      </c>
      <c r="O105" s="316">
        <f t="shared" si="41"/>
        <v>-320000</v>
      </c>
      <c r="P105" s="316">
        <f t="shared" si="41"/>
        <v>-1050000</v>
      </c>
      <c r="Q105" s="316">
        <f t="shared" si="41"/>
        <v>-4550000</v>
      </c>
      <c r="R105" s="316">
        <f t="shared" si="41"/>
        <v>0</v>
      </c>
      <c r="S105" s="316">
        <f t="shared" si="41"/>
        <v>-3550000</v>
      </c>
      <c r="T105" s="316">
        <f t="shared" si="41"/>
        <v>441205.5</v>
      </c>
      <c r="U105" s="316">
        <f t="shared" si="41"/>
        <v>-4100000</v>
      </c>
      <c r="V105" s="316">
        <f t="shared" si="41"/>
        <v>0</v>
      </c>
      <c r="W105" s="316">
        <f t="shared" si="41"/>
        <v>0</v>
      </c>
      <c r="X105" s="316">
        <f t="shared" si="41"/>
        <v>0</v>
      </c>
      <c r="Y105" s="316">
        <f t="shared" si="41"/>
        <v>0</v>
      </c>
      <c r="Z105" s="316">
        <f t="shared" si="41"/>
        <v>0</v>
      </c>
      <c r="AA105" s="316">
        <f t="shared" si="41"/>
        <v>41920002</v>
      </c>
      <c r="AB105" s="316">
        <f t="shared" si="41"/>
        <v>0</v>
      </c>
      <c r="AC105" s="316">
        <f t="shared" si="41"/>
        <v>0</v>
      </c>
      <c r="AD105" s="316">
        <f t="shared" si="41"/>
        <v>0</v>
      </c>
      <c r="AE105" s="316">
        <f t="shared" si="41"/>
        <v>0</v>
      </c>
      <c r="AF105" s="316">
        <f t="shared" si="41"/>
        <v>0</v>
      </c>
      <c r="AG105" s="316">
        <f t="shared" si="41"/>
        <v>0</v>
      </c>
      <c r="AH105" s="316">
        <f t="shared" si="41"/>
        <v>0</v>
      </c>
      <c r="AI105" s="316">
        <f t="shared" si="41"/>
        <v>0</v>
      </c>
      <c r="AJ105" s="316">
        <f t="shared" si="41"/>
        <v>0</v>
      </c>
      <c r="AK105" s="316">
        <f t="shared" si="41"/>
        <v>0</v>
      </c>
      <c r="AL105" s="316">
        <f t="shared" si="41"/>
        <v>0</v>
      </c>
      <c r="AM105" s="316">
        <f t="shared" si="41"/>
        <v>0</v>
      </c>
      <c r="AN105" s="316">
        <f t="shared" si="41"/>
        <v>0</v>
      </c>
      <c r="AO105" s="316">
        <f t="shared" si="41"/>
        <v>0</v>
      </c>
      <c r="AP105" s="316">
        <f t="shared" si="41"/>
        <v>0</v>
      </c>
      <c r="AQ105" s="316">
        <f t="shared" si="41"/>
        <v>0</v>
      </c>
      <c r="AR105" s="316">
        <f t="shared" si="41"/>
        <v>0</v>
      </c>
      <c r="AS105" s="316">
        <f t="shared" si="41"/>
        <v>0</v>
      </c>
      <c r="AT105" s="316">
        <f t="shared" si="41"/>
        <v>0</v>
      </c>
      <c r="AU105" s="316">
        <f t="shared" si="41"/>
        <v>0</v>
      </c>
      <c r="AV105" s="316">
        <f t="shared" si="41"/>
        <v>0</v>
      </c>
      <c r="AW105" s="316">
        <f t="shared" si="41"/>
        <v>0</v>
      </c>
      <c r="AX105" s="316">
        <f t="shared" si="41"/>
        <v>0</v>
      </c>
      <c r="AY105" s="316">
        <f t="shared" si="41"/>
        <v>0</v>
      </c>
      <c r="AZ105" s="316">
        <f t="shared" si="41"/>
        <v>0</v>
      </c>
      <c r="BA105" s="316">
        <f t="shared" si="41"/>
        <v>0</v>
      </c>
      <c r="BB105" s="316">
        <f t="shared" si="41"/>
        <v>0</v>
      </c>
      <c r="BC105" s="316">
        <f t="shared" si="41"/>
        <v>0</v>
      </c>
      <c r="BD105" s="316">
        <f t="shared" si="41"/>
        <v>0</v>
      </c>
      <c r="BE105" s="316">
        <f t="shared" si="41"/>
        <v>0</v>
      </c>
      <c r="BF105" s="316">
        <f t="shared" si="41"/>
        <v>0</v>
      </c>
      <c r="BG105" s="316">
        <f t="shared" si="41"/>
        <v>0</v>
      </c>
      <c r="BH105" s="316">
        <f t="shared" si="41"/>
        <v>0</v>
      </c>
      <c r="BI105" s="316">
        <f t="shared" si="41"/>
        <v>0</v>
      </c>
      <c r="BJ105" s="316">
        <f t="shared" si="41"/>
        <v>0</v>
      </c>
      <c r="BK105" s="316">
        <f t="shared" si="41"/>
        <v>0</v>
      </c>
      <c r="BL105" s="316">
        <f t="shared" si="41"/>
        <v>0</v>
      </c>
      <c r="BM105" s="316">
        <f t="shared" si="41"/>
        <v>0</v>
      </c>
      <c r="BN105" s="316">
        <f t="shared" si="41"/>
        <v>0</v>
      </c>
      <c r="BO105" s="316">
        <f t="shared" si="41"/>
        <v>0</v>
      </c>
      <c r="BP105" s="316">
        <f t="shared" si="41"/>
        <v>0</v>
      </c>
      <c r="BQ105" s="316">
        <f t="shared" si="41"/>
        <v>0</v>
      </c>
      <c r="BR105" s="316">
        <f t="shared" si="41"/>
        <v>0</v>
      </c>
      <c r="BS105" s="316">
        <f t="shared" si="41"/>
        <v>0</v>
      </c>
      <c r="BT105" s="316">
        <f t="shared" si="41"/>
        <v>0</v>
      </c>
      <c r="BU105" s="316">
        <f t="shared" si="41"/>
        <v>0</v>
      </c>
      <c r="BV105" s="316">
        <f t="shared" si="41"/>
        <v>0</v>
      </c>
      <c r="BW105" s="316">
        <f t="shared" si="41"/>
        <v>0</v>
      </c>
      <c r="BX105" s="316">
        <f>BX113+BX179+BX101</f>
        <v>28391172.979740713</v>
      </c>
      <c r="BY105" s="311"/>
      <c r="BZ105" s="226"/>
      <c r="CA105" s="226"/>
      <c r="CB105" s="226"/>
      <c r="CC105" s="226"/>
    </row>
    <row r="106" spans="1:81" hidden="1">
      <c r="A106" s="226"/>
      <c r="B106" s="226"/>
      <c r="C106" s="317" t="s">
        <v>339</v>
      </c>
      <c r="D106" s="793">
        <f>IRR(E105:BX105)*12</f>
        <v>0.54572121379902327</v>
      </c>
      <c r="E106" s="768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AY106" s="226"/>
      <c r="AZ106" s="226"/>
      <c r="BA106" s="226"/>
      <c r="BB106" s="226"/>
      <c r="BC106" s="226"/>
      <c r="BD106" s="226"/>
      <c r="BE106" s="226"/>
      <c r="BF106" s="226"/>
      <c r="BG106" s="226"/>
      <c r="BH106" s="226"/>
      <c r="BI106" s="226"/>
      <c r="BJ106" s="226"/>
      <c r="BK106" s="226"/>
      <c r="BL106" s="226"/>
      <c r="BM106" s="226"/>
      <c r="BN106" s="226"/>
      <c r="BO106" s="226"/>
      <c r="BP106" s="226"/>
      <c r="BQ106" s="226"/>
      <c r="BR106" s="226"/>
      <c r="BS106" s="226"/>
      <c r="BT106" s="226"/>
      <c r="BU106" s="226"/>
      <c r="BV106" s="226"/>
      <c r="BW106" s="226"/>
      <c r="BX106" s="226"/>
      <c r="BY106" s="311"/>
      <c r="BZ106" s="226"/>
      <c r="CA106" s="226"/>
      <c r="CB106" s="226"/>
      <c r="CC106" s="226"/>
    </row>
    <row r="107" spans="1:81" hidden="1">
      <c r="A107" s="226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  <c r="CA107" s="226"/>
      <c r="CB107" s="226"/>
      <c r="CC107" s="226"/>
    </row>
    <row r="108" spans="1:81" hidden="1">
      <c r="A108" s="226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  <c r="AY108" s="226"/>
      <c r="AZ108" s="226"/>
      <c r="BA108" s="226"/>
      <c r="BB108" s="226"/>
      <c r="BC108" s="226"/>
      <c r="BD108" s="226"/>
      <c r="BE108" s="226"/>
      <c r="BF108" s="226"/>
      <c r="BG108" s="226"/>
      <c r="BH108" s="226"/>
      <c r="BI108" s="226"/>
      <c r="BJ108" s="226"/>
      <c r="BK108" s="226"/>
      <c r="BL108" s="226"/>
      <c r="BM108" s="226"/>
      <c r="BN108" s="226"/>
      <c r="BO108" s="226"/>
      <c r="BP108" s="226"/>
      <c r="BQ108" s="226"/>
      <c r="BR108" s="226"/>
      <c r="BS108" s="226"/>
      <c r="BT108" s="226"/>
      <c r="BU108" s="226"/>
      <c r="BV108" s="226"/>
      <c r="BW108" s="226"/>
      <c r="BX108" s="226"/>
      <c r="BY108" s="311"/>
      <c r="BZ108" s="226"/>
      <c r="CA108" s="226"/>
      <c r="CB108" s="226"/>
      <c r="CC108" s="226"/>
    </row>
    <row r="109" spans="1:81" ht="17" hidden="1">
      <c r="A109" s="226"/>
      <c r="B109" s="226"/>
      <c r="C109" s="314" t="s">
        <v>340</v>
      </c>
      <c r="D109" s="794"/>
      <c r="E109" s="767"/>
      <c r="F109" s="767"/>
      <c r="G109" s="767"/>
      <c r="H109" s="767"/>
      <c r="I109" s="767"/>
      <c r="J109" s="767"/>
      <c r="K109" s="767"/>
      <c r="L109" s="767"/>
      <c r="M109" s="767"/>
      <c r="N109" s="767"/>
      <c r="O109" s="767"/>
      <c r="P109" s="767"/>
      <c r="Q109" s="767"/>
      <c r="R109" s="767"/>
      <c r="S109" s="767"/>
      <c r="T109" s="767"/>
      <c r="U109" s="767"/>
      <c r="V109" s="767"/>
      <c r="W109" s="767"/>
      <c r="X109" s="767"/>
      <c r="Y109" s="767"/>
      <c r="Z109" s="767"/>
      <c r="AA109" s="767"/>
      <c r="AB109" s="767"/>
      <c r="AC109" s="767"/>
      <c r="AD109" s="767"/>
      <c r="AE109" s="767"/>
      <c r="AF109" s="767"/>
      <c r="AG109" s="767"/>
      <c r="AH109" s="767"/>
      <c r="AI109" s="767"/>
      <c r="AJ109" s="767"/>
      <c r="AK109" s="767"/>
      <c r="AL109" s="767"/>
      <c r="AM109" s="767"/>
      <c r="AN109" s="767"/>
      <c r="AO109" s="767"/>
      <c r="AP109" s="767"/>
      <c r="AQ109" s="767"/>
      <c r="AR109" s="767"/>
      <c r="AS109" s="767"/>
      <c r="AT109" s="767"/>
      <c r="AU109" s="767"/>
      <c r="AV109" s="767"/>
      <c r="AW109" s="767"/>
      <c r="AX109" s="767"/>
      <c r="AY109" s="767"/>
      <c r="AZ109" s="767"/>
      <c r="BA109" s="767"/>
      <c r="BB109" s="767"/>
      <c r="BC109" s="767"/>
      <c r="BD109" s="767"/>
      <c r="BE109" s="767"/>
      <c r="BF109" s="767"/>
      <c r="BG109" s="767"/>
      <c r="BH109" s="767"/>
      <c r="BI109" s="767"/>
      <c r="BJ109" s="767"/>
      <c r="BK109" s="767"/>
      <c r="BL109" s="767"/>
      <c r="BM109" s="767"/>
      <c r="BN109" s="767"/>
      <c r="BO109" s="767"/>
      <c r="BP109" s="767"/>
      <c r="BQ109" s="767"/>
      <c r="BR109" s="767"/>
      <c r="BS109" s="767"/>
      <c r="BT109" s="767"/>
      <c r="BU109" s="767"/>
      <c r="BV109" s="767"/>
      <c r="BW109" s="768"/>
      <c r="BX109" s="319">
        <f>BX101*C110</f>
        <v>5678234.5959481429</v>
      </c>
      <c r="BY109" s="311"/>
      <c r="BZ109" s="226"/>
      <c r="CA109" s="226"/>
      <c r="CB109" s="226"/>
      <c r="CC109" s="226"/>
    </row>
    <row r="110" spans="1:81" ht="19" hidden="1">
      <c r="A110" s="226"/>
      <c r="B110" s="226"/>
      <c r="C110" s="320">
        <v>0.2</v>
      </c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6"/>
      <c r="BF110" s="226"/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6"/>
      <c r="BQ110" s="226"/>
      <c r="BR110" s="226"/>
      <c r="BS110" s="226"/>
      <c r="BT110" s="226"/>
      <c r="BU110" s="226"/>
      <c r="BV110" s="226"/>
      <c r="BW110" s="226"/>
      <c r="BX110" s="226"/>
      <c r="BY110" s="311"/>
      <c r="BZ110" s="226"/>
      <c r="CA110" s="226"/>
      <c r="CB110" s="226"/>
      <c r="CC110" s="226"/>
    </row>
    <row r="113" spans="3:76">
      <c r="C113" s="314" t="s">
        <v>341</v>
      </c>
      <c r="D113" s="315"/>
      <c r="E113" s="316">
        <f t="shared" ref="E113:G113" si="42">-(E5+E6+E91+E92)</f>
        <v>0</v>
      </c>
      <c r="F113" s="316">
        <f t="shared" si="42"/>
        <v>0</v>
      </c>
      <c r="G113" s="316">
        <f t="shared" si="42"/>
        <v>0</v>
      </c>
      <c r="H113" s="316">
        <f>-(+H6+H91+H92)</f>
        <v>0</v>
      </c>
      <c r="I113" s="316">
        <f t="shared" ref="I113:BM113" si="43">-(I5+I6+I91+I92)</f>
        <v>0</v>
      </c>
      <c r="J113" s="316">
        <f t="shared" si="43"/>
        <v>0</v>
      </c>
      <c r="K113" s="316">
        <f t="shared" si="43"/>
        <v>-885000</v>
      </c>
      <c r="L113" s="316">
        <f t="shared" si="43"/>
        <v>-1940000</v>
      </c>
      <c r="M113" s="316">
        <f t="shared" si="43"/>
        <v>-4260000</v>
      </c>
      <c r="N113" s="316">
        <f t="shared" si="43"/>
        <v>0</v>
      </c>
      <c r="O113" s="316">
        <f t="shared" si="43"/>
        <v>-320000</v>
      </c>
      <c r="P113" s="316">
        <f t="shared" si="43"/>
        <v>-1050000</v>
      </c>
      <c r="Q113" s="316">
        <f t="shared" si="43"/>
        <v>-4550000</v>
      </c>
      <c r="R113" s="316">
        <f t="shared" si="43"/>
        <v>0</v>
      </c>
      <c r="S113" s="316">
        <f t="shared" si="43"/>
        <v>-3550000</v>
      </c>
      <c r="T113" s="316">
        <f t="shared" si="43"/>
        <v>-4900000</v>
      </c>
      <c r="U113" s="316">
        <f t="shared" si="43"/>
        <v>-4100000</v>
      </c>
      <c r="V113" s="316">
        <f t="shared" si="43"/>
        <v>0</v>
      </c>
      <c r="W113" s="316">
        <f t="shared" si="43"/>
        <v>0</v>
      </c>
      <c r="X113" s="316">
        <f t="shared" si="43"/>
        <v>0</v>
      </c>
      <c r="Y113" s="316">
        <f t="shared" si="43"/>
        <v>0</v>
      </c>
      <c r="Z113" s="316">
        <f t="shared" si="43"/>
        <v>0</v>
      </c>
      <c r="AA113" s="316">
        <f t="shared" si="43"/>
        <v>41920002</v>
      </c>
      <c r="AB113" s="316">
        <f t="shared" si="43"/>
        <v>0</v>
      </c>
      <c r="AC113" s="316">
        <f t="shared" si="43"/>
        <v>0</v>
      </c>
      <c r="AD113" s="316">
        <f t="shared" si="43"/>
        <v>0</v>
      </c>
      <c r="AE113" s="316">
        <f t="shared" si="43"/>
        <v>0</v>
      </c>
      <c r="AF113" s="316">
        <f t="shared" si="43"/>
        <v>0</v>
      </c>
      <c r="AG113" s="316">
        <f t="shared" si="43"/>
        <v>0</v>
      </c>
      <c r="AH113" s="316">
        <f t="shared" si="43"/>
        <v>0</v>
      </c>
      <c r="AI113" s="316">
        <f t="shared" si="43"/>
        <v>0</v>
      </c>
      <c r="AJ113" s="316">
        <f t="shared" si="43"/>
        <v>0</v>
      </c>
      <c r="AK113" s="316">
        <f t="shared" si="43"/>
        <v>0</v>
      </c>
      <c r="AL113" s="316">
        <f t="shared" si="43"/>
        <v>0</v>
      </c>
      <c r="AM113" s="316">
        <f t="shared" si="43"/>
        <v>0</v>
      </c>
      <c r="AN113" s="316">
        <f t="shared" si="43"/>
        <v>0</v>
      </c>
      <c r="AO113" s="316">
        <f t="shared" si="43"/>
        <v>0</v>
      </c>
      <c r="AP113" s="316">
        <f t="shared" si="43"/>
        <v>0</v>
      </c>
      <c r="AQ113" s="316">
        <f t="shared" si="43"/>
        <v>0</v>
      </c>
      <c r="AR113" s="316">
        <f t="shared" si="43"/>
        <v>0</v>
      </c>
      <c r="AS113" s="316">
        <f t="shared" si="43"/>
        <v>0</v>
      </c>
      <c r="AT113" s="316">
        <f t="shared" si="43"/>
        <v>0</v>
      </c>
      <c r="AU113" s="316">
        <f t="shared" si="43"/>
        <v>0</v>
      </c>
      <c r="AV113" s="316">
        <f t="shared" si="43"/>
        <v>0</v>
      </c>
      <c r="AW113" s="316">
        <f t="shared" si="43"/>
        <v>0</v>
      </c>
      <c r="AX113" s="316">
        <f t="shared" si="43"/>
        <v>0</v>
      </c>
      <c r="AY113" s="316">
        <f t="shared" si="43"/>
        <v>0</v>
      </c>
      <c r="AZ113" s="316">
        <f t="shared" si="43"/>
        <v>0</v>
      </c>
      <c r="BA113" s="316">
        <f t="shared" si="43"/>
        <v>0</v>
      </c>
      <c r="BB113" s="316">
        <f t="shared" si="43"/>
        <v>0</v>
      </c>
      <c r="BC113" s="316">
        <f t="shared" si="43"/>
        <v>0</v>
      </c>
      <c r="BD113" s="316">
        <f t="shared" si="43"/>
        <v>0</v>
      </c>
      <c r="BE113" s="316">
        <f t="shared" si="43"/>
        <v>0</v>
      </c>
      <c r="BF113" s="316">
        <f t="shared" si="43"/>
        <v>0</v>
      </c>
      <c r="BG113" s="316">
        <f t="shared" si="43"/>
        <v>0</v>
      </c>
      <c r="BH113" s="316">
        <f t="shared" si="43"/>
        <v>0</v>
      </c>
      <c r="BI113" s="316">
        <f t="shared" si="43"/>
        <v>0</v>
      </c>
      <c r="BJ113" s="316">
        <f t="shared" si="43"/>
        <v>0</v>
      </c>
      <c r="BK113" s="316">
        <f t="shared" si="43"/>
        <v>0</v>
      </c>
      <c r="BL113" s="316">
        <f t="shared" si="43"/>
        <v>0</v>
      </c>
      <c r="BM113" s="316">
        <f t="shared" si="43"/>
        <v>0</v>
      </c>
      <c r="BN113" s="316">
        <f t="shared" ref="BN113:BX113" si="44">-(BN5+BN91)</f>
        <v>0</v>
      </c>
      <c r="BO113" s="316">
        <f t="shared" si="44"/>
        <v>0</v>
      </c>
      <c r="BP113" s="316">
        <f t="shared" si="44"/>
        <v>0</v>
      </c>
      <c r="BQ113" s="316">
        <f t="shared" si="44"/>
        <v>0</v>
      </c>
      <c r="BR113" s="316">
        <f t="shared" si="44"/>
        <v>0</v>
      </c>
      <c r="BS113" s="316">
        <f t="shared" si="44"/>
        <v>0</v>
      </c>
      <c r="BT113" s="316">
        <f t="shared" si="44"/>
        <v>0</v>
      </c>
      <c r="BU113" s="316">
        <f t="shared" si="44"/>
        <v>0</v>
      </c>
      <c r="BV113" s="316">
        <f t="shared" si="44"/>
        <v>0</v>
      </c>
      <c r="BW113" s="316">
        <f t="shared" si="44"/>
        <v>0</v>
      </c>
      <c r="BX113" s="316">
        <f t="shared" si="44"/>
        <v>0</v>
      </c>
    </row>
    <row r="114" spans="3:76">
      <c r="C114" s="314" t="s">
        <v>342</v>
      </c>
      <c r="D114" s="323"/>
      <c r="E114" s="315"/>
      <c r="F114" s="315"/>
      <c r="G114" s="315"/>
      <c r="H114" s="315">
        <f>-8333333</f>
        <v>-8333333</v>
      </c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15"/>
      <c r="AH114" s="315"/>
      <c r="AI114" s="315"/>
      <c r="AJ114" s="315"/>
      <c r="AK114" s="315"/>
      <c r="AL114" s="315"/>
      <c r="AM114" s="315"/>
      <c r="AN114" s="315"/>
      <c r="AO114" s="315"/>
      <c r="AP114" s="315"/>
      <c r="AQ114" s="315"/>
      <c r="AR114" s="315"/>
      <c r="AS114" s="315"/>
      <c r="AT114" s="315"/>
      <c r="AU114" s="315"/>
      <c r="AV114" s="315"/>
      <c r="AW114" s="315"/>
      <c r="AX114" s="315"/>
      <c r="AY114" s="315"/>
      <c r="AZ114" s="315"/>
      <c r="BA114" s="315"/>
      <c r="BB114" s="315"/>
      <c r="BC114" s="315"/>
      <c r="BD114" s="315"/>
      <c r="BE114" s="315"/>
      <c r="BF114" s="315"/>
      <c r="BG114" s="315"/>
      <c r="BH114" s="315"/>
      <c r="BI114" s="315"/>
      <c r="BJ114" s="315"/>
      <c r="BK114" s="315"/>
      <c r="BL114" s="315"/>
      <c r="BM114" s="315"/>
      <c r="BN114" s="315"/>
      <c r="BO114" s="315"/>
      <c r="BP114" s="315"/>
      <c r="BQ114" s="315"/>
      <c r="BR114" s="315"/>
      <c r="BS114" s="315"/>
      <c r="BT114" s="315"/>
      <c r="BU114" s="315"/>
      <c r="BV114" s="315"/>
      <c r="BW114" s="315"/>
      <c r="BX114" s="315"/>
    </row>
    <row r="115" spans="3:76">
      <c r="C115" s="314" t="s">
        <v>343</v>
      </c>
      <c r="D115" s="323"/>
      <c r="E115" s="315">
        <f t="shared" ref="E115:S115" si="45">-E56</f>
        <v>0</v>
      </c>
      <c r="F115" s="315">
        <f t="shared" si="45"/>
        <v>0</v>
      </c>
      <c r="G115" s="315">
        <f t="shared" si="45"/>
        <v>0</v>
      </c>
      <c r="H115" s="315">
        <f t="shared" si="45"/>
        <v>0</v>
      </c>
      <c r="I115" s="315">
        <f t="shared" si="45"/>
        <v>0</v>
      </c>
      <c r="J115" s="315">
        <f t="shared" si="45"/>
        <v>0</v>
      </c>
      <c r="K115" s="315">
        <f t="shared" si="45"/>
        <v>0</v>
      </c>
      <c r="L115" s="315">
        <f t="shared" si="45"/>
        <v>0</v>
      </c>
      <c r="M115" s="315">
        <f t="shared" si="45"/>
        <v>0</v>
      </c>
      <c r="N115" s="315">
        <f t="shared" si="45"/>
        <v>0</v>
      </c>
      <c r="O115" s="315">
        <f t="shared" si="45"/>
        <v>0</v>
      </c>
      <c r="P115" s="315">
        <f t="shared" si="45"/>
        <v>0</v>
      </c>
      <c r="Q115" s="315">
        <f t="shared" si="45"/>
        <v>0</v>
      </c>
      <c r="R115" s="315">
        <f t="shared" si="45"/>
        <v>0</v>
      </c>
      <c r="S115" s="315">
        <f t="shared" si="45"/>
        <v>0</v>
      </c>
      <c r="T115" s="315">
        <f>-T56-T57</f>
        <v>0</v>
      </c>
      <c r="U115" s="315">
        <f t="shared" ref="U115:Z115" si="46">-U56</f>
        <v>0</v>
      </c>
      <c r="V115" s="315">
        <f t="shared" si="46"/>
        <v>0</v>
      </c>
      <c r="W115" s="315">
        <f t="shared" si="46"/>
        <v>0</v>
      </c>
      <c r="X115" s="315">
        <f t="shared" si="46"/>
        <v>0</v>
      </c>
      <c r="Y115" s="315">
        <f t="shared" si="46"/>
        <v>0</v>
      </c>
      <c r="Z115" s="315">
        <f t="shared" si="46"/>
        <v>0</v>
      </c>
      <c r="AA115" s="315">
        <f>-AA56-AA57</f>
        <v>4513611.7827945203</v>
      </c>
      <c r="AB115" s="315">
        <f t="shared" ref="AB115:BX115" si="47">-AB56</f>
        <v>0</v>
      </c>
      <c r="AC115" s="315">
        <f t="shared" si="47"/>
        <v>0</v>
      </c>
      <c r="AD115" s="315">
        <f t="shared" si="47"/>
        <v>0</v>
      </c>
      <c r="AE115" s="315">
        <f t="shared" si="47"/>
        <v>0</v>
      </c>
      <c r="AF115" s="315">
        <f t="shared" si="47"/>
        <v>0</v>
      </c>
      <c r="AG115" s="315">
        <f t="shared" si="47"/>
        <v>0</v>
      </c>
      <c r="AH115" s="315">
        <f t="shared" si="47"/>
        <v>0</v>
      </c>
      <c r="AI115" s="315">
        <f t="shared" si="47"/>
        <v>0</v>
      </c>
      <c r="AJ115" s="315">
        <f t="shared" si="47"/>
        <v>0</v>
      </c>
      <c r="AK115" s="315">
        <f t="shared" si="47"/>
        <v>0</v>
      </c>
      <c r="AL115" s="315">
        <f t="shared" si="47"/>
        <v>0</v>
      </c>
      <c r="AM115" s="315">
        <f t="shared" si="47"/>
        <v>0</v>
      </c>
      <c r="AN115" s="315">
        <f t="shared" si="47"/>
        <v>0</v>
      </c>
      <c r="AO115" s="315">
        <f t="shared" si="47"/>
        <v>0</v>
      </c>
      <c r="AP115" s="315">
        <f t="shared" si="47"/>
        <v>0</v>
      </c>
      <c r="AQ115" s="315">
        <f t="shared" si="47"/>
        <v>0</v>
      </c>
      <c r="AR115" s="315">
        <f t="shared" si="47"/>
        <v>0</v>
      </c>
      <c r="AS115" s="315">
        <f t="shared" si="47"/>
        <v>0</v>
      </c>
      <c r="AT115" s="315">
        <f t="shared" si="47"/>
        <v>0</v>
      </c>
      <c r="AU115" s="315">
        <f t="shared" si="47"/>
        <v>0</v>
      </c>
      <c r="AV115" s="315">
        <f t="shared" si="47"/>
        <v>0</v>
      </c>
      <c r="AW115" s="315">
        <f t="shared" si="47"/>
        <v>0</v>
      </c>
      <c r="AX115" s="315">
        <f t="shared" si="47"/>
        <v>0</v>
      </c>
      <c r="AY115" s="315">
        <f t="shared" si="47"/>
        <v>0</v>
      </c>
      <c r="AZ115" s="315">
        <f t="shared" si="47"/>
        <v>0</v>
      </c>
      <c r="BA115" s="315">
        <f t="shared" si="47"/>
        <v>0</v>
      </c>
      <c r="BB115" s="315">
        <f t="shared" si="47"/>
        <v>0</v>
      </c>
      <c r="BC115" s="315">
        <f t="shared" si="47"/>
        <v>0</v>
      </c>
      <c r="BD115" s="315">
        <f t="shared" si="47"/>
        <v>0</v>
      </c>
      <c r="BE115" s="315">
        <f t="shared" si="47"/>
        <v>0</v>
      </c>
      <c r="BF115" s="315">
        <f t="shared" si="47"/>
        <v>0</v>
      </c>
      <c r="BG115" s="315">
        <f t="shared" si="47"/>
        <v>0</v>
      </c>
      <c r="BH115" s="315">
        <f t="shared" si="47"/>
        <v>0</v>
      </c>
      <c r="BI115" s="315">
        <f t="shared" si="47"/>
        <v>0</v>
      </c>
      <c r="BJ115" s="315">
        <f t="shared" si="47"/>
        <v>0</v>
      </c>
      <c r="BK115" s="315">
        <f t="shared" si="47"/>
        <v>0</v>
      </c>
      <c r="BL115" s="315">
        <f t="shared" si="47"/>
        <v>0</v>
      </c>
      <c r="BM115" s="315">
        <f t="shared" si="47"/>
        <v>0</v>
      </c>
      <c r="BN115" s="315">
        <f t="shared" si="47"/>
        <v>0</v>
      </c>
      <c r="BO115" s="315">
        <f t="shared" si="47"/>
        <v>0</v>
      </c>
      <c r="BP115" s="315">
        <f t="shared" si="47"/>
        <v>0</v>
      </c>
      <c r="BQ115" s="315">
        <f t="shared" si="47"/>
        <v>0</v>
      </c>
      <c r="BR115" s="315">
        <f t="shared" si="47"/>
        <v>0</v>
      </c>
      <c r="BS115" s="315">
        <f t="shared" si="47"/>
        <v>0</v>
      </c>
      <c r="BT115" s="315">
        <f t="shared" si="47"/>
        <v>0</v>
      </c>
      <c r="BU115" s="315">
        <f t="shared" si="47"/>
        <v>0</v>
      </c>
      <c r="BV115" s="315">
        <f t="shared" si="47"/>
        <v>0</v>
      </c>
      <c r="BW115" s="315">
        <f t="shared" si="47"/>
        <v>0</v>
      </c>
      <c r="BX115" s="315">
        <f t="shared" si="47"/>
        <v>0</v>
      </c>
    </row>
    <row r="116" spans="3:76">
      <c r="C116" s="314" t="s">
        <v>344</v>
      </c>
      <c r="D116" s="323"/>
      <c r="E116" s="315"/>
      <c r="F116" s="315"/>
      <c r="G116" s="315"/>
      <c r="H116" s="315">
        <f>-H5</f>
        <v>-16365002</v>
      </c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>
        <f>AA101</f>
        <v>28391172.979740713</v>
      </c>
      <c r="AB116" s="315"/>
      <c r="AC116" s="315"/>
      <c r="AD116" s="315"/>
      <c r="AE116" s="315"/>
      <c r="AF116" s="315"/>
      <c r="AG116" s="315"/>
      <c r="AH116" s="315"/>
      <c r="AI116" s="315"/>
      <c r="AJ116" s="315"/>
      <c r="AK116" s="315"/>
      <c r="AL116" s="315"/>
      <c r="AM116" s="315"/>
      <c r="AN116" s="315"/>
      <c r="AO116" s="315"/>
      <c r="AP116" s="315"/>
      <c r="AQ116" s="315"/>
      <c r="AR116" s="315"/>
      <c r="AS116" s="315"/>
      <c r="AT116" s="315"/>
      <c r="AU116" s="315"/>
      <c r="AV116" s="315"/>
      <c r="AW116" s="315"/>
      <c r="AX116" s="315"/>
      <c r="AY116" s="315"/>
      <c r="AZ116" s="315"/>
      <c r="BA116" s="315"/>
      <c r="BB116" s="315"/>
      <c r="BC116" s="315"/>
      <c r="BD116" s="315"/>
      <c r="BE116" s="315"/>
      <c r="BF116" s="315"/>
      <c r="BG116" s="315"/>
      <c r="BH116" s="315"/>
      <c r="BI116" s="315"/>
      <c r="BJ116" s="315"/>
      <c r="BK116" s="315"/>
      <c r="BL116" s="315"/>
      <c r="BM116" s="315"/>
      <c r="BN116" s="315"/>
      <c r="BO116" s="315"/>
      <c r="BP116" s="315"/>
      <c r="BQ116" s="315"/>
      <c r="BR116" s="315"/>
      <c r="BS116" s="315"/>
      <c r="BT116" s="315"/>
      <c r="BU116" s="315"/>
      <c r="BV116" s="315"/>
      <c r="BW116" s="315"/>
      <c r="BX116" s="315">
        <f>IF(D106&gt;0.25,(BX101-BX109)*D118,BX101*D118)</f>
        <v>22712938.383792572</v>
      </c>
    </row>
    <row r="117" spans="3:76">
      <c r="C117" s="314" t="s">
        <v>340</v>
      </c>
      <c r="D117" s="323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15"/>
      <c r="AH117" s="315"/>
      <c r="AI117" s="315"/>
      <c r="AJ117" s="315"/>
      <c r="AK117" s="315"/>
      <c r="AL117" s="315"/>
      <c r="AM117" s="315"/>
      <c r="AN117" s="315"/>
      <c r="AO117" s="315"/>
      <c r="AP117" s="315"/>
      <c r="AQ117" s="315"/>
      <c r="AR117" s="315"/>
      <c r="AS117" s="315"/>
      <c r="AT117" s="315"/>
      <c r="AU117" s="315"/>
      <c r="AV117" s="315"/>
      <c r="AW117" s="315"/>
      <c r="AX117" s="315"/>
      <c r="AY117" s="315"/>
      <c r="AZ117" s="315"/>
      <c r="BA117" s="315"/>
      <c r="BB117" s="315"/>
      <c r="BC117" s="315"/>
      <c r="BD117" s="315"/>
      <c r="BE117" s="315"/>
      <c r="BF117" s="315"/>
      <c r="BG117" s="315"/>
      <c r="BH117" s="315"/>
      <c r="BI117" s="315"/>
      <c r="BJ117" s="315"/>
      <c r="BK117" s="315"/>
      <c r="BL117" s="315"/>
      <c r="BM117" s="315"/>
      <c r="BN117" s="315"/>
      <c r="BO117" s="315"/>
      <c r="BP117" s="315"/>
      <c r="BQ117" s="315"/>
      <c r="BR117" s="315"/>
      <c r="BS117" s="315"/>
      <c r="BT117" s="315"/>
      <c r="BU117" s="315"/>
      <c r="BV117" s="315"/>
      <c r="BW117" s="315"/>
      <c r="BX117" s="315">
        <f>IF(D106&gt;0.25,BX109,0)</f>
        <v>5678234.5959481429</v>
      </c>
    </row>
    <row r="118" spans="3:76">
      <c r="C118" s="317" t="s">
        <v>345</v>
      </c>
      <c r="D118" s="323">
        <v>1</v>
      </c>
      <c r="E118" s="246"/>
      <c r="F118" s="246"/>
      <c r="G118" s="246"/>
      <c r="H118" s="246"/>
      <c r="I118" s="246"/>
      <c r="J118" s="246"/>
      <c r="K118" s="246"/>
      <c r="L118" s="246"/>
      <c r="M118" s="246"/>
      <c r="N118" s="246"/>
      <c r="O118" s="246"/>
      <c r="P118" s="246"/>
      <c r="Q118" s="246"/>
      <c r="R118" s="246"/>
      <c r="S118" s="246"/>
      <c r="T118" s="246"/>
      <c r="U118" s="246"/>
      <c r="V118" s="246"/>
      <c r="W118" s="246"/>
      <c r="X118" s="246"/>
      <c r="Y118" s="246"/>
      <c r="Z118" s="246"/>
      <c r="AA118" s="246"/>
      <c r="AB118" s="246"/>
      <c r="AC118" s="246"/>
      <c r="AD118" s="246"/>
      <c r="AE118" s="246"/>
      <c r="AF118" s="246"/>
      <c r="AG118" s="246"/>
      <c r="AH118" s="246"/>
      <c r="AI118" s="246"/>
      <c r="AJ118" s="246"/>
      <c r="AK118" s="246"/>
      <c r="AL118" s="246"/>
      <c r="AM118" s="246"/>
      <c r="AN118" s="246"/>
      <c r="AO118" s="246"/>
      <c r="AP118" s="246"/>
      <c r="AQ118" s="246"/>
      <c r="AR118" s="246"/>
      <c r="AS118" s="246"/>
      <c r="AT118" s="246"/>
      <c r="AU118" s="246"/>
      <c r="AV118" s="246"/>
      <c r="AW118" s="246"/>
      <c r="AX118" s="246"/>
      <c r="AY118" s="246"/>
      <c r="AZ118" s="246"/>
      <c r="BA118" s="246"/>
      <c r="BB118" s="246"/>
      <c r="BC118" s="324"/>
      <c r="BD118" s="246"/>
      <c r="BE118" s="246"/>
      <c r="BF118" s="246"/>
      <c r="BG118" s="246"/>
      <c r="BH118" s="246"/>
      <c r="BI118" s="246"/>
      <c r="BJ118" s="246"/>
      <c r="BK118" s="246"/>
      <c r="BL118" s="246"/>
      <c r="BM118" s="246"/>
      <c r="BN118" s="246"/>
      <c r="BO118" s="246"/>
      <c r="BP118" s="246"/>
      <c r="BQ118" s="246"/>
      <c r="BR118" s="246"/>
      <c r="BS118" s="246"/>
      <c r="BT118" s="246"/>
      <c r="BU118" s="246"/>
      <c r="BV118" s="246"/>
      <c r="BW118" s="246"/>
      <c r="BX118" s="246"/>
    </row>
    <row r="119" spans="3:76">
      <c r="C119" s="314" t="s">
        <v>346</v>
      </c>
      <c r="D119" s="318"/>
      <c r="E119" s="325">
        <f t="shared" ref="E119:BW119" si="48">E113+E114+E115+E116+E118</f>
        <v>0</v>
      </c>
      <c r="F119" s="325">
        <f t="shared" si="48"/>
        <v>0</v>
      </c>
      <c r="G119" s="325">
        <f t="shared" si="48"/>
        <v>0</v>
      </c>
      <c r="H119" s="325">
        <f t="shared" si="48"/>
        <v>-24698335</v>
      </c>
      <c r="I119" s="325">
        <f t="shared" si="48"/>
        <v>0</v>
      </c>
      <c r="J119" s="325">
        <f t="shared" si="48"/>
        <v>0</v>
      </c>
      <c r="K119" s="325">
        <f t="shared" si="48"/>
        <v>-885000</v>
      </c>
      <c r="L119" s="325">
        <f t="shared" si="48"/>
        <v>-1940000</v>
      </c>
      <c r="M119" s="325">
        <f t="shared" si="48"/>
        <v>-4260000</v>
      </c>
      <c r="N119" s="325">
        <f t="shared" si="48"/>
        <v>0</v>
      </c>
      <c r="O119" s="325">
        <f t="shared" si="48"/>
        <v>-320000</v>
      </c>
      <c r="P119" s="325">
        <f t="shared" si="48"/>
        <v>-1050000</v>
      </c>
      <c r="Q119" s="325">
        <f t="shared" si="48"/>
        <v>-4550000</v>
      </c>
      <c r="R119" s="325">
        <f t="shared" si="48"/>
        <v>0</v>
      </c>
      <c r="S119" s="325">
        <f t="shared" si="48"/>
        <v>-3550000</v>
      </c>
      <c r="T119" s="325">
        <f t="shared" si="48"/>
        <v>-4900000</v>
      </c>
      <c r="U119" s="325">
        <f t="shared" si="48"/>
        <v>-4100000</v>
      </c>
      <c r="V119" s="325">
        <f t="shared" si="48"/>
        <v>0</v>
      </c>
      <c r="W119" s="325">
        <f t="shared" si="48"/>
        <v>0</v>
      </c>
      <c r="X119" s="325">
        <f t="shared" si="48"/>
        <v>0</v>
      </c>
      <c r="Y119" s="325">
        <f t="shared" si="48"/>
        <v>0</v>
      </c>
      <c r="Z119" s="325">
        <f t="shared" si="48"/>
        <v>0</v>
      </c>
      <c r="AA119" s="325">
        <f t="shared" si="48"/>
        <v>74824786.762535229</v>
      </c>
      <c r="AB119" s="325">
        <f t="shared" si="48"/>
        <v>0</v>
      </c>
      <c r="AC119" s="325">
        <f t="shared" si="48"/>
        <v>0</v>
      </c>
      <c r="AD119" s="325">
        <f t="shared" si="48"/>
        <v>0</v>
      </c>
      <c r="AE119" s="325">
        <f t="shared" si="48"/>
        <v>0</v>
      </c>
      <c r="AF119" s="325">
        <f t="shared" si="48"/>
        <v>0</v>
      </c>
      <c r="AG119" s="325">
        <f t="shared" si="48"/>
        <v>0</v>
      </c>
      <c r="AH119" s="325">
        <f t="shared" si="48"/>
        <v>0</v>
      </c>
      <c r="AI119" s="325">
        <f t="shared" si="48"/>
        <v>0</v>
      </c>
      <c r="AJ119" s="325">
        <f t="shared" si="48"/>
        <v>0</v>
      </c>
      <c r="AK119" s="325">
        <f t="shared" si="48"/>
        <v>0</v>
      </c>
      <c r="AL119" s="325">
        <f t="shared" si="48"/>
        <v>0</v>
      </c>
      <c r="AM119" s="325">
        <f t="shared" si="48"/>
        <v>0</v>
      </c>
      <c r="AN119" s="325">
        <f t="shared" si="48"/>
        <v>0</v>
      </c>
      <c r="AO119" s="325">
        <f t="shared" si="48"/>
        <v>0</v>
      </c>
      <c r="AP119" s="325">
        <f t="shared" si="48"/>
        <v>0</v>
      </c>
      <c r="AQ119" s="325">
        <f t="shared" si="48"/>
        <v>0</v>
      </c>
      <c r="AR119" s="325">
        <f t="shared" si="48"/>
        <v>0</v>
      </c>
      <c r="AS119" s="325">
        <f t="shared" si="48"/>
        <v>0</v>
      </c>
      <c r="AT119" s="325">
        <f t="shared" si="48"/>
        <v>0</v>
      </c>
      <c r="AU119" s="325">
        <f t="shared" si="48"/>
        <v>0</v>
      </c>
      <c r="AV119" s="325">
        <f t="shared" si="48"/>
        <v>0</v>
      </c>
      <c r="AW119" s="325">
        <f t="shared" si="48"/>
        <v>0</v>
      </c>
      <c r="AX119" s="325">
        <f t="shared" si="48"/>
        <v>0</v>
      </c>
      <c r="AY119" s="325">
        <f t="shared" si="48"/>
        <v>0</v>
      </c>
      <c r="AZ119" s="325">
        <f t="shared" si="48"/>
        <v>0</v>
      </c>
      <c r="BA119" s="325">
        <f t="shared" si="48"/>
        <v>0</v>
      </c>
      <c r="BB119" s="325">
        <f t="shared" si="48"/>
        <v>0</v>
      </c>
      <c r="BC119" s="325">
        <f t="shared" si="48"/>
        <v>0</v>
      </c>
      <c r="BD119" s="325">
        <f t="shared" si="48"/>
        <v>0</v>
      </c>
      <c r="BE119" s="325">
        <f t="shared" si="48"/>
        <v>0</v>
      </c>
      <c r="BF119" s="325">
        <f t="shared" si="48"/>
        <v>0</v>
      </c>
      <c r="BG119" s="325">
        <f t="shared" si="48"/>
        <v>0</v>
      </c>
      <c r="BH119" s="325">
        <f t="shared" si="48"/>
        <v>0</v>
      </c>
      <c r="BI119" s="325">
        <f t="shared" si="48"/>
        <v>0</v>
      </c>
      <c r="BJ119" s="325">
        <f t="shared" si="48"/>
        <v>0</v>
      </c>
      <c r="BK119" s="325">
        <f t="shared" si="48"/>
        <v>0</v>
      </c>
      <c r="BL119" s="325">
        <f t="shared" si="48"/>
        <v>0</v>
      </c>
      <c r="BM119" s="325">
        <f t="shared" si="48"/>
        <v>0</v>
      </c>
      <c r="BN119" s="325">
        <f t="shared" si="48"/>
        <v>0</v>
      </c>
      <c r="BO119" s="325">
        <f t="shared" si="48"/>
        <v>0</v>
      </c>
      <c r="BP119" s="325">
        <f t="shared" si="48"/>
        <v>0</v>
      </c>
      <c r="BQ119" s="325">
        <f t="shared" si="48"/>
        <v>0</v>
      </c>
      <c r="BR119" s="325">
        <f t="shared" si="48"/>
        <v>0</v>
      </c>
      <c r="BS119" s="325">
        <f t="shared" si="48"/>
        <v>0</v>
      </c>
      <c r="BT119" s="325">
        <f t="shared" si="48"/>
        <v>0</v>
      </c>
      <c r="BU119" s="325">
        <f t="shared" si="48"/>
        <v>0</v>
      </c>
      <c r="BV119" s="325">
        <f t="shared" si="48"/>
        <v>0</v>
      </c>
      <c r="BW119" s="325">
        <f t="shared" si="48"/>
        <v>0</v>
      </c>
      <c r="BX119" s="325">
        <f>BX113+BX114+BX115+BX116+BX117+BX118</f>
        <v>28391172.979740717</v>
      </c>
    </row>
    <row r="120" spans="3:76">
      <c r="C120" s="317" t="s">
        <v>339</v>
      </c>
      <c r="D120" s="326">
        <f>IRR(H119:AA119)*12</f>
        <v>0.32973427223576035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6"/>
      <c r="BQ120" s="226"/>
      <c r="BR120" s="226"/>
      <c r="BS120" s="226"/>
      <c r="BT120" s="226"/>
      <c r="BU120" s="226"/>
      <c r="BV120" s="226"/>
      <c r="BW120" s="226"/>
      <c r="BX120" s="226"/>
    </row>
    <row r="121" spans="3:76">
      <c r="C121" s="327" t="s">
        <v>347</v>
      </c>
      <c r="D121" s="328">
        <f>SUM(BY5:BY6)</f>
        <v>41920002</v>
      </c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>
        <f>-Q62-Q97</f>
        <v>300416.66666666674</v>
      </c>
      <c r="R121" s="226">
        <f>Q121*11</f>
        <v>3304583.333333334</v>
      </c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  <c r="BX121" s="226"/>
    </row>
    <row r="122" spans="3:76">
      <c r="C122" s="327" t="s">
        <v>348</v>
      </c>
      <c r="D122" s="328">
        <f>-SUM(E114:BM114)</f>
        <v>8333333</v>
      </c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34">
        <f>SUM(Rentroll!$P$2:$P$4)</f>
        <v>613346.05139999976</v>
      </c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  <c r="BX122" s="226"/>
    </row>
    <row r="123" spans="3:76">
      <c r="C123" s="317" t="s">
        <v>349</v>
      </c>
      <c r="D123" s="329">
        <f>D121+D122</f>
        <v>50253335</v>
      </c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784" t="s">
        <v>625</v>
      </c>
      <c r="T123" s="772"/>
      <c r="U123" s="226"/>
      <c r="V123" s="226">
        <f>T113+5000000+3333333</f>
        <v>3433333</v>
      </c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Y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  <c r="BX123" s="226"/>
    </row>
    <row r="124" spans="3:76">
      <c r="C124" s="317" t="s">
        <v>350</v>
      </c>
      <c r="D124" s="329">
        <f>AA115+AA116</f>
        <v>32904784.762535233</v>
      </c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784" t="s">
        <v>626</v>
      </c>
      <c r="T124" s="772"/>
      <c r="U124" s="226"/>
      <c r="V124" s="226">
        <f>V123+11000000</f>
        <v>14433333</v>
      </c>
      <c r="W124" s="226"/>
      <c r="X124" s="226"/>
      <c r="Y124" s="226"/>
      <c r="Z124" s="226"/>
      <c r="AA124" s="226"/>
      <c r="AB124" s="226"/>
      <c r="AC124" s="226"/>
      <c r="AD124" s="226"/>
      <c r="AE124" s="226"/>
      <c r="AF124" s="226"/>
      <c r="AG124" s="226"/>
      <c r="AH124" s="226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AY124" s="226"/>
      <c r="AZ124" s="226"/>
      <c r="BA124" s="226"/>
      <c r="BB124" s="226"/>
      <c r="BC124" s="226"/>
      <c r="BD124" s="226"/>
      <c r="BE124" s="226"/>
      <c r="BF124" s="226"/>
      <c r="BG124" s="226"/>
      <c r="BH124" s="226"/>
      <c r="BI124" s="226"/>
      <c r="BJ124" s="226"/>
      <c r="BK124" s="226"/>
      <c r="BL124" s="226"/>
      <c r="BM124" s="226"/>
      <c r="BN124" s="226"/>
      <c r="BO124" s="226"/>
      <c r="BP124" s="226"/>
      <c r="BQ124" s="226"/>
      <c r="BR124" s="226"/>
      <c r="BS124" s="226"/>
      <c r="BT124" s="226"/>
      <c r="BU124" s="226"/>
      <c r="BV124" s="226"/>
      <c r="BW124" s="226"/>
      <c r="BX124" s="226"/>
    </row>
    <row r="125" spans="3:76">
      <c r="C125" s="317" t="s">
        <v>351</v>
      </c>
      <c r="D125" s="326">
        <f>(D124-D122)/D123</f>
        <v>0.48895166385544825</v>
      </c>
      <c r="E125" s="226"/>
      <c r="F125" s="242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 t="s">
        <v>627</v>
      </c>
      <c r="T125" s="226"/>
      <c r="U125" s="226"/>
      <c r="V125" s="226">
        <f>T119-V124</f>
        <v>-19333333</v>
      </c>
      <c r="W125" s="226"/>
      <c r="X125" s="226">
        <f>V124-T113-T101</f>
        <v>14866041.965912087</v>
      </c>
      <c r="Y125" s="226"/>
      <c r="Z125" s="226"/>
      <c r="AA125" s="226"/>
      <c r="AB125" s="226"/>
      <c r="AC125" s="226"/>
      <c r="AD125" s="226"/>
      <c r="AE125" s="226"/>
      <c r="AF125" s="226"/>
      <c r="AG125" s="226"/>
      <c r="AH125" s="226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AY125" s="226"/>
      <c r="AZ125" s="226"/>
      <c r="BA125" s="226"/>
      <c r="BB125" s="226"/>
      <c r="BC125" s="226"/>
      <c r="BD125" s="226"/>
      <c r="BE125" s="226"/>
      <c r="BF125" s="226"/>
      <c r="BG125" s="226"/>
      <c r="BH125" s="226"/>
      <c r="BI125" s="226"/>
      <c r="BJ125" s="226"/>
      <c r="BK125" s="226"/>
      <c r="BL125" s="226"/>
      <c r="BM125" s="226"/>
      <c r="BN125" s="226"/>
      <c r="BO125" s="226"/>
      <c r="BP125" s="226"/>
      <c r="BQ125" s="226"/>
      <c r="BR125" s="226"/>
      <c r="BS125" s="226"/>
      <c r="BT125" s="226"/>
      <c r="BU125" s="226"/>
      <c r="BV125" s="226"/>
      <c r="BW125" s="226"/>
      <c r="BX125" s="226"/>
    </row>
    <row r="126" spans="3:76"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42" t="e">
        <f>V125/-J113</f>
        <v>#DIV/0!</v>
      </c>
      <c r="W126" s="226"/>
      <c r="X126" s="226"/>
      <c r="Y126" s="226"/>
      <c r="Z126" s="226"/>
      <c r="AA126" s="226"/>
      <c r="AB126" s="226"/>
      <c r="AC126" s="226"/>
      <c r="AD126" s="226"/>
      <c r="AE126" s="226"/>
      <c r="AF126" s="226"/>
      <c r="AG126" s="226"/>
      <c r="AH126" s="226"/>
      <c r="AI126" s="226"/>
      <c r="AJ126" s="226"/>
      <c r="AK126" s="226"/>
      <c r="AL126" s="226"/>
      <c r="AM126" s="226"/>
      <c r="AN126" s="226"/>
      <c r="AO126" s="226"/>
      <c r="AP126" s="226"/>
      <c r="AQ126" s="226"/>
      <c r="AR126" s="226"/>
      <c r="AS126" s="226"/>
      <c r="AT126" s="226"/>
      <c r="AU126" s="226"/>
      <c r="AV126" s="226"/>
      <c r="AW126" s="226"/>
      <c r="AX126" s="226"/>
      <c r="AY126" s="226"/>
      <c r="AZ126" s="226"/>
      <c r="BA126" s="226"/>
      <c r="BB126" s="226"/>
      <c r="BC126" s="226"/>
      <c r="BD126" s="226"/>
      <c r="BE126" s="226"/>
      <c r="BF126" s="226"/>
      <c r="BG126" s="226"/>
      <c r="BH126" s="226"/>
      <c r="BI126" s="226"/>
      <c r="BJ126" s="226"/>
      <c r="BK126" s="226"/>
      <c r="BL126" s="226"/>
      <c r="BM126" s="226"/>
      <c r="BN126" s="226"/>
      <c r="BO126" s="226"/>
      <c r="BP126" s="226"/>
      <c r="BQ126" s="226"/>
      <c r="BR126" s="226"/>
      <c r="BS126" s="226"/>
      <c r="BT126" s="226"/>
      <c r="BU126" s="226"/>
      <c r="BV126" s="226"/>
      <c r="BW126" s="226"/>
      <c r="BX126" s="226"/>
    </row>
    <row r="131" spans="3:76">
      <c r="C131" s="314" t="s">
        <v>352</v>
      </c>
      <c r="D131" s="315"/>
      <c r="E131" s="315">
        <f t="shared" ref="E131:BX131" si="49">-(E6+E92)</f>
        <v>0</v>
      </c>
      <c r="F131" s="315">
        <f t="shared" si="49"/>
        <v>0</v>
      </c>
      <c r="G131" s="315">
        <f t="shared" si="49"/>
        <v>0</v>
      </c>
      <c r="H131" s="315">
        <f t="shared" si="49"/>
        <v>0</v>
      </c>
      <c r="I131" s="315">
        <f t="shared" si="49"/>
        <v>0</v>
      </c>
      <c r="J131" s="315">
        <f t="shared" si="49"/>
        <v>0</v>
      </c>
      <c r="K131" s="315">
        <f t="shared" si="49"/>
        <v>-885000</v>
      </c>
      <c r="L131" s="315">
        <f t="shared" si="49"/>
        <v>-1940000</v>
      </c>
      <c r="M131" s="315">
        <f t="shared" si="49"/>
        <v>-4260000</v>
      </c>
      <c r="N131" s="315">
        <f t="shared" si="49"/>
        <v>0</v>
      </c>
      <c r="O131" s="315">
        <f t="shared" si="49"/>
        <v>-320000</v>
      </c>
      <c r="P131" s="315">
        <f t="shared" si="49"/>
        <v>-1050000</v>
      </c>
      <c r="Q131" s="315">
        <f t="shared" si="49"/>
        <v>-4550000</v>
      </c>
      <c r="R131" s="315">
        <f t="shared" si="49"/>
        <v>0</v>
      </c>
      <c r="S131" s="315">
        <f t="shared" si="49"/>
        <v>-3550000</v>
      </c>
      <c r="T131" s="315">
        <f t="shared" si="49"/>
        <v>-4900000</v>
      </c>
      <c r="U131" s="315">
        <f t="shared" si="49"/>
        <v>-4100000</v>
      </c>
      <c r="V131" s="315">
        <f t="shared" si="49"/>
        <v>0</v>
      </c>
      <c r="W131" s="315">
        <f t="shared" si="49"/>
        <v>0</v>
      </c>
      <c r="X131" s="315">
        <f t="shared" si="49"/>
        <v>0</v>
      </c>
      <c r="Y131" s="315">
        <f t="shared" si="49"/>
        <v>0</v>
      </c>
      <c r="Z131" s="315">
        <f t="shared" si="49"/>
        <v>0</v>
      </c>
      <c r="AA131" s="315">
        <f t="shared" si="49"/>
        <v>25555000</v>
      </c>
      <c r="AB131" s="315">
        <f t="shared" si="49"/>
        <v>0</v>
      </c>
      <c r="AC131" s="315">
        <f t="shared" si="49"/>
        <v>0</v>
      </c>
      <c r="AD131" s="315">
        <f t="shared" si="49"/>
        <v>0</v>
      </c>
      <c r="AE131" s="315">
        <f t="shared" si="49"/>
        <v>0</v>
      </c>
      <c r="AF131" s="315">
        <f t="shared" si="49"/>
        <v>0</v>
      </c>
      <c r="AG131" s="315">
        <f t="shared" si="49"/>
        <v>0</v>
      </c>
      <c r="AH131" s="315">
        <f t="shared" si="49"/>
        <v>0</v>
      </c>
      <c r="AI131" s="315">
        <f t="shared" si="49"/>
        <v>0</v>
      </c>
      <c r="AJ131" s="315">
        <f t="shared" si="49"/>
        <v>0</v>
      </c>
      <c r="AK131" s="315">
        <f t="shared" si="49"/>
        <v>0</v>
      </c>
      <c r="AL131" s="315">
        <f t="shared" si="49"/>
        <v>0</v>
      </c>
      <c r="AM131" s="315">
        <f t="shared" si="49"/>
        <v>0</v>
      </c>
      <c r="AN131" s="315">
        <f t="shared" si="49"/>
        <v>0</v>
      </c>
      <c r="AO131" s="315">
        <f t="shared" si="49"/>
        <v>0</v>
      </c>
      <c r="AP131" s="315">
        <f t="shared" si="49"/>
        <v>0</v>
      </c>
      <c r="AQ131" s="315">
        <f t="shared" si="49"/>
        <v>0</v>
      </c>
      <c r="AR131" s="315">
        <f t="shared" si="49"/>
        <v>0</v>
      </c>
      <c r="AS131" s="315">
        <f t="shared" si="49"/>
        <v>0</v>
      </c>
      <c r="AT131" s="315">
        <f t="shared" si="49"/>
        <v>0</v>
      </c>
      <c r="AU131" s="315">
        <f t="shared" si="49"/>
        <v>0</v>
      </c>
      <c r="AV131" s="315">
        <f t="shared" si="49"/>
        <v>0</v>
      </c>
      <c r="AW131" s="315">
        <f t="shared" si="49"/>
        <v>0</v>
      </c>
      <c r="AX131" s="315">
        <f t="shared" si="49"/>
        <v>0</v>
      </c>
      <c r="AY131" s="315">
        <f t="shared" si="49"/>
        <v>0</v>
      </c>
      <c r="AZ131" s="315">
        <f t="shared" si="49"/>
        <v>0</v>
      </c>
      <c r="BA131" s="315">
        <f t="shared" si="49"/>
        <v>0</v>
      </c>
      <c r="BB131" s="315">
        <f t="shared" si="49"/>
        <v>0</v>
      </c>
      <c r="BC131" s="315">
        <f t="shared" si="49"/>
        <v>0</v>
      </c>
      <c r="BD131" s="315">
        <f t="shared" si="49"/>
        <v>0</v>
      </c>
      <c r="BE131" s="315">
        <f t="shared" si="49"/>
        <v>0</v>
      </c>
      <c r="BF131" s="315">
        <f t="shared" si="49"/>
        <v>0</v>
      </c>
      <c r="BG131" s="315">
        <f t="shared" si="49"/>
        <v>0</v>
      </c>
      <c r="BH131" s="315">
        <f t="shared" si="49"/>
        <v>0</v>
      </c>
      <c r="BI131" s="315">
        <f t="shared" si="49"/>
        <v>0</v>
      </c>
      <c r="BJ131" s="315">
        <f t="shared" si="49"/>
        <v>0</v>
      </c>
      <c r="BK131" s="315">
        <f t="shared" si="49"/>
        <v>0</v>
      </c>
      <c r="BL131" s="315">
        <f t="shared" si="49"/>
        <v>0</v>
      </c>
      <c r="BM131" s="315">
        <f t="shared" si="49"/>
        <v>0</v>
      </c>
      <c r="BN131" s="315">
        <f t="shared" si="49"/>
        <v>0</v>
      </c>
      <c r="BO131" s="315">
        <f t="shared" si="49"/>
        <v>0</v>
      </c>
      <c r="BP131" s="315">
        <f t="shared" si="49"/>
        <v>0</v>
      </c>
      <c r="BQ131" s="315">
        <f t="shared" si="49"/>
        <v>0</v>
      </c>
      <c r="BR131" s="315">
        <f t="shared" si="49"/>
        <v>0</v>
      </c>
      <c r="BS131" s="315">
        <f t="shared" si="49"/>
        <v>0</v>
      </c>
      <c r="BT131" s="315">
        <f t="shared" si="49"/>
        <v>0</v>
      </c>
      <c r="BU131" s="315">
        <f t="shared" si="49"/>
        <v>0</v>
      </c>
      <c r="BV131" s="315">
        <f t="shared" si="49"/>
        <v>0</v>
      </c>
      <c r="BW131" s="315">
        <f t="shared" si="49"/>
        <v>0</v>
      </c>
      <c r="BX131" s="315">
        <f t="shared" si="49"/>
        <v>0</v>
      </c>
    </row>
    <row r="132" spans="3:76">
      <c r="C132" s="314" t="s">
        <v>353</v>
      </c>
      <c r="D132" s="323"/>
      <c r="E132" s="315"/>
      <c r="F132" s="315"/>
      <c r="G132" s="315"/>
      <c r="H132" s="315"/>
      <c r="I132" s="315"/>
      <c r="J132" s="315"/>
      <c r="K132" s="315"/>
      <c r="L132" s="315"/>
      <c r="M132" s="315"/>
      <c r="N132" s="315"/>
      <c r="O132" s="315"/>
      <c r="P132" s="315"/>
      <c r="Q132" s="315"/>
      <c r="R132" s="315"/>
      <c r="S132" s="315"/>
      <c r="T132" s="315"/>
      <c r="U132" s="315"/>
      <c r="V132" s="315"/>
      <c r="W132" s="315"/>
      <c r="X132" s="315"/>
      <c r="Y132" s="315"/>
      <c r="Z132" s="315"/>
      <c r="AA132" s="315"/>
      <c r="AB132" s="315"/>
      <c r="AC132" s="315"/>
      <c r="AD132" s="315"/>
      <c r="AE132" s="315"/>
      <c r="AF132" s="315"/>
      <c r="AG132" s="315"/>
      <c r="AH132" s="315"/>
      <c r="AI132" s="315"/>
      <c r="AJ132" s="315"/>
      <c r="AK132" s="315"/>
      <c r="AL132" s="315"/>
      <c r="AM132" s="315"/>
      <c r="AN132" s="315"/>
      <c r="AO132" s="315"/>
      <c r="AP132" s="315"/>
      <c r="AQ132" s="315"/>
      <c r="AR132" s="315"/>
      <c r="AS132" s="315"/>
      <c r="AT132" s="315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</row>
    <row r="133" spans="3:76">
      <c r="C133" s="314" t="s">
        <v>343</v>
      </c>
      <c r="D133" s="323"/>
      <c r="E133" s="315">
        <f t="shared" ref="E133:BX133" si="50">-E57</f>
        <v>0</v>
      </c>
      <c r="F133" s="315">
        <f t="shared" si="50"/>
        <v>0</v>
      </c>
      <c r="G133" s="315">
        <f t="shared" si="50"/>
        <v>0</v>
      </c>
      <c r="H133" s="315">
        <f t="shared" si="50"/>
        <v>0</v>
      </c>
      <c r="I133" s="315">
        <f t="shared" si="50"/>
        <v>0</v>
      </c>
      <c r="J133" s="315">
        <f t="shared" si="50"/>
        <v>0</v>
      </c>
      <c r="K133" s="315">
        <f t="shared" si="50"/>
        <v>0</v>
      </c>
      <c r="L133" s="315">
        <f t="shared" si="50"/>
        <v>0</v>
      </c>
      <c r="M133" s="315">
        <f t="shared" si="50"/>
        <v>0</v>
      </c>
      <c r="N133" s="315">
        <f t="shared" si="50"/>
        <v>0</v>
      </c>
      <c r="O133" s="315">
        <f t="shared" si="50"/>
        <v>0</v>
      </c>
      <c r="P133" s="315">
        <f t="shared" si="50"/>
        <v>0</v>
      </c>
      <c r="Q133" s="315">
        <f t="shared" si="50"/>
        <v>0</v>
      </c>
      <c r="R133" s="315">
        <f t="shared" si="50"/>
        <v>0</v>
      </c>
      <c r="S133" s="315">
        <f t="shared" si="50"/>
        <v>0</v>
      </c>
      <c r="T133" s="315">
        <f t="shared" si="50"/>
        <v>0</v>
      </c>
      <c r="U133" s="315">
        <f t="shared" si="50"/>
        <v>0</v>
      </c>
      <c r="V133" s="315">
        <f t="shared" si="50"/>
        <v>0</v>
      </c>
      <c r="W133" s="315">
        <f t="shared" si="50"/>
        <v>0</v>
      </c>
      <c r="X133" s="315">
        <f t="shared" si="50"/>
        <v>0</v>
      </c>
      <c r="Y133" s="315">
        <f t="shared" si="50"/>
        <v>0</v>
      </c>
      <c r="Z133" s="315">
        <f t="shared" si="50"/>
        <v>0</v>
      </c>
      <c r="AA133" s="315">
        <f t="shared" si="50"/>
        <v>2535912.5</v>
      </c>
      <c r="AB133" s="315">
        <f t="shared" si="50"/>
        <v>0</v>
      </c>
      <c r="AC133" s="315">
        <f t="shared" si="50"/>
        <v>0</v>
      </c>
      <c r="AD133" s="315">
        <f t="shared" si="50"/>
        <v>0</v>
      </c>
      <c r="AE133" s="315">
        <f t="shared" si="50"/>
        <v>0</v>
      </c>
      <c r="AF133" s="315">
        <f t="shared" si="50"/>
        <v>0</v>
      </c>
      <c r="AG133" s="315">
        <f t="shared" si="50"/>
        <v>0</v>
      </c>
      <c r="AH133" s="315">
        <f t="shared" si="50"/>
        <v>0</v>
      </c>
      <c r="AI133" s="315">
        <f t="shared" si="50"/>
        <v>0</v>
      </c>
      <c r="AJ133" s="315">
        <f t="shared" si="50"/>
        <v>0</v>
      </c>
      <c r="AK133" s="315">
        <f t="shared" si="50"/>
        <v>0</v>
      </c>
      <c r="AL133" s="315">
        <f t="shared" si="50"/>
        <v>0</v>
      </c>
      <c r="AM133" s="315">
        <f t="shared" si="50"/>
        <v>0</v>
      </c>
      <c r="AN133" s="315">
        <f t="shared" si="50"/>
        <v>0</v>
      </c>
      <c r="AO133" s="315">
        <f t="shared" si="50"/>
        <v>0</v>
      </c>
      <c r="AP133" s="315">
        <f t="shared" si="50"/>
        <v>0</v>
      </c>
      <c r="AQ133" s="315">
        <f t="shared" si="50"/>
        <v>0</v>
      </c>
      <c r="AR133" s="315">
        <f t="shared" si="50"/>
        <v>0</v>
      </c>
      <c r="AS133" s="315">
        <f t="shared" si="50"/>
        <v>0</v>
      </c>
      <c r="AT133" s="315">
        <f t="shared" si="50"/>
        <v>0</v>
      </c>
      <c r="AU133" s="315">
        <f t="shared" si="50"/>
        <v>0</v>
      </c>
      <c r="AV133" s="315">
        <f t="shared" si="50"/>
        <v>0</v>
      </c>
      <c r="AW133" s="315">
        <f t="shared" si="50"/>
        <v>0</v>
      </c>
      <c r="AX133" s="315">
        <f t="shared" si="50"/>
        <v>0</v>
      </c>
      <c r="AY133" s="315">
        <f t="shared" si="50"/>
        <v>0</v>
      </c>
      <c r="AZ133" s="315">
        <f t="shared" si="50"/>
        <v>0</v>
      </c>
      <c r="BA133" s="315">
        <f t="shared" si="50"/>
        <v>0</v>
      </c>
      <c r="BB133" s="315">
        <f t="shared" si="50"/>
        <v>0</v>
      </c>
      <c r="BC133" s="315">
        <f t="shared" si="50"/>
        <v>0</v>
      </c>
      <c r="BD133" s="315">
        <f t="shared" si="50"/>
        <v>0</v>
      </c>
      <c r="BE133" s="315">
        <f t="shared" si="50"/>
        <v>0</v>
      </c>
      <c r="BF133" s="315">
        <f t="shared" si="50"/>
        <v>0</v>
      </c>
      <c r="BG133" s="315">
        <f t="shared" si="50"/>
        <v>0</v>
      </c>
      <c r="BH133" s="315">
        <f t="shared" si="50"/>
        <v>0</v>
      </c>
      <c r="BI133" s="315">
        <f t="shared" si="50"/>
        <v>0</v>
      </c>
      <c r="BJ133" s="315">
        <f t="shared" si="50"/>
        <v>0</v>
      </c>
      <c r="BK133" s="315">
        <f t="shared" si="50"/>
        <v>0</v>
      </c>
      <c r="BL133" s="315">
        <f t="shared" si="50"/>
        <v>0</v>
      </c>
      <c r="BM133" s="315">
        <f t="shared" si="50"/>
        <v>0</v>
      </c>
      <c r="BN133" s="315">
        <f t="shared" si="50"/>
        <v>0</v>
      </c>
      <c r="BO133" s="315">
        <f t="shared" si="50"/>
        <v>0</v>
      </c>
      <c r="BP133" s="315">
        <f t="shared" si="50"/>
        <v>0</v>
      </c>
      <c r="BQ133" s="315">
        <f t="shared" si="50"/>
        <v>0</v>
      </c>
      <c r="BR133" s="315">
        <f t="shared" si="50"/>
        <v>0</v>
      </c>
      <c r="BS133" s="315">
        <f t="shared" si="50"/>
        <v>0</v>
      </c>
      <c r="BT133" s="315">
        <f t="shared" si="50"/>
        <v>0</v>
      </c>
      <c r="BU133" s="315">
        <f t="shared" si="50"/>
        <v>0</v>
      </c>
      <c r="BV133" s="315">
        <f t="shared" si="50"/>
        <v>0</v>
      </c>
      <c r="BW133" s="315">
        <f t="shared" si="50"/>
        <v>0</v>
      </c>
      <c r="BX133" s="315">
        <f t="shared" si="50"/>
        <v>0</v>
      </c>
    </row>
    <row r="134" spans="3:76">
      <c r="C134" s="314" t="s">
        <v>344</v>
      </c>
      <c r="D134" s="323"/>
      <c r="E134" s="315"/>
      <c r="F134" s="315"/>
      <c r="G134" s="315"/>
      <c r="H134" s="315"/>
      <c r="I134" s="315"/>
      <c r="J134" s="315"/>
      <c r="K134" s="315"/>
      <c r="L134" s="315"/>
      <c r="M134" s="315"/>
      <c r="N134" s="315"/>
      <c r="O134" s="315"/>
      <c r="P134" s="315"/>
      <c r="Q134" s="315"/>
      <c r="R134" s="315"/>
      <c r="S134" s="315"/>
      <c r="T134" s="315">
        <f>T101-T150-T166-T182</f>
        <v>-6532708.9659120869</v>
      </c>
      <c r="U134" s="315"/>
      <c r="V134" s="315"/>
      <c r="W134" s="315"/>
      <c r="X134" s="315"/>
      <c r="Y134" s="315"/>
      <c r="Z134" s="315"/>
      <c r="AA134" s="315"/>
      <c r="AB134" s="315"/>
      <c r="AC134" s="315"/>
      <c r="AD134" s="315"/>
      <c r="AE134" s="315"/>
      <c r="AF134" s="315"/>
      <c r="AG134" s="315"/>
      <c r="AH134" s="315"/>
      <c r="AI134" s="315"/>
      <c r="AJ134" s="315"/>
      <c r="AK134" s="315"/>
      <c r="AL134" s="315"/>
      <c r="AM134" s="315"/>
      <c r="AN134" s="315"/>
      <c r="AO134" s="315"/>
      <c r="AP134" s="315"/>
      <c r="AQ134" s="315"/>
      <c r="AR134" s="315"/>
      <c r="AS134" s="315"/>
      <c r="AT134" s="315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>
        <f>IF(D106&gt;0.25,(BX101-BX109)*D135,BX101*D135)</f>
        <v>0</v>
      </c>
    </row>
    <row r="135" spans="3:76">
      <c r="C135" s="317" t="s">
        <v>345</v>
      </c>
      <c r="D135" s="323">
        <v>0</v>
      </c>
      <c r="E135" s="246"/>
      <c r="F135" s="246"/>
      <c r="G135" s="246"/>
      <c r="H135" s="246"/>
      <c r="I135" s="246"/>
      <c r="J135" s="246"/>
      <c r="K135" s="246"/>
      <c r="L135" s="246"/>
      <c r="M135" s="246"/>
      <c r="N135" s="246"/>
      <c r="O135" s="246"/>
      <c r="P135" s="246"/>
      <c r="Q135" s="246"/>
      <c r="R135" s="246"/>
      <c r="S135" s="246"/>
      <c r="T135" s="246"/>
      <c r="U135" s="246"/>
      <c r="V135" s="246"/>
      <c r="W135" s="246"/>
      <c r="X135" s="246"/>
      <c r="Y135" s="246"/>
      <c r="Z135" s="246"/>
      <c r="AA135" s="246"/>
      <c r="AB135" s="246"/>
      <c r="AC135" s="246"/>
      <c r="AD135" s="246"/>
      <c r="AE135" s="246"/>
      <c r="AF135" s="246"/>
      <c r="AG135" s="246"/>
      <c r="AH135" s="246"/>
      <c r="AI135" s="246"/>
      <c r="AJ135" s="246"/>
      <c r="AK135" s="246"/>
      <c r="AL135" s="246"/>
      <c r="AM135" s="246"/>
      <c r="AN135" s="246"/>
      <c r="AO135" s="246"/>
      <c r="AP135" s="246"/>
      <c r="AQ135" s="246"/>
      <c r="AR135" s="246"/>
      <c r="AS135" s="246"/>
      <c r="AT135" s="246"/>
      <c r="AU135" s="246"/>
      <c r="AV135" s="246"/>
      <c r="AW135" s="246"/>
      <c r="AX135" s="246"/>
      <c r="AY135" s="246"/>
      <c r="AZ135" s="246"/>
      <c r="BA135" s="246"/>
      <c r="BB135" s="246"/>
      <c r="BC135" s="246"/>
      <c r="BD135" s="246"/>
      <c r="BE135" s="246"/>
      <c r="BF135" s="246"/>
      <c r="BG135" s="246"/>
      <c r="BH135" s="246"/>
      <c r="BI135" s="246"/>
      <c r="BJ135" s="246"/>
      <c r="BK135" s="246"/>
      <c r="BL135" s="246"/>
      <c r="BM135" s="246"/>
      <c r="BN135" s="246"/>
      <c r="BO135" s="246"/>
      <c r="BP135" s="246"/>
      <c r="BQ135" s="246"/>
      <c r="BR135" s="246"/>
      <c r="BS135" s="246"/>
      <c r="BT135" s="246"/>
      <c r="BU135" s="246"/>
      <c r="BV135" s="246"/>
      <c r="BW135" s="246"/>
      <c r="BX135" s="246"/>
    </row>
    <row r="136" spans="3:76">
      <c r="C136" s="314" t="s">
        <v>346</v>
      </c>
      <c r="D136" s="315"/>
      <c r="E136" s="325">
        <f t="shared" ref="E136:BX136" si="51">E131+E132+E133+E134+E135</f>
        <v>0</v>
      </c>
      <c r="F136" s="325">
        <f t="shared" si="51"/>
        <v>0</v>
      </c>
      <c r="G136" s="325">
        <f t="shared" si="51"/>
        <v>0</v>
      </c>
      <c r="H136" s="325">
        <f t="shared" si="51"/>
        <v>0</v>
      </c>
      <c r="I136" s="325">
        <f t="shared" si="51"/>
        <v>0</v>
      </c>
      <c r="J136" s="325">
        <f t="shared" si="51"/>
        <v>0</v>
      </c>
      <c r="K136" s="325">
        <f t="shared" si="51"/>
        <v>-885000</v>
      </c>
      <c r="L136" s="325">
        <f t="shared" si="51"/>
        <v>-1940000</v>
      </c>
      <c r="M136" s="325">
        <f t="shared" si="51"/>
        <v>-4260000</v>
      </c>
      <c r="N136" s="325">
        <f t="shared" si="51"/>
        <v>0</v>
      </c>
      <c r="O136" s="325">
        <f t="shared" si="51"/>
        <v>-320000</v>
      </c>
      <c r="P136" s="325">
        <f t="shared" si="51"/>
        <v>-1050000</v>
      </c>
      <c r="Q136" s="325">
        <f t="shared" si="51"/>
        <v>-4550000</v>
      </c>
      <c r="R136" s="325">
        <f t="shared" si="51"/>
        <v>0</v>
      </c>
      <c r="S136" s="325">
        <f t="shared" si="51"/>
        <v>-3550000</v>
      </c>
      <c r="T136" s="325">
        <f t="shared" si="51"/>
        <v>-11432708.965912087</v>
      </c>
      <c r="U136" s="325">
        <f t="shared" si="51"/>
        <v>-4100000</v>
      </c>
      <c r="V136" s="325">
        <f t="shared" si="51"/>
        <v>0</v>
      </c>
      <c r="W136" s="325">
        <f t="shared" si="51"/>
        <v>0</v>
      </c>
      <c r="X136" s="325">
        <f t="shared" si="51"/>
        <v>0</v>
      </c>
      <c r="Y136" s="325">
        <f t="shared" si="51"/>
        <v>0</v>
      </c>
      <c r="Z136" s="325">
        <f t="shared" si="51"/>
        <v>0</v>
      </c>
      <c r="AA136" s="325">
        <f t="shared" si="51"/>
        <v>28090912.5</v>
      </c>
      <c r="AB136" s="325">
        <f t="shared" si="51"/>
        <v>0</v>
      </c>
      <c r="AC136" s="325">
        <f t="shared" si="51"/>
        <v>0</v>
      </c>
      <c r="AD136" s="325">
        <f t="shared" si="51"/>
        <v>0</v>
      </c>
      <c r="AE136" s="325">
        <f t="shared" si="51"/>
        <v>0</v>
      </c>
      <c r="AF136" s="325">
        <f t="shared" si="51"/>
        <v>0</v>
      </c>
      <c r="AG136" s="325">
        <f t="shared" si="51"/>
        <v>0</v>
      </c>
      <c r="AH136" s="325">
        <f t="shared" si="51"/>
        <v>0</v>
      </c>
      <c r="AI136" s="325">
        <f t="shared" si="51"/>
        <v>0</v>
      </c>
      <c r="AJ136" s="325">
        <f t="shared" si="51"/>
        <v>0</v>
      </c>
      <c r="AK136" s="325">
        <f t="shared" si="51"/>
        <v>0</v>
      </c>
      <c r="AL136" s="325">
        <f t="shared" si="51"/>
        <v>0</v>
      </c>
      <c r="AM136" s="325">
        <f t="shared" si="51"/>
        <v>0</v>
      </c>
      <c r="AN136" s="325">
        <f t="shared" si="51"/>
        <v>0</v>
      </c>
      <c r="AO136" s="325">
        <f t="shared" si="51"/>
        <v>0</v>
      </c>
      <c r="AP136" s="325">
        <f t="shared" si="51"/>
        <v>0</v>
      </c>
      <c r="AQ136" s="325">
        <f t="shared" si="51"/>
        <v>0</v>
      </c>
      <c r="AR136" s="325">
        <f t="shared" si="51"/>
        <v>0</v>
      </c>
      <c r="AS136" s="325">
        <f t="shared" si="51"/>
        <v>0</v>
      </c>
      <c r="AT136" s="325">
        <f t="shared" si="51"/>
        <v>0</v>
      </c>
      <c r="AU136" s="325">
        <f t="shared" si="51"/>
        <v>0</v>
      </c>
      <c r="AV136" s="325">
        <f t="shared" si="51"/>
        <v>0</v>
      </c>
      <c r="AW136" s="325">
        <f t="shared" si="51"/>
        <v>0</v>
      </c>
      <c r="AX136" s="325">
        <f t="shared" si="51"/>
        <v>0</v>
      </c>
      <c r="AY136" s="325">
        <f t="shared" si="51"/>
        <v>0</v>
      </c>
      <c r="AZ136" s="325">
        <f t="shared" si="51"/>
        <v>0</v>
      </c>
      <c r="BA136" s="325">
        <f t="shared" si="51"/>
        <v>0</v>
      </c>
      <c r="BB136" s="325">
        <f t="shared" si="51"/>
        <v>0</v>
      </c>
      <c r="BC136" s="325">
        <f t="shared" si="51"/>
        <v>0</v>
      </c>
      <c r="BD136" s="325">
        <f t="shared" si="51"/>
        <v>0</v>
      </c>
      <c r="BE136" s="325">
        <f t="shared" si="51"/>
        <v>0</v>
      </c>
      <c r="BF136" s="325">
        <f t="shared" si="51"/>
        <v>0</v>
      </c>
      <c r="BG136" s="325">
        <f t="shared" si="51"/>
        <v>0</v>
      </c>
      <c r="BH136" s="325">
        <f t="shared" si="51"/>
        <v>0</v>
      </c>
      <c r="BI136" s="325">
        <f t="shared" si="51"/>
        <v>0</v>
      </c>
      <c r="BJ136" s="325">
        <f t="shared" si="51"/>
        <v>0</v>
      </c>
      <c r="BK136" s="325">
        <f t="shared" si="51"/>
        <v>0</v>
      </c>
      <c r="BL136" s="325">
        <f t="shared" si="51"/>
        <v>0</v>
      </c>
      <c r="BM136" s="325">
        <f t="shared" si="51"/>
        <v>0</v>
      </c>
      <c r="BN136" s="325">
        <f t="shared" si="51"/>
        <v>0</v>
      </c>
      <c r="BO136" s="325">
        <f t="shared" si="51"/>
        <v>0</v>
      </c>
      <c r="BP136" s="325">
        <f t="shared" si="51"/>
        <v>0</v>
      </c>
      <c r="BQ136" s="325">
        <f t="shared" si="51"/>
        <v>0</v>
      </c>
      <c r="BR136" s="325">
        <f t="shared" si="51"/>
        <v>0</v>
      </c>
      <c r="BS136" s="325">
        <f t="shared" si="51"/>
        <v>0</v>
      </c>
      <c r="BT136" s="325">
        <f t="shared" si="51"/>
        <v>0</v>
      </c>
      <c r="BU136" s="325">
        <f t="shared" si="51"/>
        <v>0</v>
      </c>
      <c r="BV136" s="325">
        <f t="shared" si="51"/>
        <v>0</v>
      </c>
      <c r="BW136" s="325">
        <f t="shared" si="51"/>
        <v>0</v>
      </c>
      <c r="BX136" s="325">
        <f t="shared" si="51"/>
        <v>0</v>
      </c>
    </row>
    <row r="137" spans="3:76">
      <c r="C137" s="318"/>
      <c r="D137" s="326" t="s">
        <v>354</v>
      </c>
      <c r="E137" s="330">
        <f>E136</f>
        <v>0</v>
      </c>
      <c r="F137" s="330">
        <f t="shared" ref="F137:BX137" si="52">E137+F136</f>
        <v>0</v>
      </c>
      <c r="G137" s="330">
        <f t="shared" si="52"/>
        <v>0</v>
      </c>
      <c r="H137" s="330">
        <f t="shared" si="52"/>
        <v>0</v>
      </c>
      <c r="I137" s="330">
        <f t="shared" si="52"/>
        <v>0</v>
      </c>
      <c r="J137" s="330">
        <f t="shared" si="52"/>
        <v>0</v>
      </c>
      <c r="K137" s="330">
        <f t="shared" si="52"/>
        <v>-885000</v>
      </c>
      <c r="L137" s="330">
        <f t="shared" si="52"/>
        <v>-2825000</v>
      </c>
      <c r="M137" s="330">
        <f t="shared" si="52"/>
        <v>-7085000</v>
      </c>
      <c r="N137" s="330">
        <f t="shared" si="52"/>
        <v>-7085000</v>
      </c>
      <c r="O137" s="330">
        <f t="shared" si="52"/>
        <v>-7405000</v>
      </c>
      <c r="P137" s="330">
        <f t="shared" si="52"/>
        <v>-8455000</v>
      </c>
      <c r="Q137" s="330">
        <f t="shared" si="52"/>
        <v>-13005000</v>
      </c>
      <c r="R137" s="330">
        <f t="shared" si="52"/>
        <v>-13005000</v>
      </c>
      <c r="S137" s="330">
        <f t="shared" si="52"/>
        <v>-16555000</v>
      </c>
      <c r="T137" s="330">
        <f t="shared" si="52"/>
        <v>-27987708.965912089</v>
      </c>
      <c r="U137" s="330">
        <f t="shared" si="52"/>
        <v>-32087708.965912089</v>
      </c>
      <c r="V137" s="330">
        <f t="shared" si="52"/>
        <v>-32087708.965912089</v>
      </c>
      <c r="W137" s="330">
        <f t="shared" si="52"/>
        <v>-32087708.965912089</v>
      </c>
      <c r="X137" s="330">
        <f t="shared" si="52"/>
        <v>-32087708.965912089</v>
      </c>
      <c r="Y137" s="330">
        <f t="shared" si="52"/>
        <v>-32087708.965912089</v>
      </c>
      <c r="Z137" s="330">
        <f t="shared" si="52"/>
        <v>-32087708.965912089</v>
      </c>
      <c r="AA137" s="330">
        <f t="shared" si="52"/>
        <v>-3996796.4659120888</v>
      </c>
      <c r="AB137" s="330">
        <f t="shared" si="52"/>
        <v>-3996796.4659120888</v>
      </c>
      <c r="AC137" s="330">
        <f t="shared" si="52"/>
        <v>-3996796.4659120888</v>
      </c>
      <c r="AD137" s="330">
        <f t="shared" si="52"/>
        <v>-3996796.4659120888</v>
      </c>
      <c r="AE137" s="330">
        <f t="shared" si="52"/>
        <v>-3996796.4659120888</v>
      </c>
      <c r="AF137" s="330">
        <f t="shared" si="52"/>
        <v>-3996796.4659120888</v>
      </c>
      <c r="AG137" s="330">
        <f t="shared" si="52"/>
        <v>-3996796.4659120888</v>
      </c>
      <c r="AH137" s="330">
        <f t="shared" si="52"/>
        <v>-3996796.4659120888</v>
      </c>
      <c r="AI137" s="330">
        <f t="shared" si="52"/>
        <v>-3996796.4659120888</v>
      </c>
      <c r="AJ137" s="330">
        <f t="shared" si="52"/>
        <v>-3996796.4659120888</v>
      </c>
      <c r="AK137" s="330">
        <f t="shared" si="52"/>
        <v>-3996796.4659120888</v>
      </c>
      <c r="AL137" s="330">
        <f t="shared" si="52"/>
        <v>-3996796.4659120888</v>
      </c>
      <c r="AM137" s="330">
        <f t="shared" si="52"/>
        <v>-3996796.4659120888</v>
      </c>
      <c r="AN137" s="330">
        <f t="shared" si="52"/>
        <v>-3996796.4659120888</v>
      </c>
      <c r="AO137" s="330">
        <f t="shared" si="52"/>
        <v>-3996796.4659120888</v>
      </c>
      <c r="AP137" s="330">
        <f t="shared" si="52"/>
        <v>-3996796.4659120888</v>
      </c>
      <c r="AQ137" s="330">
        <f t="shared" si="52"/>
        <v>-3996796.4659120888</v>
      </c>
      <c r="AR137" s="330">
        <f t="shared" si="52"/>
        <v>-3996796.4659120888</v>
      </c>
      <c r="AS137" s="330">
        <f t="shared" si="52"/>
        <v>-3996796.4659120888</v>
      </c>
      <c r="AT137" s="330">
        <f t="shared" si="52"/>
        <v>-3996796.4659120888</v>
      </c>
      <c r="AU137" s="330">
        <f t="shared" si="52"/>
        <v>-3996796.4659120888</v>
      </c>
      <c r="AV137" s="330">
        <f t="shared" si="52"/>
        <v>-3996796.4659120888</v>
      </c>
      <c r="AW137" s="330">
        <f t="shared" si="52"/>
        <v>-3996796.4659120888</v>
      </c>
      <c r="AX137" s="330">
        <f t="shared" si="52"/>
        <v>-3996796.4659120888</v>
      </c>
      <c r="AY137" s="330">
        <f t="shared" si="52"/>
        <v>-3996796.4659120888</v>
      </c>
      <c r="AZ137" s="330">
        <f t="shared" si="52"/>
        <v>-3996796.4659120888</v>
      </c>
      <c r="BA137" s="330">
        <f t="shared" si="52"/>
        <v>-3996796.4659120888</v>
      </c>
      <c r="BB137" s="330">
        <f t="shared" si="52"/>
        <v>-3996796.4659120888</v>
      </c>
      <c r="BC137" s="330">
        <f t="shared" si="52"/>
        <v>-3996796.4659120888</v>
      </c>
      <c r="BD137" s="330">
        <f t="shared" si="52"/>
        <v>-3996796.4659120888</v>
      </c>
      <c r="BE137" s="330">
        <f t="shared" si="52"/>
        <v>-3996796.4659120888</v>
      </c>
      <c r="BF137" s="330">
        <f t="shared" si="52"/>
        <v>-3996796.4659120888</v>
      </c>
      <c r="BG137" s="330">
        <f t="shared" si="52"/>
        <v>-3996796.4659120888</v>
      </c>
      <c r="BH137" s="330">
        <f t="shared" si="52"/>
        <v>-3996796.4659120888</v>
      </c>
      <c r="BI137" s="330">
        <f t="shared" si="52"/>
        <v>-3996796.4659120888</v>
      </c>
      <c r="BJ137" s="330">
        <f t="shared" si="52"/>
        <v>-3996796.4659120888</v>
      </c>
      <c r="BK137" s="330">
        <f t="shared" si="52"/>
        <v>-3996796.4659120888</v>
      </c>
      <c r="BL137" s="330">
        <f t="shared" si="52"/>
        <v>-3996796.4659120888</v>
      </c>
      <c r="BM137" s="330">
        <f t="shared" si="52"/>
        <v>-3996796.4659120888</v>
      </c>
      <c r="BN137" s="330">
        <f t="shared" si="52"/>
        <v>-3996796.4659120888</v>
      </c>
      <c r="BO137" s="330">
        <f t="shared" si="52"/>
        <v>-3996796.4659120888</v>
      </c>
      <c r="BP137" s="330">
        <f t="shared" si="52"/>
        <v>-3996796.4659120888</v>
      </c>
      <c r="BQ137" s="330">
        <f t="shared" si="52"/>
        <v>-3996796.4659120888</v>
      </c>
      <c r="BR137" s="330">
        <f t="shared" si="52"/>
        <v>-3996796.4659120888</v>
      </c>
      <c r="BS137" s="330">
        <f t="shared" si="52"/>
        <v>-3996796.4659120888</v>
      </c>
      <c r="BT137" s="330">
        <f t="shared" si="52"/>
        <v>-3996796.4659120888</v>
      </c>
      <c r="BU137" s="330">
        <f t="shared" si="52"/>
        <v>-3996796.4659120888</v>
      </c>
      <c r="BV137" s="330">
        <f t="shared" si="52"/>
        <v>-3996796.4659120888</v>
      </c>
      <c r="BW137" s="330">
        <f t="shared" si="52"/>
        <v>-3996796.4659120888</v>
      </c>
      <c r="BX137" s="330">
        <f t="shared" si="52"/>
        <v>-3996796.4659120888</v>
      </c>
    </row>
    <row r="138" spans="3:76">
      <c r="C138" s="317" t="s">
        <v>339</v>
      </c>
      <c r="D138" s="326">
        <f>IRR(E136:BX136)*12</f>
        <v>-0.17263916017545267</v>
      </c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  <c r="BU138" s="226"/>
      <c r="BV138" s="226"/>
      <c r="BW138" s="226"/>
      <c r="BX138" s="226"/>
    </row>
    <row r="139" spans="3:76">
      <c r="C139" s="327" t="s">
        <v>347</v>
      </c>
      <c r="D139" s="328">
        <f>-MIN(E131:BL131)</f>
        <v>4900000</v>
      </c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6"/>
      <c r="BN139" s="226"/>
      <c r="BO139" s="226"/>
      <c r="BP139" s="226"/>
      <c r="BQ139" s="226"/>
      <c r="BR139" s="226"/>
      <c r="BS139" s="226"/>
      <c r="BT139" s="226"/>
      <c r="BU139" s="226"/>
      <c r="BV139" s="226"/>
      <c r="BW139" s="226"/>
      <c r="BX139" s="226"/>
    </row>
    <row r="140" spans="3:76">
      <c r="C140" s="327" t="s">
        <v>348</v>
      </c>
      <c r="D140" s="328">
        <f>-SUM(M135:BB135)</f>
        <v>0</v>
      </c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  <c r="BU140" s="226"/>
      <c r="BV140" s="226"/>
      <c r="BW140" s="226"/>
      <c r="BX140" s="226"/>
    </row>
    <row r="141" spans="3:76">
      <c r="C141" s="317" t="s">
        <v>349</v>
      </c>
      <c r="D141" s="329">
        <f>D140+D139</f>
        <v>4900000</v>
      </c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AY141" s="226"/>
      <c r="AZ141" s="226"/>
      <c r="BA141" s="226"/>
      <c r="BB141" s="226"/>
      <c r="BC141" s="226"/>
      <c r="BD141" s="226"/>
      <c r="BE141" s="226"/>
      <c r="BF141" s="226"/>
      <c r="BG141" s="226"/>
      <c r="BH141" s="226"/>
      <c r="BI141" s="226"/>
      <c r="BJ141" s="226"/>
      <c r="BK141" s="226"/>
      <c r="BL141" s="226"/>
      <c r="BM141" s="226"/>
      <c r="BN141" s="226"/>
      <c r="BO141" s="226"/>
      <c r="BP141" s="226"/>
      <c r="BQ141" s="226"/>
      <c r="BR141" s="226"/>
      <c r="BS141" s="226"/>
      <c r="BT141" s="226"/>
      <c r="BU141" s="226"/>
      <c r="BV141" s="226"/>
      <c r="BW141" s="226"/>
      <c r="BX141" s="226"/>
    </row>
    <row r="142" spans="3:76">
      <c r="C142" s="317" t="s">
        <v>350</v>
      </c>
      <c r="D142" s="329">
        <f>BX133+BX134</f>
        <v>0</v>
      </c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  <c r="AY142" s="226"/>
      <c r="AZ142" s="226"/>
      <c r="BA142" s="226"/>
      <c r="BB142" s="226"/>
      <c r="BC142" s="226"/>
      <c r="BD142" s="226"/>
      <c r="BE142" s="226"/>
      <c r="BF142" s="226"/>
      <c r="BG142" s="226"/>
      <c r="BH142" s="226"/>
      <c r="BI142" s="226"/>
      <c r="BJ142" s="226"/>
      <c r="BK142" s="226"/>
      <c r="BL142" s="226"/>
      <c r="BM142" s="226"/>
      <c r="BN142" s="226"/>
      <c r="BO142" s="226"/>
      <c r="BP142" s="226"/>
      <c r="BQ142" s="226"/>
      <c r="BR142" s="226"/>
      <c r="BS142" s="226"/>
      <c r="BT142" s="226"/>
      <c r="BU142" s="226"/>
      <c r="BV142" s="226"/>
      <c r="BW142" s="226"/>
      <c r="BX142" s="226"/>
    </row>
    <row r="143" spans="3:76">
      <c r="C143" s="317" t="s">
        <v>351</v>
      </c>
      <c r="D143" s="326">
        <f>(D142-D140)/D141</f>
        <v>0</v>
      </c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6"/>
      <c r="AT143" s="226"/>
      <c r="AU143" s="226"/>
      <c r="AV143" s="226"/>
      <c r="AW143" s="226"/>
      <c r="AX143" s="226"/>
      <c r="AY143" s="226"/>
      <c r="AZ143" s="226"/>
      <c r="BA143" s="226"/>
      <c r="BB143" s="226"/>
      <c r="BC143" s="226"/>
      <c r="BD143" s="226"/>
      <c r="BE143" s="226"/>
      <c r="BF143" s="226"/>
      <c r="BG143" s="226"/>
      <c r="BH143" s="226"/>
      <c r="BI143" s="226"/>
      <c r="BJ143" s="226"/>
      <c r="BK143" s="226"/>
      <c r="BL143" s="226"/>
      <c r="BM143" s="226"/>
      <c r="BN143" s="226"/>
      <c r="BO143" s="226"/>
      <c r="BP143" s="226"/>
      <c r="BQ143" s="226"/>
      <c r="BR143" s="226"/>
      <c r="BS143" s="226"/>
      <c r="BT143" s="226"/>
      <c r="BU143" s="226"/>
      <c r="BV143" s="226"/>
      <c r="BW143" s="226"/>
      <c r="BX143" s="226"/>
    </row>
    <row r="147" spans="3:76">
      <c r="C147" s="314" t="s">
        <v>355</v>
      </c>
      <c r="D147" s="315"/>
      <c r="E147" s="316">
        <f t="shared" ref="E147:G147" si="53">-(E24+E111)</f>
        <v>0</v>
      </c>
      <c r="F147" s="316">
        <f t="shared" si="53"/>
        <v>0</v>
      </c>
      <c r="G147" s="316">
        <f t="shared" si="53"/>
        <v>0</v>
      </c>
      <c r="H147" s="316">
        <f>-10682501</f>
        <v>-10682501</v>
      </c>
      <c r="I147" s="316">
        <v>0</v>
      </c>
      <c r="J147" s="316">
        <f>-(J24+J111)</f>
        <v>0</v>
      </c>
      <c r="K147" s="316">
        <v>0</v>
      </c>
      <c r="L147" s="316">
        <f t="shared" ref="L147:S147" si="54">-(L24+L111)</f>
        <v>15913.92</v>
      </c>
      <c r="M147" s="316">
        <f t="shared" si="54"/>
        <v>0</v>
      </c>
      <c r="N147" s="316">
        <f t="shared" si="54"/>
        <v>0</v>
      </c>
      <c r="O147" s="316">
        <f t="shared" si="54"/>
        <v>0</v>
      </c>
      <c r="P147" s="316">
        <f t="shared" si="54"/>
        <v>619336.08000000007</v>
      </c>
      <c r="Q147" s="316">
        <f t="shared" si="54"/>
        <v>393250</v>
      </c>
      <c r="R147" s="316">
        <f t="shared" si="54"/>
        <v>393250</v>
      </c>
      <c r="S147" s="316">
        <f t="shared" si="54"/>
        <v>0</v>
      </c>
      <c r="T147" s="316">
        <f>-H147</f>
        <v>10682501</v>
      </c>
      <c r="U147" s="316">
        <f t="shared" ref="U147:BX147" si="55">-(U24+U111)</f>
        <v>0</v>
      </c>
      <c r="V147" s="316">
        <f t="shared" si="55"/>
        <v>0</v>
      </c>
      <c r="W147" s="316">
        <f t="shared" si="55"/>
        <v>0</v>
      </c>
      <c r="X147" s="316">
        <f t="shared" si="55"/>
        <v>0</v>
      </c>
      <c r="Y147" s="316">
        <f t="shared" si="55"/>
        <v>0</v>
      </c>
      <c r="Z147" s="316">
        <f t="shared" si="55"/>
        <v>0</v>
      </c>
      <c r="AA147" s="316">
        <f t="shared" si="55"/>
        <v>0</v>
      </c>
      <c r="AB147" s="316">
        <f t="shared" si="55"/>
        <v>0</v>
      </c>
      <c r="AC147" s="316">
        <f t="shared" si="55"/>
        <v>0</v>
      </c>
      <c r="AD147" s="316">
        <f t="shared" si="55"/>
        <v>0</v>
      </c>
      <c r="AE147" s="316">
        <f t="shared" si="55"/>
        <v>0</v>
      </c>
      <c r="AF147" s="316">
        <f t="shared" si="55"/>
        <v>0</v>
      </c>
      <c r="AG147" s="316">
        <f t="shared" si="55"/>
        <v>0</v>
      </c>
      <c r="AH147" s="316">
        <f t="shared" si="55"/>
        <v>0</v>
      </c>
      <c r="AI147" s="316">
        <f t="shared" si="55"/>
        <v>0</v>
      </c>
      <c r="AJ147" s="316">
        <f t="shared" si="55"/>
        <v>0</v>
      </c>
      <c r="AK147" s="316">
        <f t="shared" si="55"/>
        <v>0</v>
      </c>
      <c r="AL147" s="316">
        <f t="shared" si="55"/>
        <v>0</v>
      </c>
      <c r="AM147" s="316">
        <f t="shared" si="55"/>
        <v>0</v>
      </c>
      <c r="AN147" s="316">
        <f t="shared" si="55"/>
        <v>0</v>
      </c>
      <c r="AO147" s="316">
        <f t="shared" si="55"/>
        <v>0</v>
      </c>
      <c r="AP147" s="316">
        <f t="shared" si="55"/>
        <v>0</v>
      </c>
      <c r="AQ147" s="316">
        <f t="shared" si="55"/>
        <v>0</v>
      </c>
      <c r="AR147" s="316">
        <f t="shared" si="55"/>
        <v>0</v>
      </c>
      <c r="AS147" s="316">
        <f t="shared" si="55"/>
        <v>0</v>
      </c>
      <c r="AT147" s="316">
        <f t="shared" si="55"/>
        <v>0</v>
      </c>
      <c r="AU147" s="316">
        <f t="shared" si="55"/>
        <v>0</v>
      </c>
      <c r="AV147" s="316">
        <f t="shared" si="55"/>
        <v>0</v>
      </c>
      <c r="AW147" s="316">
        <f t="shared" si="55"/>
        <v>0</v>
      </c>
      <c r="AX147" s="316">
        <f t="shared" si="55"/>
        <v>0</v>
      </c>
      <c r="AY147" s="316">
        <f t="shared" si="55"/>
        <v>0</v>
      </c>
      <c r="AZ147" s="316">
        <f t="shared" si="55"/>
        <v>0</v>
      </c>
      <c r="BA147" s="316">
        <f t="shared" si="55"/>
        <v>0</v>
      </c>
      <c r="BB147" s="316">
        <f t="shared" si="55"/>
        <v>0</v>
      </c>
      <c r="BC147" s="316">
        <f t="shared" si="55"/>
        <v>0</v>
      </c>
      <c r="BD147" s="316">
        <f t="shared" si="55"/>
        <v>0</v>
      </c>
      <c r="BE147" s="316">
        <f t="shared" si="55"/>
        <v>0</v>
      </c>
      <c r="BF147" s="316">
        <f t="shared" si="55"/>
        <v>0</v>
      </c>
      <c r="BG147" s="316">
        <f t="shared" si="55"/>
        <v>0</v>
      </c>
      <c r="BH147" s="316">
        <f t="shared" si="55"/>
        <v>0</v>
      </c>
      <c r="BI147" s="316">
        <f t="shared" si="55"/>
        <v>0</v>
      </c>
      <c r="BJ147" s="316">
        <f t="shared" si="55"/>
        <v>0</v>
      </c>
      <c r="BK147" s="316">
        <f t="shared" si="55"/>
        <v>0</v>
      </c>
      <c r="BL147" s="316">
        <f t="shared" si="55"/>
        <v>0</v>
      </c>
      <c r="BM147" s="316">
        <f t="shared" si="55"/>
        <v>0</v>
      </c>
      <c r="BN147" s="316">
        <f t="shared" si="55"/>
        <v>0</v>
      </c>
      <c r="BO147" s="316">
        <f t="shared" si="55"/>
        <v>0</v>
      </c>
      <c r="BP147" s="316">
        <f t="shared" si="55"/>
        <v>0</v>
      </c>
      <c r="BQ147" s="316">
        <f t="shared" si="55"/>
        <v>0</v>
      </c>
      <c r="BR147" s="316">
        <f t="shared" si="55"/>
        <v>0</v>
      </c>
      <c r="BS147" s="316">
        <f t="shared" si="55"/>
        <v>0</v>
      </c>
      <c r="BT147" s="316">
        <f t="shared" si="55"/>
        <v>0</v>
      </c>
      <c r="BU147" s="316">
        <f t="shared" si="55"/>
        <v>0</v>
      </c>
      <c r="BV147" s="316">
        <f t="shared" si="55"/>
        <v>0</v>
      </c>
      <c r="BW147" s="316">
        <f t="shared" si="55"/>
        <v>0</v>
      </c>
      <c r="BX147" s="316">
        <f t="shared" si="55"/>
        <v>0</v>
      </c>
    </row>
    <row r="148" spans="3:76">
      <c r="C148" s="314" t="s">
        <v>353</v>
      </c>
      <c r="D148" s="323"/>
      <c r="E148" s="315"/>
      <c r="F148" s="315"/>
      <c r="G148" s="315"/>
      <c r="H148" s="315"/>
      <c r="I148" s="315"/>
      <c r="J148" s="315"/>
      <c r="K148" s="315"/>
      <c r="L148" s="315"/>
      <c r="M148" s="315"/>
      <c r="N148" s="315"/>
      <c r="O148" s="315"/>
      <c r="P148" s="315"/>
      <c r="Q148" s="315"/>
      <c r="R148" s="315"/>
      <c r="S148" s="315"/>
      <c r="T148" s="315"/>
      <c r="U148" s="315"/>
      <c r="V148" s="315"/>
      <c r="W148" s="315"/>
      <c r="X148" s="315"/>
      <c r="Y148" s="315"/>
      <c r="Z148" s="315"/>
      <c r="AA148" s="315"/>
      <c r="AB148" s="315"/>
      <c r="AC148" s="315"/>
      <c r="AD148" s="315"/>
      <c r="AE148" s="315"/>
      <c r="AF148" s="315"/>
      <c r="AG148" s="315"/>
      <c r="AH148" s="315"/>
      <c r="AI148" s="315"/>
      <c r="AJ148" s="315"/>
      <c r="AK148" s="315"/>
      <c r="AL148" s="315"/>
      <c r="AM148" s="315"/>
      <c r="AN148" s="315"/>
      <c r="AO148" s="315"/>
      <c r="AP148" s="315"/>
      <c r="AQ148" s="315"/>
      <c r="AR148" s="315"/>
      <c r="AS148" s="315"/>
      <c r="AT148" s="315"/>
      <c r="AU148" s="315"/>
      <c r="AV148" s="315"/>
      <c r="AW148" s="315"/>
      <c r="AX148" s="315"/>
      <c r="AY148" s="315"/>
      <c r="AZ148" s="315"/>
      <c r="BA148" s="315"/>
      <c r="BB148" s="315"/>
      <c r="BC148" s="316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</row>
    <row r="149" spans="3:76">
      <c r="C149" s="314" t="s">
        <v>343</v>
      </c>
      <c r="D149" s="323"/>
      <c r="E149" s="315">
        <f t="shared" ref="E149:BX149" si="56">-E75</f>
        <v>0</v>
      </c>
      <c r="F149" s="315">
        <f t="shared" si="56"/>
        <v>0</v>
      </c>
      <c r="G149" s="315">
        <f t="shared" si="56"/>
        <v>0</v>
      </c>
      <c r="H149" s="315">
        <f t="shared" si="56"/>
        <v>0</v>
      </c>
      <c r="I149" s="315">
        <f t="shared" si="56"/>
        <v>0</v>
      </c>
      <c r="J149" s="315">
        <f t="shared" si="56"/>
        <v>0</v>
      </c>
      <c r="K149" s="315">
        <f t="shared" si="56"/>
        <v>0</v>
      </c>
      <c r="L149" s="315">
        <f t="shared" si="56"/>
        <v>0</v>
      </c>
      <c r="M149" s="315">
        <f t="shared" si="56"/>
        <v>0</v>
      </c>
      <c r="N149" s="315">
        <f t="shared" si="56"/>
        <v>0</v>
      </c>
      <c r="O149" s="315">
        <f t="shared" si="56"/>
        <v>0</v>
      </c>
      <c r="P149" s="315">
        <f t="shared" si="56"/>
        <v>0</v>
      </c>
      <c r="Q149" s="315">
        <f t="shared" si="56"/>
        <v>0</v>
      </c>
      <c r="R149" s="315">
        <f t="shared" si="56"/>
        <v>0</v>
      </c>
      <c r="S149" s="315">
        <f t="shared" si="56"/>
        <v>0</v>
      </c>
      <c r="T149" s="315">
        <f t="shared" si="56"/>
        <v>0</v>
      </c>
      <c r="U149" s="315">
        <f t="shared" si="56"/>
        <v>0</v>
      </c>
      <c r="V149" s="315">
        <f t="shared" si="56"/>
        <v>0</v>
      </c>
      <c r="W149" s="315">
        <f t="shared" si="56"/>
        <v>0</v>
      </c>
      <c r="X149" s="315">
        <f t="shared" si="56"/>
        <v>0</v>
      </c>
      <c r="Y149" s="315">
        <f t="shared" si="56"/>
        <v>0</v>
      </c>
      <c r="Z149" s="315">
        <f t="shared" si="56"/>
        <v>0</v>
      </c>
      <c r="AA149" s="315">
        <f t="shared" si="56"/>
        <v>0</v>
      </c>
      <c r="AB149" s="315">
        <f t="shared" si="56"/>
        <v>0</v>
      </c>
      <c r="AC149" s="315">
        <f t="shared" si="56"/>
        <v>0</v>
      </c>
      <c r="AD149" s="315">
        <f t="shared" si="56"/>
        <v>0</v>
      </c>
      <c r="AE149" s="315">
        <f t="shared" si="56"/>
        <v>0</v>
      </c>
      <c r="AF149" s="315">
        <f t="shared" si="56"/>
        <v>0</v>
      </c>
      <c r="AG149" s="315">
        <f t="shared" si="56"/>
        <v>0</v>
      </c>
      <c r="AH149" s="315">
        <f t="shared" si="56"/>
        <v>0</v>
      </c>
      <c r="AI149" s="315">
        <f t="shared" si="56"/>
        <v>0</v>
      </c>
      <c r="AJ149" s="315">
        <f t="shared" si="56"/>
        <v>0</v>
      </c>
      <c r="AK149" s="315">
        <f t="shared" si="56"/>
        <v>0</v>
      </c>
      <c r="AL149" s="315">
        <f t="shared" si="56"/>
        <v>0</v>
      </c>
      <c r="AM149" s="315">
        <f t="shared" si="56"/>
        <v>0</v>
      </c>
      <c r="AN149" s="315">
        <f t="shared" si="56"/>
        <v>0</v>
      </c>
      <c r="AO149" s="315">
        <f t="shared" si="56"/>
        <v>0</v>
      </c>
      <c r="AP149" s="315">
        <f t="shared" si="56"/>
        <v>0</v>
      </c>
      <c r="AQ149" s="315">
        <f t="shared" si="56"/>
        <v>0</v>
      </c>
      <c r="AR149" s="315">
        <f t="shared" si="56"/>
        <v>0</v>
      </c>
      <c r="AS149" s="315">
        <f t="shared" si="56"/>
        <v>0</v>
      </c>
      <c r="AT149" s="315">
        <f t="shared" si="56"/>
        <v>0</v>
      </c>
      <c r="AU149" s="315">
        <f t="shared" si="56"/>
        <v>0</v>
      </c>
      <c r="AV149" s="315">
        <f t="shared" si="56"/>
        <v>0</v>
      </c>
      <c r="AW149" s="315">
        <f t="shared" si="56"/>
        <v>0</v>
      </c>
      <c r="AX149" s="315">
        <f t="shared" si="56"/>
        <v>0</v>
      </c>
      <c r="AY149" s="315">
        <f t="shared" si="56"/>
        <v>0</v>
      </c>
      <c r="AZ149" s="315">
        <f t="shared" si="56"/>
        <v>0</v>
      </c>
      <c r="BA149" s="315">
        <f t="shared" si="56"/>
        <v>0</v>
      </c>
      <c r="BB149" s="315">
        <f t="shared" si="56"/>
        <v>0</v>
      </c>
      <c r="BC149" s="315">
        <f t="shared" si="56"/>
        <v>0</v>
      </c>
      <c r="BD149" s="315">
        <f t="shared" si="56"/>
        <v>0</v>
      </c>
      <c r="BE149" s="315">
        <f t="shared" si="56"/>
        <v>0</v>
      </c>
      <c r="BF149" s="315">
        <f t="shared" si="56"/>
        <v>0</v>
      </c>
      <c r="BG149" s="315">
        <f t="shared" si="56"/>
        <v>0</v>
      </c>
      <c r="BH149" s="315">
        <f t="shared" si="56"/>
        <v>0</v>
      </c>
      <c r="BI149" s="315">
        <f t="shared" si="56"/>
        <v>0</v>
      </c>
      <c r="BJ149" s="315">
        <f t="shared" si="56"/>
        <v>0</v>
      </c>
      <c r="BK149" s="315">
        <f t="shared" si="56"/>
        <v>0</v>
      </c>
      <c r="BL149" s="315">
        <f t="shared" si="56"/>
        <v>0</v>
      </c>
      <c r="BM149" s="315">
        <f t="shared" si="56"/>
        <v>0</v>
      </c>
      <c r="BN149" s="315">
        <f t="shared" si="56"/>
        <v>0</v>
      </c>
      <c r="BO149" s="315">
        <f t="shared" si="56"/>
        <v>0</v>
      </c>
      <c r="BP149" s="315">
        <f t="shared" si="56"/>
        <v>0</v>
      </c>
      <c r="BQ149" s="315">
        <f t="shared" si="56"/>
        <v>0</v>
      </c>
      <c r="BR149" s="315">
        <f t="shared" si="56"/>
        <v>0</v>
      </c>
      <c r="BS149" s="315">
        <f t="shared" si="56"/>
        <v>0</v>
      </c>
      <c r="BT149" s="315">
        <f t="shared" si="56"/>
        <v>0</v>
      </c>
      <c r="BU149" s="315">
        <f t="shared" si="56"/>
        <v>0</v>
      </c>
      <c r="BV149" s="315">
        <f t="shared" si="56"/>
        <v>0</v>
      </c>
      <c r="BW149" s="315">
        <f t="shared" si="56"/>
        <v>0</v>
      </c>
      <c r="BX149" s="315">
        <f t="shared" si="56"/>
        <v>0</v>
      </c>
    </row>
    <row r="150" spans="3:76">
      <c r="C150" s="314" t="s">
        <v>344</v>
      </c>
      <c r="D150" s="323"/>
      <c r="E150" s="315"/>
      <c r="F150" s="315"/>
      <c r="G150" s="315"/>
      <c r="H150" s="315"/>
      <c r="I150" s="315"/>
      <c r="J150" s="315"/>
      <c r="K150" s="315"/>
      <c r="L150" s="315"/>
      <c r="M150" s="315"/>
      <c r="N150" s="315"/>
      <c r="O150" s="315"/>
      <c r="P150" s="315"/>
      <c r="Q150" s="315"/>
      <c r="R150" s="315"/>
      <c r="S150" s="315"/>
      <c r="T150" s="315">
        <f>5500000</f>
        <v>5500000</v>
      </c>
      <c r="U150" s="315"/>
      <c r="V150" s="315"/>
      <c r="W150" s="315"/>
      <c r="X150" s="315"/>
      <c r="Y150" s="315"/>
      <c r="Z150" s="315"/>
      <c r="AA150" s="315"/>
      <c r="AB150" s="315"/>
      <c r="AC150" s="315"/>
      <c r="AD150" s="315"/>
      <c r="AE150" s="315"/>
      <c r="AF150" s="315"/>
      <c r="AG150" s="315"/>
      <c r="AH150" s="315"/>
      <c r="AI150" s="315"/>
      <c r="AJ150" s="315"/>
      <c r="AK150" s="315"/>
      <c r="AL150" s="315"/>
      <c r="AM150" s="315"/>
      <c r="AN150" s="315"/>
      <c r="AO150" s="315"/>
      <c r="AP150" s="315"/>
      <c r="AQ150" s="315"/>
      <c r="AR150" s="315"/>
      <c r="AS150" s="315"/>
      <c r="AT150" s="315"/>
      <c r="AU150" s="315"/>
      <c r="AV150" s="315"/>
      <c r="AW150" s="315"/>
      <c r="AX150" s="315"/>
      <c r="AY150" s="315"/>
      <c r="AZ150" s="315"/>
      <c r="BA150" s="315"/>
      <c r="BB150" s="315"/>
      <c r="BC150" s="316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>
        <f>IF(D122&gt;0.25,(BX117-BX125)*D151,BX117*D151)</f>
        <v>0</v>
      </c>
    </row>
    <row r="151" spans="3:76">
      <c r="C151" s="317" t="s">
        <v>345</v>
      </c>
      <c r="D151" s="323">
        <v>0</v>
      </c>
      <c r="E151" s="315"/>
      <c r="F151" s="315"/>
      <c r="G151" s="315"/>
      <c r="H151" s="315"/>
      <c r="I151" s="315"/>
      <c r="J151" s="315"/>
      <c r="K151" s="315"/>
      <c r="L151" s="315"/>
      <c r="M151" s="315"/>
      <c r="N151" s="315"/>
      <c r="O151" s="315"/>
      <c r="P151" s="315"/>
      <c r="Q151" s="315"/>
      <c r="R151" s="315"/>
      <c r="S151" s="315"/>
      <c r="T151" s="315"/>
      <c r="U151" s="315"/>
      <c r="V151" s="315"/>
      <c r="W151" s="315"/>
      <c r="X151" s="315"/>
      <c r="Y151" s="315"/>
      <c r="Z151" s="315"/>
      <c r="AA151" s="315"/>
      <c r="AB151" s="315"/>
      <c r="AC151" s="315"/>
      <c r="AD151" s="315"/>
      <c r="AE151" s="315"/>
      <c r="AF151" s="315"/>
      <c r="AG151" s="315"/>
      <c r="AH151" s="315"/>
      <c r="AI151" s="315"/>
      <c r="AJ151" s="315"/>
      <c r="AK151" s="315"/>
      <c r="AL151" s="315"/>
      <c r="AM151" s="315"/>
      <c r="AN151" s="315"/>
      <c r="AO151" s="315"/>
      <c r="AP151" s="315"/>
      <c r="AQ151" s="315"/>
      <c r="AR151" s="315"/>
      <c r="AS151" s="315"/>
      <c r="AT151" s="315"/>
      <c r="AU151" s="315"/>
      <c r="AV151" s="315"/>
      <c r="AW151" s="315"/>
      <c r="AX151" s="315"/>
      <c r="AY151" s="315"/>
      <c r="AZ151" s="315"/>
      <c r="BA151" s="315"/>
      <c r="BB151" s="315"/>
      <c r="BC151" s="316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</row>
    <row r="152" spans="3:76">
      <c r="C152" s="314" t="s">
        <v>346</v>
      </c>
      <c r="D152" s="315"/>
      <c r="E152" s="325">
        <f t="shared" ref="E152:BX152" si="57">E147+E148+E149+E150+E151</f>
        <v>0</v>
      </c>
      <c r="F152" s="325">
        <f t="shared" si="57"/>
        <v>0</v>
      </c>
      <c r="G152" s="325">
        <f t="shared" si="57"/>
        <v>0</v>
      </c>
      <c r="H152" s="325">
        <f t="shared" si="57"/>
        <v>-10682501</v>
      </c>
      <c r="I152" s="325">
        <f t="shared" si="57"/>
        <v>0</v>
      </c>
      <c r="J152" s="325">
        <f t="shared" si="57"/>
        <v>0</v>
      </c>
      <c r="K152" s="325">
        <f t="shared" si="57"/>
        <v>0</v>
      </c>
      <c r="L152" s="325">
        <f t="shared" si="57"/>
        <v>15913.92</v>
      </c>
      <c r="M152" s="325">
        <f t="shared" si="57"/>
        <v>0</v>
      </c>
      <c r="N152" s="325">
        <f t="shared" si="57"/>
        <v>0</v>
      </c>
      <c r="O152" s="325">
        <f t="shared" si="57"/>
        <v>0</v>
      </c>
      <c r="P152" s="325">
        <f t="shared" si="57"/>
        <v>619336.08000000007</v>
      </c>
      <c r="Q152" s="325">
        <f t="shared" si="57"/>
        <v>393250</v>
      </c>
      <c r="R152" s="325">
        <f t="shared" si="57"/>
        <v>393250</v>
      </c>
      <c r="S152" s="325">
        <f t="shared" si="57"/>
        <v>0</v>
      </c>
      <c r="T152" s="325">
        <f t="shared" si="57"/>
        <v>16182501</v>
      </c>
      <c r="U152" s="325">
        <f t="shared" si="57"/>
        <v>0</v>
      </c>
      <c r="V152" s="325">
        <f t="shared" si="57"/>
        <v>0</v>
      </c>
      <c r="W152" s="325">
        <f t="shared" si="57"/>
        <v>0</v>
      </c>
      <c r="X152" s="325">
        <f t="shared" si="57"/>
        <v>0</v>
      </c>
      <c r="Y152" s="325">
        <f t="shared" si="57"/>
        <v>0</v>
      </c>
      <c r="Z152" s="325">
        <f t="shared" si="57"/>
        <v>0</v>
      </c>
      <c r="AA152" s="325">
        <f t="shared" si="57"/>
        <v>0</v>
      </c>
      <c r="AB152" s="325">
        <f t="shared" si="57"/>
        <v>0</v>
      </c>
      <c r="AC152" s="325">
        <f t="shared" si="57"/>
        <v>0</v>
      </c>
      <c r="AD152" s="325">
        <f t="shared" si="57"/>
        <v>0</v>
      </c>
      <c r="AE152" s="325">
        <f t="shared" si="57"/>
        <v>0</v>
      </c>
      <c r="AF152" s="325">
        <f t="shared" si="57"/>
        <v>0</v>
      </c>
      <c r="AG152" s="325">
        <f t="shared" si="57"/>
        <v>0</v>
      </c>
      <c r="AH152" s="325">
        <f t="shared" si="57"/>
        <v>0</v>
      </c>
      <c r="AI152" s="325">
        <f t="shared" si="57"/>
        <v>0</v>
      </c>
      <c r="AJ152" s="325">
        <f t="shared" si="57"/>
        <v>0</v>
      </c>
      <c r="AK152" s="325">
        <f t="shared" si="57"/>
        <v>0</v>
      </c>
      <c r="AL152" s="325">
        <f t="shared" si="57"/>
        <v>0</v>
      </c>
      <c r="AM152" s="325">
        <f t="shared" si="57"/>
        <v>0</v>
      </c>
      <c r="AN152" s="325">
        <f t="shared" si="57"/>
        <v>0</v>
      </c>
      <c r="AO152" s="325">
        <f t="shared" si="57"/>
        <v>0</v>
      </c>
      <c r="AP152" s="325">
        <f t="shared" si="57"/>
        <v>0</v>
      </c>
      <c r="AQ152" s="325">
        <f t="shared" si="57"/>
        <v>0</v>
      </c>
      <c r="AR152" s="325">
        <f t="shared" si="57"/>
        <v>0</v>
      </c>
      <c r="AS152" s="325">
        <f t="shared" si="57"/>
        <v>0</v>
      </c>
      <c r="AT152" s="325">
        <f t="shared" si="57"/>
        <v>0</v>
      </c>
      <c r="AU152" s="325">
        <f t="shared" si="57"/>
        <v>0</v>
      </c>
      <c r="AV152" s="325">
        <f t="shared" si="57"/>
        <v>0</v>
      </c>
      <c r="AW152" s="325">
        <f t="shared" si="57"/>
        <v>0</v>
      </c>
      <c r="AX152" s="325">
        <f t="shared" si="57"/>
        <v>0</v>
      </c>
      <c r="AY152" s="325">
        <f t="shared" si="57"/>
        <v>0</v>
      </c>
      <c r="AZ152" s="325">
        <f t="shared" si="57"/>
        <v>0</v>
      </c>
      <c r="BA152" s="325">
        <f t="shared" si="57"/>
        <v>0</v>
      </c>
      <c r="BB152" s="325">
        <f t="shared" si="57"/>
        <v>0</v>
      </c>
      <c r="BC152" s="325">
        <f t="shared" si="57"/>
        <v>0</v>
      </c>
      <c r="BD152" s="325">
        <f t="shared" si="57"/>
        <v>0</v>
      </c>
      <c r="BE152" s="325">
        <f t="shared" si="57"/>
        <v>0</v>
      </c>
      <c r="BF152" s="325">
        <f t="shared" si="57"/>
        <v>0</v>
      </c>
      <c r="BG152" s="325">
        <f t="shared" si="57"/>
        <v>0</v>
      </c>
      <c r="BH152" s="325">
        <f t="shared" si="57"/>
        <v>0</v>
      </c>
      <c r="BI152" s="325">
        <f t="shared" si="57"/>
        <v>0</v>
      </c>
      <c r="BJ152" s="325">
        <f t="shared" si="57"/>
        <v>0</v>
      </c>
      <c r="BK152" s="325">
        <f t="shared" si="57"/>
        <v>0</v>
      </c>
      <c r="BL152" s="325">
        <f t="shared" si="57"/>
        <v>0</v>
      </c>
      <c r="BM152" s="325">
        <f t="shared" si="57"/>
        <v>0</v>
      </c>
      <c r="BN152" s="325">
        <f t="shared" si="57"/>
        <v>0</v>
      </c>
      <c r="BO152" s="325">
        <f t="shared" si="57"/>
        <v>0</v>
      </c>
      <c r="BP152" s="325">
        <f t="shared" si="57"/>
        <v>0</v>
      </c>
      <c r="BQ152" s="325">
        <f t="shared" si="57"/>
        <v>0</v>
      </c>
      <c r="BR152" s="325">
        <f t="shared" si="57"/>
        <v>0</v>
      </c>
      <c r="BS152" s="325">
        <f t="shared" si="57"/>
        <v>0</v>
      </c>
      <c r="BT152" s="325">
        <f t="shared" si="57"/>
        <v>0</v>
      </c>
      <c r="BU152" s="325">
        <f t="shared" si="57"/>
        <v>0</v>
      </c>
      <c r="BV152" s="325">
        <f t="shared" si="57"/>
        <v>0</v>
      </c>
      <c r="BW152" s="325">
        <f t="shared" si="57"/>
        <v>0</v>
      </c>
      <c r="BX152" s="325">
        <f t="shared" si="57"/>
        <v>0</v>
      </c>
    </row>
    <row r="153" spans="3:76">
      <c r="C153" s="318"/>
      <c r="D153" s="326" t="s">
        <v>354</v>
      </c>
      <c r="E153" s="330">
        <f>E152</f>
        <v>0</v>
      </c>
      <c r="F153" s="330">
        <f t="shared" ref="F153:BX153" si="58">E153+F152</f>
        <v>0</v>
      </c>
      <c r="G153" s="330">
        <f t="shared" si="58"/>
        <v>0</v>
      </c>
      <c r="H153" s="330">
        <f t="shared" si="58"/>
        <v>-10682501</v>
      </c>
      <c r="I153" s="330">
        <f t="shared" si="58"/>
        <v>-10682501</v>
      </c>
      <c r="J153" s="330">
        <f t="shared" si="58"/>
        <v>-10682501</v>
      </c>
      <c r="K153" s="330">
        <f t="shared" si="58"/>
        <v>-10682501</v>
      </c>
      <c r="L153" s="330">
        <f t="shared" si="58"/>
        <v>-10666587.08</v>
      </c>
      <c r="M153" s="330">
        <f t="shared" si="58"/>
        <v>-10666587.08</v>
      </c>
      <c r="N153" s="330">
        <f t="shared" si="58"/>
        <v>-10666587.08</v>
      </c>
      <c r="O153" s="330">
        <f t="shared" si="58"/>
        <v>-10666587.08</v>
      </c>
      <c r="P153" s="330">
        <f t="shared" si="58"/>
        <v>-10047251</v>
      </c>
      <c r="Q153" s="330">
        <f t="shared" si="58"/>
        <v>-9654001</v>
      </c>
      <c r="R153" s="330">
        <f t="shared" si="58"/>
        <v>-9260751</v>
      </c>
      <c r="S153" s="330">
        <f t="shared" si="58"/>
        <v>-9260751</v>
      </c>
      <c r="T153" s="330">
        <f t="shared" si="58"/>
        <v>6921750</v>
      </c>
      <c r="U153" s="330">
        <f t="shared" si="58"/>
        <v>6921750</v>
      </c>
      <c r="V153" s="331">
        <f t="shared" si="58"/>
        <v>6921750</v>
      </c>
      <c r="W153" s="331">
        <f t="shared" si="58"/>
        <v>6921750</v>
      </c>
      <c r="X153" s="331">
        <f t="shared" si="58"/>
        <v>6921750</v>
      </c>
      <c r="Y153" s="331">
        <f t="shared" si="58"/>
        <v>6921750</v>
      </c>
      <c r="Z153" s="331">
        <f t="shared" si="58"/>
        <v>6921750</v>
      </c>
      <c r="AA153" s="331">
        <f t="shared" si="58"/>
        <v>6921750</v>
      </c>
      <c r="AB153" s="331">
        <f t="shared" si="58"/>
        <v>6921750</v>
      </c>
      <c r="AC153" s="331">
        <f t="shared" si="58"/>
        <v>6921750</v>
      </c>
      <c r="AD153" s="331">
        <f t="shared" si="58"/>
        <v>6921750</v>
      </c>
      <c r="AE153" s="331">
        <f t="shared" si="58"/>
        <v>6921750</v>
      </c>
      <c r="AF153" s="331">
        <f t="shared" si="58"/>
        <v>6921750</v>
      </c>
      <c r="AG153" s="331">
        <f t="shared" si="58"/>
        <v>6921750</v>
      </c>
      <c r="AH153" s="331">
        <f t="shared" si="58"/>
        <v>6921750</v>
      </c>
      <c r="AI153" s="331">
        <f t="shared" si="58"/>
        <v>6921750</v>
      </c>
      <c r="AJ153" s="331">
        <f t="shared" si="58"/>
        <v>6921750</v>
      </c>
      <c r="AK153" s="331">
        <f t="shared" si="58"/>
        <v>6921750</v>
      </c>
      <c r="AL153" s="331">
        <f t="shared" si="58"/>
        <v>6921750</v>
      </c>
      <c r="AM153" s="331">
        <f t="shared" si="58"/>
        <v>6921750</v>
      </c>
      <c r="AN153" s="331">
        <f t="shared" si="58"/>
        <v>6921750</v>
      </c>
      <c r="AO153" s="331">
        <f t="shared" si="58"/>
        <v>6921750</v>
      </c>
      <c r="AP153" s="331">
        <f t="shared" si="58"/>
        <v>6921750</v>
      </c>
      <c r="AQ153" s="331">
        <f t="shared" si="58"/>
        <v>6921750</v>
      </c>
      <c r="AR153" s="331">
        <f t="shared" si="58"/>
        <v>6921750</v>
      </c>
      <c r="AS153" s="331">
        <f t="shared" si="58"/>
        <v>6921750</v>
      </c>
      <c r="AT153" s="331">
        <f t="shared" si="58"/>
        <v>6921750</v>
      </c>
      <c r="AU153" s="331">
        <f t="shared" si="58"/>
        <v>6921750</v>
      </c>
      <c r="AV153" s="331">
        <f t="shared" si="58"/>
        <v>6921750</v>
      </c>
      <c r="AW153" s="331">
        <f t="shared" si="58"/>
        <v>6921750</v>
      </c>
      <c r="AX153" s="331">
        <f t="shared" si="58"/>
        <v>6921750</v>
      </c>
      <c r="AY153" s="331">
        <f t="shared" si="58"/>
        <v>6921750</v>
      </c>
      <c r="AZ153" s="331">
        <f t="shared" si="58"/>
        <v>6921750</v>
      </c>
      <c r="BA153" s="331">
        <f t="shared" si="58"/>
        <v>6921750</v>
      </c>
      <c r="BB153" s="331">
        <f t="shared" si="58"/>
        <v>6921750</v>
      </c>
      <c r="BC153" s="330">
        <f t="shared" si="58"/>
        <v>6921750</v>
      </c>
      <c r="BD153" s="330">
        <f t="shared" si="58"/>
        <v>6921750</v>
      </c>
      <c r="BE153" s="330">
        <f t="shared" si="58"/>
        <v>6921750</v>
      </c>
      <c r="BF153" s="330">
        <f t="shared" si="58"/>
        <v>6921750</v>
      </c>
      <c r="BG153" s="330">
        <f t="shared" si="58"/>
        <v>6921750</v>
      </c>
      <c r="BH153" s="330">
        <f t="shared" si="58"/>
        <v>6921750</v>
      </c>
      <c r="BI153" s="330">
        <f t="shared" si="58"/>
        <v>6921750</v>
      </c>
      <c r="BJ153" s="330">
        <f t="shared" si="58"/>
        <v>6921750</v>
      </c>
      <c r="BK153" s="330">
        <f t="shared" si="58"/>
        <v>6921750</v>
      </c>
      <c r="BL153" s="330">
        <f t="shared" si="58"/>
        <v>6921750</v>
      </c>
      <c r="BM153" s="330">
        <f t="shared" si="58"/>
        <v>6921750</v>
      </c>
      <c r="BN153" s="330">
        <f t="shared" si="58"/>
        <v>6921750</v>
      </c>
      <c r="BO153" s="330">
        <f t="shared" si="58"/>
        <v>6921750</v>
      </c>
      <c r="BP153" s="330">
        <f t="shared" si="58"/>
        <v>6921750</v>
      </c>
      <c r="BQ153" s="330">
        <f t="shared" si="58"/>
        <v>6921750</v>
      </c>
      <c r="BR153" s="330">
        <f t="shared" si="58"/>
        <v>6921750</v>
      </c>
      <c r="BS153" s="330">
        <f t="shared" si="58"/>
        <v>6921750</v>
      </c>
      <c r="BT153" s="330">
        <f t="shared" si="58"/>
        <v>6921750</v>
      </c>
      <c r="BU153" s="330">
        <f t="shared" si="58"/>
        <v>6921750</v>
      </c>
      <c r="BV153" s="330">
        <f t="shared" si="58"/>
        <v>6921750</v>
      </c>
      <c r="BW153" s="330">
        <f t="shared" si="58"/>
        <v>6921750</v>
      </c>
      <c r="BX153" s="330">
        <f t="shared" si="58"/>
        <v>6921750</v>
      </c>
    </row>
    <row r="154" spans="3:76">
      <c r="C154" s="317" t="s">
        <v>339</v>
      </c>
      <c r="D154" s="326">
        <f>IRR(H152:T152)*12</f>
        <v>0.52245640286799322</v>
      </c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  <c r="AG154" s="226"/>
      <c r="AH154" s="226"/>
      <c r="AI154" s="226"/>
      <c r="AJ154" s="226"/>
      <c r="AK154" s="226"/>
      <c r="AL154" s="226"/>
      <c r="AM154" s="226"/>
      <c r="AN154" s="226"/>
      <c r="AO154" s="226"/>
      <c r="AP154" s="226"/>
      <c r="AQ154" s="226"/>
      <c r="AR154" s="226"/>
      <c r="AS154" s="226"/>
      <c r="AT154" s="226"/>
      <c r="AU154" s="226"/>
      <c r="AV154" s="226"/>
      <c r="AW154" s="226"/>
      <c r="AX154" s="226"/>
      <c r="AY154" s="226"/>
      <c r="AZ154" s="226"/>
      <c r="BA154" s="226"/>
      <c r="BB154" s="226"/>
      <c r="BC154" s="226"/>
      <c r="BD154" s="226"/>
      <c r="BE154" s="226"/>
      <c r="BF154" s="226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6"/>
      <c r="BQ154" s="226"/>
      <c r="BR154" s="226"/>
      <c r="BS154" s="226"/>
      <c r="BT154" s="226"/>
      <c r="BU154" s="226"/>
      <c r="BV154" s="226"/>
      <c r="BW154" s="226"/>
      <c r="BX154" s="226"/>
    </row>
    <row r="155" spans="3:76">
      <c r="C155" s="327" t="s">
        <v>347</v>
      </c>
      <c r="D155" s="328">
        <f>-MIN(M153:BL153)-D156</f>
        <v>10666587.08</v>
      </c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  <c r="BX155" s="226"/>
    </row>
    <row r="156" spans="3:76">
      <c r="C156" s="327" t="s">
        <v>348</v>
      </c>
      <c r="D156" s="328">
        <f>-SUM(M151:BB151)</f>
        <v>0</v>
      </c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  <c r="BX156" s="226"/>
    </row>
    <row r="157" spans="3:76">
      <c r="C157" s="317" t="s">
        <v>349</v>
      </c>
      <c r="D157" s="329">
        <f>D156+D155</f>
        <v>10666587.08</v>
      </c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  <c r="BX157" s="226"/>
    </row>
    <row r="158" spans="3:76">
      <c r="C158" s="317" t="s">
        <v>350</v>
      </c>
      <c r="D158" s="329">
        <f>BX149+BX150</f>
        <v>0</v>
      </c>
      <c r="E158" s="226"/>
      <c r="F158" s="226"/>
      <c r="G158" s="226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226"/>
      <c r="AG158" s="226"/>
      <c r="AH158" s="226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AY158" s="226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  <c r="BX158" s="226"/>
    </row>
    <row r="159" spans="3:76">
      <c r="C159" s="317" t="s">
        <v>351</v>
      </c>
      <c r="D159" s="326">
        <f>T150/T147</f>
        <v>0.51486070537227191</v>
      </c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  <c r="AG159" s="226"/>
      <c r="AH159" s="226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AY159" s="226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  <c r="BX159" s="226"/>
    </row>
    <row r="163" spans="3:76">
      <c r="C163" s="314" t="s">
        <v>356</v>
      </c>
      <c r="D163" s="315"/>
      <c r="E163" s="315">
        <f t="shared" ref="E163:G163" si="59">-(E7+E93)</f>
        <v>0</v>
      </c>
      <c r="F163" s="315">
        <f t="shared" si="59"/>
        <v>0</v>
      </c>
      <c r="G163" s="315">
        <f t="shared" si="59"/>
        <v>0</v>
      </c>
      <c r="H163" s="315">
        <f>-5341205.5</f>
        <v>-5341205.5</v>
      </c>
      <c r="I163" s="315">
        <f t="shared" ref="I163:S163" si="60">-(I7+I93)</f>
        <v>0</v>
      </c>
      <c r="J163" s="315">
        <f t="shared" si="60"/>
        <v>0</v>
      </c>
      <c r="K163" s="315">
        <f t="shared" si="60"/>
        <v>0</v>
      </c>
      <c r="L163" s="315">
        <f t="shared" si="60"/>
        <v>0</v>
      </c>
      <c r="M163" s="315">
        <f t="shared" si="60"/>
        <v>0</v>
      </c>
      <c r="N163" s="315">
        <f t="shared" si="60"/>
        <v>0</v>
      </c>
      <c r="O163" s="315">
        <f t="shared" si="60"/>
        <v>0</v>
      </c>
      <c r="P163" s="315">
        <f t="shared" si="60"/>
        <v>0</v>
      </c>
      <c r="Q163" s="315">
        <f t="shared" si="60"/>
        <v>0</v>
      </c>
      <c r="R163" s="315">
        <f t="shared" si="60"/>
        <v>0</v>
      </c>
      <c r="S163" s="315">
        <f t="shared" si="60"/>
        <v>0</v>
      </c>
      <c r="T163" s="315">
        <f>5341205.5</f>
        <v>5341205.5</v>
      </c>
      <c r="U163" s="315">
        <f t="shared" ref="U163:BX163" si="61">-(U7+U93)</f>
        <v>0</v>
      </c>
      <c r="V163" s="315">
        <f t="shared" si="61"/>
        <v>0</v>
      </c>
      <c r="W163" s="315">
        <f t="shared" si="61"/>
        <v>0</v>
      </c>
      <c r="X163" s="315">
        <f t="shared" si="61"/>
        <v>0</v>
      </c>
      <c r="Y163" s="315">
        <f t="shared" si="61"/>
        <v>0</v>
      </c>
      <c r="Z163" s="315">
        <f t="shared" si="61"/>
        <v>0</v>
      </c>
      <c r="AA163" s="315">
        <f t="shared" si="61"/>
        <v>0</v>
      </c>
      <c r="AB163" s="315">
        <f t="shared" si="61"/>
        <v>0</v>
      </c>
      <c r="AC163" s="315">
        <f t="shared" si="61"/>
        <v>0</v>
      </c>
      <c r="AD163" s="315">
        <f t="shared" si="61"/>
        <v>0</v>
      </c>
      <c r="AE163" s="315">
        <f t="shared" si="61"/>
        <v>0</v>
      </c>
      <c r="AF163" s="315">
        <f t="shared" si="61"/>
        <v>0</v>
      </c>
      <c r="AG163" s="315">
        <f t="shared" si="61"/>
        <v>0</v>
      </c>
      <c r="AH163" s="315">
        <f t="shared" si="61"/>
        <v>0</v>
      </c>
      <c r="AI163" s="315">
        <f t="shared" si="61"/>
        <v>0</v>
      </c>
      <c r="AJ163" s="315">
        <f t="shared" si="61"/>
        <v>0</v>
      </c>
      <c r="AK163" s="315">
        <f t="shared" si="61"/>
        <v>0</v>
      </c>
      <c r="AL163" s="315">
        <f t="shared" si="61"/>
        <v>0</v>
      </c>
      <c r="AM163" s="315">
        <f t="shared" si="61"/>
        <v>0</v>
      </c>
      <c r="AN163" s="315">
        <f t="shared" si="61"/>
        <v>0</v>
      </c>
      <c r="AO163" s="315">
        <f t="shared" si="61"/>
        <v>0</v>
      </c>
      <c r="AP163" s="315">
        <f t="shared" si="61"/>
        <v>0</v>
      </c>
      <c r="AQ163" s="315">
        <f t="shared" si="61"/>
        <v>0</v>
      </c>
      <c r="AR163" s="315">
        <f t="shared" si="61"/>
        <v>0</v>
      </c>
      <c r="AS163" s="315">
        <f t="shared" si="61"/>
        <v>0</v>
      </c>
      <c r="AT163" s="315">
        <f t="shared" si="61"/>
        <v>0</v>
      </c>
      <c r="AU163" s="315">
        <f t="shared" si="61"/>
        <v>0</v>
      </c>
      <c r="AV163" s="315">
        <f t="shared" si="61"/>
        <v>0</v>
      </c>
      <c r="AW163" s="315">
        <f t="shared" si="61"/>
        <v>0</v>
      </c>
      <c r="AX163" s="315">
        <f t="shared" si="61"/>
        <v>0</v>
      </c>
      <c r="AY163" s="315">
        <f t="shared" si="61"/>
        <v>0</v>
      </c>
      <c r="AZ163" s="315">
        <f t="shared" si="61"/>
        <v>0</v>
      </c>
      <c r="BA163" s="315">
        <f t="shared" si="61"/>
        <v>0</v>
      </c>
      <c r="BB163" s="315">
        <f t="shared" si="61"/>
        <v>0</v>
      </c>
      <c r="BC163" s="315">
        <f t="shared" si="61"/>
        <v>0</v>
      </c>
      <c r="BD163" s="315">
        <f t="shared" si="61"/>
        <v>0</v>
      </c>
      <c r="BE163" s="315">
        <f t="shared" si="61"/>
        <v>0</v>
      </c>
      <c r="BF163" s="315">
        <f t="shared" si="61"/>
        <v>0</v>
      </c>
      <c r="BG163" s="315">
        <f t="shared" si="61"/>
        <v>0</v>
      </c>
      <c r="BH163" s="315">
        <f t="shared" si="61"/>
        <v>0</v>
      </c>
      <c r="BI163" s="315">
        <f t="shared" si="61"/>
        <v>0</v>
      </c>
      <c r="BJ163" s="315">
        <f t="shared" si="61"/>
        <v>0</v>
      </c>
      <c r="BK163" s="315">
        <f t="shared" si="61"/>
        <v>0</v>
      </c>
      <c r="BL163" s="315">
        <f t="shared" si="61"/>
        <v>0</v>
      </c>
      <c r="BM163" s="315">
        <f t="shared" si="61"/>
        <v>0</v>
      </c>
      <c r="BN163" s="315">
        <f t="shared" si="61"/>
        <v>0</v>
      </c>
      <c r="BO163" s="315">
        <f t="shared" si="61"/>
        <v>0</v>
      </c>
      <c r="BP163" s="315">
        <f t="shared" si="61"/>
        <v>0</v>
      </c>
      <c r="BQ163" s="315">
        <f t="shared" si="61"/>
        <v>0</v>
      </c>
      <c r="BR163" s="315">
        <f t="shared" si="61"/>
        <v>0</v>
      </c>
      <c r="BS163" s="315">
        <f t="shared" si="61"/>
        <v>0</v>
      </c>
      <c r="BT163" s="315">
        <f t="shared" si="61"/>
        <v>0</v>
      </c>
      <c r="BU163" s="315">
        <f t="shared" si="61"/>
        <v>0</v>
      </c>
      <c r="BV163" s="315">
        <f t="shared" si="61"/>
        <v>0</v>
      </c>
      <c r="BW163" s="315">
        <f t="shared" si="61"/>
        <v>0</v>
      </c>
      <c r="BX163" s="315">
        <f t="shared" si="61"/>
        <v>0</v>
      </c>
    </row>
    <row r="164" spans="3:76">
      <c r="C164" s="314" t="s">
        <v>353</v>
      </c>
      <c r="D164" s="323"/>
      <c r="E164" s="315"/>
      <c r="F164" s="315"/>
      <c r="G164" s="315"/>
      <c r="H164" s="315"/>
      <c r="I164" s="315"/>
      <c r="J164" s="315"/>
      <c r="K164" s="315"/>
      <c r="L164" s="315"/>
      <c r="M164" s="315"/>
      <c r="N164" s="315"/>
      <c r="O164" s="315"/>
      <c r="P164" s="315"/>
      <c r="Q164" s="315"/>
      <c r="R164" s="315"/>
      <c r="S164" s="315"/>
      <c r="T164" s="315"/>
      <c r="U164" s="315"/>
      <c r="V164" s="315"/>
      <c r="W164" s="315"/>
      <c r="X164" s="315"/>
      <c r="Y164" s="315"/>
      <c r="Z164" s="315"/>
      <c r="AA164" s="315"/>
      <c r="AB164" s="315"/>
      <c r="AC164" s="315"/>
      <c r="AD164" s="315"/>
      <c r="AE164" s="315"/>
      <c r="AF164" s="315"/>
      <c r="AG164" s="315"/>
      <c r="AH164" s="315"/>
      <c r="AI164" s="315"/>
      <c r="AJ164" s="315"/>
      <c r="AK164" s="315"/>
      <c r="AL164" s="315"/>
      <c r="AM164" s="315"/>
      <c r="AN164" s="315"/>
      <c r="AO164" s="315"/>
      <c r="AP164" s="315"/>
      <c r="AQ164" s="315"/>
      <c r="AR164" s="315"/>
      <c r="AS164" s="315"/>
      <c r="AT164" s="315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</row>
    <row r="165" spans="3:76">
      <c r="C165" s="314" t="s">
        <v>343</v>
      </c>
      <c r="D165" s="323"/>
      <c r="E165" s="315">
        <f t="shared" ref="E165:BX165" si="62">-E58</f>
        <v>0</v>
      </c>
      <c r="F165" s="315">
        <f t="shared" si="62"/>
        <v>0</v>
      </c>
      <c r="G165" s="315">
        <f t="shared" si="62"/>
        <v>0</v>
      </c>
      <c r="H165" s="315">
        <f t="shared" si="62"/>
        <v>0</v>
      </c>
      <c r="I165" s="315">
        <f t="shared" si="62"/>
        <v>0</v>
      </c>
      <c r="J165" s="315">
        <f t="shared" si="62"/>
        <v>0</v>
      </c>
      <c r="K165" s="315">
        <f t="shared" si="62"/>
        <v>0</v>
      </c>
      <c r="L165" s="315">
        <f t="shared" si="62"/>
        <v>0</v>
      </c>
      <c r="M165" s="315">
        <f t="shared" si="62"/>
        <v>0</v>
      </c>
      <c r="N165" s="315">
        <f t="shared" si="62"/>
        <v>0</v>
      </c>
      <c r="O165" s="315">
        <f t="shared" si="62"/>
        <v>0</v>
      </c>
      <c r="P165" s="315">
        <f t="shared" si="62"/>
        <v>0</v>
      </c>
      <c r="Q165" s="315">
        <f t="shared" si="62"/>
        <v>0</v>
      </c>
      <c r="R165" s="315">
        <f t="shared" si="62"/>
        <v>0</v>
      </c>
      <c r="S165" s="315">
        <f t="shared" si="62"/>
        <v>0</v>
      </c>
      <c r="T165" s="315">
        <f t="shared" si="62"/>
        <v>0</v>
      </c>
      <c r="U165" s="315">
        <f t="shared" si="62"/>
        <v>0</v>
      </c>
      <c r="V165" s="315">
        <f t="shared" si="62"/>
        <v>0</v>
      </c>
      <c r="W165" s="315">
        <f t="shared" si="62"/>
        <v>0</v>
      </c>
      <c r="X165" s="315">
        <f t="shared" si="62"/>
        <v>0</v>
      </c>
      <c r="Y165" s="315">
        <f t="shared" si="62"/>
        <v>0</v>
      </c>
      <c r="Z165" s="315">
        <f t="shared" si="62"/>
        <v>0</v>
      </c>
      <c r="AA165" s="315">
        <f t="shared" si="62"/>
        <v>0</v>
      </c>
      <c r="AB165" s="315">
        <f t="shared" si="62"/>
        <v>0</v>
      </c>
      <c r="AC165" s="315">
        <f t="shared" si="62"/>
        <v>0</v>
      </c>
      <c r="AD165" s="315">
        <f t="shared" si="62"/>
        <v>0</v>
      </c>
      <c r="AE165" s="315">
        <f t="shared" si="62"/>
        <v>0</v>
      </c>
      <c r="AF165" s="315">
        <f t="shared" si="62"/>
        <v>0</v>
      </c>
      <c r="AG165" s="315">
        <f t="shared" si="62"/>
        <v>0</v>
      </c>
      <c r="AH165" s="315">
        <f t="shared" si="62"/>
        <v>0</v>
      </c>
      <c r="AI165" s="315">
        <f t="shared" si="62"/>
        <v>0</v>
      </c>
      <c r="AJ165" s="315">
        <f t="shared" si="62"/>
        <v>0</v>
      </c>
      <c r="AK165" s="315">
        <f t="shared" si="62"/>
        <v>0</v>
      </c>
      <c r="AL165" s="315">
        <f t="shared" si="62"/>
        <v>0</v>
      </c>
      <c r="AM165" s="315">
        <f t="shared" si="62"/>
        <v>0</v>
      </c>
      <c r="AN165" s="315">
        <f t="shared" si="62"/>
        <v>0</v>
      </c>
      <c r="AO165" s="315">
        <f t="shared" si="62"/>
        <v>0</v>
      </c>
      <c r="AP165" s="315">
        <f t="shared" si="62"/>
        <v>0</v>
      </c>
      <c r="AQ165" s="315">
        <f t="shared" si="62"/>
        <v>0</v>
      </c>
      <c r="AR165" s="315">
        <f t="shared" si="62"/>
        <v>0</v>
      </c>
      <c r="AS165" s="315">
        <f t="shared" si="62"/>
        <v>0</v>
      </c>
      <c r="AT165" s="315">
        <f t="shared" si="62"/>
        <v>0</v>
      </c>
      <c r="AU165" s="315">
        <f t="shared" si="62"/>
        <v>0</v>
      </c>
      <c r="AV165" s="315">
        <f t="shared" si="62"/>
        <v>0</v>
      </c>
      <c r="AW165" s="315">
        <f t="shared" si="62"/>
        <v>0</v>
      </c>
      <c r="AX165" s="315">
        <f t="shared" si="62"/>
        <v>0</v>
      </c>
      <c r="AY165" s="315">
        <f t="shared" si="62"/>
        <v>0</v>
      </c>
      <c r="AZ165" s="315">
        <f t="shared" si="62"/>
        <v>0</v>
      </c>
      <c r="BA165" s="315">
        <f t="shared" si="62"/>
        <v>0</v>
      </c>
      <c r="BB165" s="315">
        <f t="shared" si="62"/>
        <v>0</v>
      </c>
      <c r="BC165" s="315">
        <f t="shared" si="62"/>
        <v>0</v>
      </c>
      <c r="BD165" s="315">
        <f t="shared" si="62"/>
        <v>0</v>
      </c>
      <c r="BE165" s="315">
        <f t="shared" si="62"/>
        <v>0</v>
      </c>
      <c r="BF165" s="315">
        <f t="shared" si="62"/>
        <v>0</v>
      </c>
      <c r="BG165" s="315">
        <f t="shared" si="62"/>
        <v>0</v>
      </c>
      <c r="BH165" s="315">
        <f t="shared" si="62"/>
        <v>0</v>
      </c>
      <c r="BI165" s="315">
        <f t="shared" si="62"/>
        <v>0</v>
      </c>
      <c r="BJ165" s="315">
        <f t="shared" si="62"/>
        <v>0</v>
      </c>
      <c r="BK165" s="315">
        <f t="shared" si="62"/>
        <v>0</v>
      </c>
      <c r="BL165" s="315">
        <f t="shared" si="62"/>
        <v>0</v>
      </c>
      <c r="BM165" s="315">
        <f t="shared" si="62"/>
        <v>0</v>
      </c>
      <c r="BN165" s="315">
        <f t="shared" si="62"/>
        <v>0</v>
      </c>
      <c r="BO165" s="315">
        <f t="shared" si="62"/>
        <v>0</v>
      </c>
      <c r="BP165" s="315">
        <f t="shared" si="62"/>
        <v>0</v>
      </c>
      <c r="BQ165" s="315">
        <f t="shared" si="62"/>
        <v>0</v>
      </c>
      <c r="BR165" s="315">
        <f t="shared" si="62"/>
        <v>0</v>
      </c>
      <c r="BS165" s="315">
        <f t="shared" si="62"/>
        <v>0</v>
      </c>
      <c r="BT165" s="315">
        <f t="shared" si="62"/>
        <v>0</v>
      </c>
      <c r="BU165" s="315">
        <f t="shared" si="62"/>
        <v>0</v>
      </c>
      <c r="BV165" s="315">
        <f t="shared" si="62"/>
        <v>0</v>
      </c>
      <c r="BW165" s="315">
        <f t="shared" si="62"/>
        <v>0</v>
      </c>
      <c r="BX165" s="315">
        <f t="shared" si="62"/>
        <v>0</v>
      </c>
    </row>
    <row r="166" spans="3:76">
      <c r="C166" s="314" t="s">
        <v>344</v>
      </c>
      <c r="D166" s="323"/>
      <c r="E166" s="315"/>
      <c r="F166" s="315"/>
      <c r="G166" s="315"/>
      <c r="H166" s="315"/>
      <c r="I166" s="315"/>
      <c r="J166" s="315"/>
      <c r="K166" s="315"/>
      <c r="L166" s="315"/>
      <c r="M166" s="315"/>
      <c r="N166" s="315"/>
      <c r="O166" s="315"/>
      <c r="P166" s="315"/>
      <c r="Q166" s="315"/>
      <c r="R166" s="315"/>
      <c r="S166" s="315"/>
      <c r="T166" s="315">
        <v>2750000</v>
      </c>
      <c r="U166" s="315"/>
      <c r="V166" s="315"/>
      <c r="W166" s="315"/>
      <c r="X166" s="315"/>
      <c r="Y166" s="315"/>
      <c r="Z166" s="315"/>
      <c r="AA166" s="315"/>
      <c r="AB166" s="315"/>
      <c r="AC166" s="315"/>
      <c r="AD166" s="315"/>
      <c r="AE166" s="315"/>
      <c r="AF166" s="315"/>
      <c r="AG166" s="315"/>
      <c r="AH166" s="315"/>
      <c r="AI166" s="315"/>
      <c r="AJ166" s="315"/>
      <c r="AK166" s="315"/>
      <c r="AL166" s="315"/>
      <c r="AM166" s="315"/>
      <c r="AN166" s="315"/>
      <c r="AO166" s="315"/>
      <c r="AP166" s="315"/>
      <c r="AQ166" s="315"/>
      <c r="AR166" s="315"/>
      <c r="AS166" s="315"/>
      <c r="AT166" s="315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>
        <f>IF(D106&gt;0.25,(BX101-BX109)*D167,BX101*D167)</f>
        <v>0</v>
      </c>
    </row>
    <row r="167" spans="3:76">
      <c r="C167" s="317" t="s">
        <v>345</v>
      </c>
      <c r="D167" s="323">
        <v>0</v>
      </c>
      <c r="E167" s="246"/>
      <c r="F167" s="246"/>
      <c r="G167" s="246"/>
      <c r="H167" s="246"/>
      <c r="I167" s="246"/>
      <c r="J167" s="246"/>
      <c r="K167" s="246"/>
      <c r="L167" s="246"/>
      <c r="M167" s="246"/>
      <c r="N167" s="246"/>
      <c r="O167" s="246"/>
      <c r="P167" s="246"/>
      <c r="Q167" s="246"/>
      <c r="R167" s="246"/>
      <c r="S167" s="246"/>
      <c r="T167" s="246"/>
      <c r="U167" s="246"/>
      <c r="V167" s="246"/>
      <c r="W167" s="246"/>
      <c r="X167" s="246"/>
      <c r="Y167" s="246"/>
      <c r="Z167" s="246"/>
      <c r="AA167" s="246"/>
      <c r="AB167" s="246"/>
      <c r="AC167" s="246"/>
      <c r="AD167" s="246"/>
      <c r="AE167" s="246"/>
      <c r="AF167" s="246"/>
      <c r="AG167" s="246"/>
      <c r="AH167" s="246"/>
      <c r="AI167" s="246"/>
      <c r="AJ167" s="246"/>
      <c r="AK167" s="246"/>
      <c r="AL167" s="246"/>
      <c r="AM167" s="246"/>
      <c r="AN167" s="246"/>
      <c r="AO167" s="246"/>
      <c r="AP167" s="246"/>
      <c r="AQ167" s="246"/>
      <c r="AR167" s="246"/>
      <c r="AS167" s="246"/>
      <c r="AT167" s="246"/>
      <c r="AU167" s="246"/>
      <c r="AV167" s="246"/>
      <c r="AW167" s="246"/>
      <c r="AX167" s="246"/>
      <c r="AY167" s="246"/>
      <c r="AZ167" s="246"/>
      <c r="BA167" s="246"/>
      <c r="BB167" s="246"/>
      <c r="BC167" s="246"/>
      <c r="BD167" s="246"/>
      <c r="BE167" s="246"/>
      <c r="BF167" s="246"/>
      <c r="BG167" s="246"/>
      <c r="BH167" s="246"/>
      <c r="BI167" s="246"/>
      <c r="BJ167" s="246"/>
      <c r="BK167" s="246"/>
      <c r="BL167" s="246"/>
      <c r="BM167" s="246"/>
      <c r="BN167" s="246"/>
      <c r="BO167" s="246"/>
      <c r="BP167" s="246"/>
      <c r="BQ167" s="246"/>
      <c r="BR167" s="246"/>
      <c r="BS167" s="246"/>
      <c r="BT167" s="246"/>
      <c r="BU167" s="246"/>
      <c r="BV167" s="246"/>
      <c r="BW167" s="246"/>
      <c r="BX167" s="246"/>
    </row>
    <row r="168" spans="3:76">
      <c r="C168" s="314" t="s">
        <v>346</v>
      </c>
      <c r="D168" s="315"/>
      <c r="E168" s="325">
        <f t="shared" ref="E168:BX168" si="63">E163+E164+E165+E166+E167</f>
        <v>0</v>
      </c>
      <c r="F168" s="325">
        <f t="shared" si="63"/>
        <v>0</v>
      </c>
      <c r="G168" s="325">
        <f t="shared" si="63"/>
        <v>0</v>
      </c>
      <c r="H168" s="325">
        <f t="shared" si="63"/>
        <v>-5341205.5</v>
      </c>
      <c r="I168" s="325">
        <f t="shared" si="63"/>
        <v>0</v>
      </c>
      <c r="J168" s="325">
        <f t="shared" si="63"/>
        <v>0</v>
      </c>
      <c r="K168" s="325">
        <f t="shared" si="63"/>
        <v>0</v>
      </c>
      <c r="L168" s="325">
        <f t="shared" si="63"/>
        <v>0</v>
      </c>
      <c r="M168" s="325">
        <f t="shared" si="63"/>
        <v>0</v>
      </c>
      <c r="N168" s="325">
        <f t="shared" si="63"/>
        <v>0</v>
      </c>
      <c r="O168" s="325">
        <f t="shared" si="63"/>
        <v>0</v>
      </c>
      <c r="P168" s="325">
        <f t="shared" si="63"/>
        <v>0</v>
      </c>
      <c r="Q168" s="325">
        <f t="shared" si="63"/>
        <v>0</v>
      </c>
      <c r="R168" s="325">
        <f t="shared" si="63"/>
        <v>0</v>
      </c>
      <c r="S168" s="325">
        <f t="shared" si="63"/>
        <v>0</v>
      </c>
      <c r="T168" s="325">
        <f t="shared" si="63"/>
        <v>8091205.5</v>
      </c>
      <c r="U168" s="325">
        <f t="shared" si="63"/>
        <v>0</v>
      </c>
      <c r="V168" s="325">
        <f t="shared" si="63"/>
        <v>0</v>
      </c>
      <c r="W168" s="325">
        <f t="shared" si="63"/>
        <v>0</v>
      </c>
      <c r="X168" s="325">
        <f t="shared" si="63"/>
        <v>0</v>
      </c>
      <c r="Y168" s="325">
        <f t="shared" si="63"/>
        <v>0</v>
      </c>
      <c r="Z168" s="325">
        <f t="shared" si="63"/>
        <v>0</v>
      </c>
      <c r="AA168" s="325">
        <f t="shared" si="63"/>
        <v>0</v>
      </c>
      <c r="AB168" s="325">
        <f t="shared" si="63"/>
        <v>0</v>
      </c>
      <c r="AC168" s="325">
        <f t="shared" si="63"/>
        <v>0</v>
      </c>
      <c r="AD168" s="325">
        <f t="shared" si="63"/>
        <v>0</v>
      </c>
      <c r="AE168" s="325">
        <f t="shared" si="63"/>
        <v>0</v>
      </c>
      <c r="AF168" s="325">
        <f t="shared" si="63"/>
        <v>0</v>
      </c>
      <c r="AG168" s="325">
        <f t="shared" si="63"/>
        <v>0</v>
      </c>
      <c r="AH168" s="325">
        <f t="shared" si="63"/>
        <v>0</v>
      </c>
      <c r="AI168" s="325">
        <f t="shared" si="63"/>
        <v>0</v>
      </c>
      <c r="AJ168" s="325">
        <f t="shared" si="63"/>
        <v>0</v>
      </c>
      <c r="AK168" s="325">
        <f t="shared" si="63"/>
        <v>0</v>
      </c>
      <c r="AL168" s="325">
        <f t="shared" si="63"/>
        <v>0</v>
      </c>
      <c r="AM168" s="325">
        <f t="shared" si="63"/>
        <v>0</v>
      </c>
      <c r="AN168" s="325">
        <f t="shared" si="63"/>
        <v>0</v>
      </c>
      <c r="AO168" s="325">
        <f t="shared" si="63"/>
        <v>0</v>
      </c>
      <c r="AP168" s="325">
        <f t="shared" si="63"/>
        <v>0</v>
      </c>
      <c r="AQ168" s="325">
        <f t="shared" si="63"/>
        <v>0</v>
      </c>
      <c r="AR168" s="325">
        <f t="shared" si="63"/>
        <v>0</v>
      </c>
      <c r="AS168" s="325">
        <f t="shared" si="63"/>
        <v>0</v>
      </c>
      <c r="AT168" s="325">
        <f t="shared" si="63"/>
        <v>0</v>
      </c>
      <c r="AU168" s="325">
        <f t="shared" si="63"/>
        <v>0</v>
      </c>
      <c r="AV168" s="325">
        <f t="shared" si="63"/>
        <v>0</v>
      </c>
      <c r="AW168" s="325">
        <f t="shared" si="63"/>
        <v>0</v>
      </c>
      <c r="AX168" s="325">
        <f t="shared" si="63"/>
        <v>0</v>
      </c>
      <c r="AY168" s="325">
        <f t="shared" si="63"/>
        <v>0</v>
      </c>
      <c r="AZ168" s="325">
        <f t="shared" si="63"/>
        <v>0</v>
      </c>
      <c r="BA168" s="325">
        <f t="shared" si="63"/>
        <v>0</v>
      </c>
      <c r="BB168" s="325">
        <f t="shared" si="63"/>
        <v>0</v>
      </c>
      <c r="BC168" s="325">
        <f t="shared" si="63"/>
        <v>0</v>
      </c>
      <c r="BD168" s="325">
        <f t="shared" si="63"/>
        <v>0</v>
      </c>
      <c r="BE168" s="325">
        <f t="shared" si="63"/>
        <v>0</v>
      </c>
      <c r="BF168" s="325">
        <f t="shared" si="63"/>
        <v>0</v>
      </c>
      <c r="BG168" s="325">
        <f t="shared" si="63"/>
        <v>0</v>
      </c>
      <c r="BH168" s="325">
        <f t="shared" si="63"/>
        <v>0</v>
      </c>
      <c r="BI168" s="325">
        <f t="shared" si="63"/>
        <v>0</v>
      </c>
      <c r="BJ168" s="325">
        <f t="shared" si="63"/>
        <v>0</v>
      </c>
      <c r="BK168" s="325">
        <f t="shared" si="63"/>
        <v>0</v>
      </c>
      <c r="BL168" s="325">
        <f t="shared" si="63"/>
        <v>0</v>
      </c>
      <c r="BM168" s="325">
        <f t="shared" si="63"/>
        <v>0</v>
      </c>
      <c r="BN168" s="325">
        <f t="shared" si="63"/>
        <v>0</v>
      </c>
      <c r="BO168" s="325">
        <f t="shared" si="63"/>
        <v>0</v>
      </c>
      <c r="BP168" s="325">
        <f t="shared" si="63"/>
        <v>0</v>
      </c>
      <c r="BQ168" s="325">
        <f t="shared" si="63"/>
        <v>0</v>
      </c>
      <c r="BR168" s="325">
        <f t="shared" si="63"/>
        <v>0</v>
      </c>
      <c r="BS168" s="325">
        <f t="shared" si="63"/>
        <v>0</v>
      </c>
      <c r="BT168" s="325">
        <f t="shared" si="63"/>
        <v>0</v>
      </c>
      <c r="BU168" s="325">
        <f t="shared" si="63"/>
        <v>0</v>
      </c>
      <c r="BV168" s="325">
        <f t="shared" si="63"/>
        <v>0</v>
      </c>
      <c r="BW168" s="325">
        <f t="shared" si="63"/>
        <v>0</v>
      </c>
      <c r="BX168" s="325">
        <f t="shared" si="63"/>
        <v>0</v>
      </c>
    </row>
    <row r="169" spans="3:76">
      <c r="C169" s="318"/>
      <c r="D169" s="326" t="s">
        <v>354</v>
      </c>
      <c r="E169" s="330">
        <f>E168</f>
        <v>0</v>
      </c>
      <c r="F169" s="330">
        <f t="shared" ref="F169:BX169" si="64">E169+F168</f>
        <v>0</v>
      </c>
      <c r="G169" s="330">
        <f t="shared" si="64"/>
        <v>0</v>
      </c>
      <c r="H169" s="330">
        <f t="shared" si="64"/>
        <v>-5341205.5</v>
      </c>
      <c r="I169" s="330">
        <f t="shared" si="64"/>
        <v>-5341205.5</v>
      </c>
      <c r="J169" s="330">
        <f t="shared" si="64"/>
        <v>-5341205.5</v>
      </c>
      <c r="K169" s="330">
        <f t="shared" si="64"/>
        <v>-5341205.5</v>
      </c>
      <c r="L169" s="330">
        <f t="shared" si="64"/>
        <v>-5341205.5</v>
      </c>
      <c r="M169" s="330">
        <f t="shared" si="64"/>
        <v>-5341205.5</v>
      </c>
      <c r="N169" s="330">
        <f t="shared" si="64"/>
        <v>-5341205.5</v>
      </c>
      <c r="O169" s="330">
        <f t="shared" si="64"/>
        <v>-5341205.5</v>
      </c>
      <c r="P169" s="330">
        <f t="shared" si="64"/>
        <v>-5341205.5</v>
      </c>
      <c r="Q169" s="330">
        <f t="shared" si="64"/>
        <v>-5341205.5</v>
      </c>
      <c r="R169" s="330">
        <f t="shared" si="64"/>
        <v>-5341205.5</v>
      </c>
      <c r="S169" s="330">
        <f t="shared" si="64"/>
        <v>-5341205.5</v>
      </c>
      <c r="T169" s="330">
        <f t="shared" si="64"/>
        <v>2750000</v>
      </c>
      <c r="U169" s="330">
        <f t="shared" si="64"/>
        <v>2750000</v>
      </c>
      <c r="V169" s="330">
        <f t="shared" si="64"/>
        <v>2750000</v>
      </c>
      <c r="W169" s="330">
        <f t="shared" si="64"/>
        <v>2750000</v>
      </c>
      <c r="X169" s="330">
        <f t="shared" si="64"/>
        <v>2750000</v>
      </c>
      <c r="Y169" s="330">
        <f t="shared" si="64"/>
        <v>2750000</v>
      </c>
      <c r="Z169" s="330">
        <f t="shared" si="64"/>
        <v>2750000</v>
      </c>
      <c r="AA169" s="330">
        <f t="shared" si="64"/>
        <v>2750000</v>
      </c>
      <c r="AB169" s="330">
        <f t="shared" si="64"/>
        <v>2750000</v>
      </c>
      <c r="AC169" s="330">
        <f t="shared" si="64"/>
        <v>2750000</v>
      </c>
      <c r="AD169" s="330">
        <f t="shared" si="64"/>
        <v>2750000</v>
      </c>
      <c r="AE169" s="330">
        <f t="shared" si="64"/>
        <v>2750000</v>
      </c>
      <c r="AF169" s="330">
        <f t="shared" si="64"/>
        <v>2750000</v>
      </c>
      <c r="AG169" s="330">
        <f t="shared" si="64"/>
        <v>2750000</v>
      </c>
      <c r="AH169" s="330">
        <f t="shared" si="64"/>
        <v>2750000</v>
      </c>
      <c r="AI169" s="330">
        <f t="shared" si="64"/>
        <v>2750000</v>
      </c>
      <c r="AJ169" s="330">
        <f t="shared" si="64"/>
        <v>2750000</v>
      </c>
      <c r="AK169" s="330">
        <f t="shared" si="64"/>
        <v>2750000</v>
      </c>
      <c r="AL169" s="330">
        <f t="shared" si="64"/>
        <v>2750000</v>
      </c>
      <c r="AM169" s="330">
        <f t="shared" si="64"/>
        <v>2750000</v>
      </c>
      <c r="AN169" s="330">
        <f t="shared" si="64"/>
        <v>2750000</v>
      </c>
      <c r="AO169" s="330">
        <f t="shared" si="64"/>
        <v>2750000</v>
      </c>
      <c r="AP169" s="330">
        <f t="shared" si="64"/>
        <v>2750000</v>
      </c>
      <c r="AQ169" s="330">
        <f t="shared" si="64"/>
        <v>2750000</v>
      </c>
      <c r="AR169" s="330">
        <f t="shared" si="64"/>
        <v>2750000</v>
      </c>
      <c r="AS169" s="330">
        <f t="shared" si="64"/>
        <v>2750000</v>
      </c>
      <c r="AT169" s="330">
        <f t="shared" si="64"/>
        <v>2750000</v>
      </c>
      <c r="AU169" s="330">
        <f t="shared" si="64"/>
        <v>2750000</v>
      </c>
      <c r="AV169" s="330">
        <f t="shared" si="64"/>
        <v>2750000</v>
      </c>
      <c r="AW169" s="330">
        <f t="shared" si="64"/>
        <v>2750000</v>
      </c>
      <c r="AX169" s="330">
        <f t="shared" si="64"/>
        <v>2750000</v>
      </c>
      <c r="AY169" s="330">
        <f t="shared" si="64"/>
        <v>2750000</v>
      </c>
      <c r="AZ169" s="330">
        <f t="shared" si="64"/>
        <v>2750000</v>
      </c>
      <c r="BA169" s="330">
        <f t="shared" si="64"/>
        <v>2750000</v>
      </c>
      <c r="BB169" s="330">
        <f t="shared" si="64"/>
        <v>2750000</v>
      </c>
      <c r="BC169" s="330">
        <f t="shared" si="64"/>
        <v>2750000</v>
      </c>
      <c r="BD169" s="330">
        <f t="shared" si="64"/>
        <v>2750000</v>
      </c>
      <c r="BE169" s="330">
        <f t="shared" si="64"/>
        <v>2750000</v>
      </c>
      <c r="BF169" s="330">
        <f t="shared" si="64"/>
        <v>2750000</v>
      </c>
      <c r="BG169" s="330">
        <f t="shared" si="64"/>
        <v>2750000</v>
      </c>
      <c r="BH169" s="330">
        <f t="shared" si="64"/>
        <v>2750000</v>
      </c>
      <c r="BI169" s="330">
        <f t="shared" si="64"/>
        <v>2750000</v>
      </c>
      <c r="BJ169" s="330">
        <f t="shared" si="64"/>
        <v>2750000</v>
      </c>
      <c r="BK169" s="330">
        <f t="shared" si="64"/>
        <v>2750000</v>
      </c>
      <c r="BL169" s="330">
        <f t="shared" si="64"/>
        <v>2750000</v>
      </c>
      <c r="BM169" s="330">
        <f t="shared" si="64"/>
        <v>2750000</v>
      </c>
      <c r="BN169" s="330">
        <f t="shared" si="64"/>
        <v>2750000</v>
      </c>
      <c r="BO169" s="330">
        <f t="shared" si="64"/>
        <v>2750000</v>
      </c>
      <c r="BP169" s="330">
        <f t="shared" si="64"/>
        <v>2750000</v>
      </c>
      <c r="BQ169" s="330">
        <f t="shared" si="64"/>
        <v>2750000</v>
      </c>
      <c r="BR169" s="330">
        <f t="shared" si="64"/>
        <v>2750000</v>
      </c>
      <c r="BS169" s="330">
        <f t="shared" si="64"/>
        <v>2750000</v>
      </c>
      <c r="BT169" s="330">
        <f t="shared" si="64"/>
        <v>2750000</v>
      </c>
      <c r="BU169" s="330">
        <f t="shared" si="64"/>
        <v>2750000</v>
      </c>
      <c r="BV169" s="330">
        <f t="shared" si="64"/>
        <v>2750000</v>
      </c>
      <c r="BW169" s="330">
        <f t="shared" si="64"/>
        <v>2750000</v>
      </c>
      <c r="BX169" s="330">
        <f t="shared" si="64"/>
        <v>2750000</v>
      </c>
    </row>
    <row r="170" spans="3:76">
      <c r="C170" s="317" t="s">
        <v>339</v>
      </c>
      <c r="D170" s="326">
        <f>IRR(E168:BX168)*12</f>
        <v>0.42259732866030397</v>
      </c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6"/>
      <c r="AZ170" s="226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6"/>
      <c r="BM170" s="226"/>
      <c r="BN170" s="226"/>
      <c r="BO170" s="226"/>
      <c r="BP170" s="226"/>
      <c r="BQ170" s="226"/>
      <c r="BR170" s="226"/>
      <c r="BS170" s="226"/>
      <c r="BT170" s="226"/>
      <c r="BU170" s="226"/>
      <c r="BV170" s="226"/>
      <c r="BW170" s="226"/>
      <c r="BX170" s="226"/>
    </row>
    <row r="171" spans="3:76">
      <c r="C171" s="327" t="s">
        <v>347</v>
      </c>
      <c r="D171" s="328">
        <f>-MIN(M169:BL169)-D172</f>
        <v>5341205.5</v>
      </c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6"/>
      <c r="AZ171" s="226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6"/>
      <c r="BM171" s="226"/>
      <c r="BN171" s="226"/>
      <c r="BO171" s="226"/>
      <c r="BP171" s="226"/>
      <c r="BQ171" s="226"/>
      <c r="BR171" s="226"/>
      <c r="BS171" s="226"/>
      <c r="BT171" s="226"/>
      <c r="BU171" s="226"/>
      <c r="BV171" s="226"/>
      <c r="BW171" s="226"/>
      <c r="BX171" s="226"/>
    </row>
    <row r="172" spans="3:76">
      <c r="C172" s="327" t="s">
        <v>348</v>
      </c>
      <c r="D172" s="328">
        <f>-SUM(M167:BB167)</f>
        <v>0</v>
      </c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6"/>
      <c r="BN172" s="226"/>
      <c r="BO172" s="226"/>
      <c r="BP172" s="226"/>
      <c r="BQ172" s="226"/>
      <c r="BR172" s="226"/>
      <c r="BS172" s="226"/>
      <c r="BT172" s="226"/>
      <c r="BU172" s="226"/>
      <c r="BV172" s="226"/>
      <c r="BW172" s="226"/>
      <c r="BX172" s="226"/>
    </row>
    <row r="173" spans="3:76">
      <c r="C173" s="317" t="s">
        <v>349</v>
      </c>
      <c r="D173" s="329">
        <f>D172+D171</f>
        <v>5341205.5</v>
      </c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6"/>
      <c r="BN173" s="226"/>
      <c r="BO173" s="226"/>
      <c r="BP173" s="226"/>
      <c r="BQ173" s="226"/>
      <c r="BR173" s="226"/>
      <c r="BS173" s="226"/>
      <c r="BT173" s="226"/>
      <c r="BU173" s="226"/>
      <c r="BV173" s="226"/>
      <c r="BW173" s="226"/>
      <c r="BX173" s="226"/>
    </row>
    <row r="174" spans="3:76">
      <c r="C174" s="317" t="s">
        <v>350</v>
      </c>
      <c r="D174" s="329">
        <f>BX165+BX166</f>
        <v>0</v>
      </c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26"/>
      <c r="BN174" s="226"/>
      <c r="BO174" s="226"/>
      <c r="BP174" s="226"/>
      <c r="BQ174" s="226"/>
      <c r="BR174" s="226"/>
      <c r="BS174" s="226"/>
      <c r="BT174" s="226"/>
      <c r="BU174" s="226"/>
      <c r="BV174" s="226"/>
      <c r="BW174" s="226"/>
      <c r="BX174" s="226"/>
    </row>
    <row r="175" spans="3:76">
      <c r="C175" s="317" t="s">
        <v>351</v>
      </c>
      <c r="D175" s="326">
        <f>T166/T163</f>
        <v>0.51486504310684167</v>
      </c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26"/>
      <c r="BN175" s="226"/>
      <c r="BO175" s="226"/>
      <c r="BP175" s="226"/>
      <c r="BQ175" s="226"/>
      <c r="BR175" s="226"/>
      <c r="BS175" s="226"/>
      <c r="BT175" s="226"/>
      <c r="BU175" s="226"/>
      <c r="BV175" s="226"/>
      <c r="BW175" s="226"/>
      <c r="BX175" s="226"/>
    </row>
    <row r="179" spans="3:76">
      <c r="C179" s="314" t="s">
        <v>357</v>
      </c>
      <c r="D179" s="315"/>
      <c r="E179" s="316">
        <f t="shared" ref="E179:G179" si="65">-(E8+E94)</f>
        <v>0</v>
      </c>
      <c r="F179" s="316">
        <f t="shared" si="65"/>
        <v>0</v>
      </c>
      <c r="G179" s="316">
        <f t="shared" si="65"/>
        <v>0</v>
      </c>
      <c r="H179" s="315">
        <f>-5341205.5</f>
        <v>-5341205.5</v>
      </c>
      <c r="I179" s="315">
        <v>0</v>
      </c>
      <c r="J179" s="315">
        <v>0</v>
      </c>
      <c r="K179" s="315">
        <v>0</v>
      </c>
      <c r="L179" s="315">
        <v>0</v>
      </c>
      <c r="M179" s="315">
        <v>0</v>
      </c>
      <c r="N179" s="315">
        <v>0</v>
      </c>
      <c r="O179" s="315">
        <v>0</v>
      </c>
      <c r="P179" s="315">
        <v>0</v>
      </c>
      <c r="Q179" s="315">
        <v>0</v>
      </c>
      <c r="R179" s="315">
        <v>0</v>
      </c>
      <c r="S179" s="315">
        <v>0</v>
      </c>
      <c r="T179" s="315">
        <f>5341205.5</f>
        <v>5341205.5</v>
      </c>
      <c r="U179" s="316">
        <f t="shared" ref="U179:BX179" si="66">-(U8+U94)</f>
        <v>0</v>
      </c>
      <c r="V179" s="316">
        <f t="shared" si="66"/>
        <v>0</v>
      </c>
      <c r="W179" s="316">
        <f t="shared" si="66"/>
        <v>0</v>
      </c>
      <c r="X179" s="316">
        <f t="shared" si="66"/>
        <v>0</v>
      </c>
      <c r="Y179" s="316">
        <f t="shared" si="66"/>
        <v>0</v>
      </c>
      <c r="Z179" s="316">
        <f t="shared" si="66"/>
        <v>0</v>
      </c>
      <c r="AA179" s="316">
        <f t="shared" si="66"/>
        <v>0</v>
      </c>
      <c r="AB179" s="316">
        <f t="shared" si="66"/>
        <v>0</v>
      </c>
      <c r="AC179" s="316">
        <f t="shared" si="66"/>
        <v>0</v>
      </c>
      <c r="AD179" s="316">
        <f t="shared" si="66"/>
        <v>0</v>
      </c>
      <c r="AE179" s="316">
        <f t="shared" si="66"/>
        <v>0</v>
      </c>
      <c r="AF179" s="316">
        <f t="shared" si="66"/>
        <v>0</v>
      </c>
      <c r="AG179" s="316">
        <f t="shared" si="66"/>
        <v>0</v>
      </c>
      <c r="AH179" s="316">
        <f t="shared" si="66"/>
        <v>0</v>
      </c>
      <c r="AI179" s="316">
        <f t="shared" si="66"/>
        <v>0</v>
      </c>
      <c r="AJ179" s="316">
        <f t="shared" si="66"/>
        <v>0</v>
      </c>
      <c r="AK179" s="316">
        <f t="shared" si="66"/>
        <v>0</v>
      </c>
      <c r="AL179" s="316">
        <f t="shared" si="66"/>
        <v>0</v>
      </c>
      <c r="AM179" s="316">
        <f t="shared" si="66"/>
        <v>0</v>
      </c>
      <c r="AN179" s="316">
        <f t="shared" si="66"/>
        <v>0</v>
      </c>
      <c r="AO179" s="316">
        <f t="shared" si="66"/>
        <v>0</v>
      </c>
      <c r="AP179" s="316">
        <f t="shared" si="66"/>
        <v>0</v>
      </c>
      <c r="AQ179" s="316">
        <f t="shared" si="66"/>
        <v>0</v>
      </c>
      <c r="AR179" s="316">
        <f t="shared" si="66"/>
        <v>0</v>
      </c>
      <c r="AS179" s="316">
        <f t="shared" si="66"/>
        <v>0</v>
      </c>
      <c r="AT179" s="316">
        <f t="shared" si="66"/>
        <v>0</v>
      </c>
      <c r="AU179" s="316">
        <f t="shared" si="66"/>
        <v>0</v>
      </c>
      <c r="AV179" s="316">
        <f t="shared" si="66"/>
        <v>0</v>
      </c>
      <c r="AW179" s="316">
        <f t="shared" si="66"/>
        <v>0</v>
      </c>
      <c r="AX179" s="316">
        <f t="shared" si="66"/>
        <v>0</v>
      </c>
      <c r="AY179" s="316">
        <f t="shared" si="66"/>
        <v>0</v>
      </c>
      <c r="AZ179" s="316">
        <f t="shared" si="66"/>
        <v>0</v>
      </c>
      <c r="BA179" s="316">
        <f t="shared" si="66"/>
        <v>0</v>
      </c>
      <c r="BB179" s="316">
        <f t="shared" si="66"/>
        <v>0</v>
      </c>
      <c r="BC179" s="316">
        <f t="shared" si="66"/>
        <v>0</v>
      </c>
      <c r="BD179" s="316">
        <f t="shared" si="66"/>
        <v>0</v>
      </c>
      <c r="BE179" s="316">
        <f t="shared" si="66"/>
        <v>0</v>
      </c>
      <c r="BF179" s="316">
        <f t="shared" si="66"/>
        <v>0</v>
      </c>
      <c r="BG179" s="316">
        <f t="shared" si="66"/>
        <v>0</v>
      </c>
      <c r="BH179" s="316">
        <f t="shared" si="66"/>
        <v>0</v>
      </c>
      <c r="BI179" s="316">
        <f t="shared" si="66"/>
        <v>0</v>
      </c>
      <c r="BJ179" s="316">
        <f t="shared" si="66"/>
        <v>0</v>
      </c>
      <c r="BK179" s="316">
        <f t="shared" si="66"/>
        <v>0</v>
      </c>
      <c r="BL179" s="316">
        <f t="shared" si="66"/>
        <v>0</v>
      </c>
      <c r="BM179" s="316">
        <f t="shared" si="66"/>
        <v>0</v>
      </c>
      <c r="BN179" s="316">
        <f t="shared" si="66"/>
        <v>0</v>
      </c>
      <c r="BO179" s="316">
        <f t="shared" si="66"/>
        <v>0</v>
      </c>
      <c r="BP179" s="316">
        <f t="shared" si="66"/>
        <v>0</v>
      </c>
      <c r="BQ179" s="316">
        <f t="shared" si="66"/>
        <v>0</v>
      </c>
      <c r="BR179" s="316">
        <f t="shared" si="66"/>
        <v>0</v>
      </c>
      <c r="BS179" s="316">
        <f t="shared" si="66"/>
        <v>0</v>
      </c>
      <c r="BT179" s="316">
        <f t="shared" si="66"/>
        <v>0</v>
      </c>
      <c r="BU179" s="316">
        <f t="shared" si="66"/>
        <v>0</v>
      </c>
      <c r="BV179" s="316">
        <f t="shared" si="66"/>
        <v>0</v>
      </c>
      <c r="BW179" s="316">
        <f t="shared" si="66"/>
        <v>0</v>
      </c>
      <c r="BX179" s="316">
        <f t="shared" si="66"/>
        <v>0</v>
      </c>
    </row>
    <row r="180" spans="3:76">
      <c r="C180" s="314" t="s">
        <v>353</v>
      </c>
      <c r="D180" s="323"/>
      <c r="E180" s="315"/>
      <c r="F180" s="315"/>
      <c r="G180" s="315"/>
      <c r="H180" s="315"/>
      <c r="I180" s="315"/>
      <c r="J180" s="315"/>
      <c r="K180" s="315"/>
      <c r="L180" s="315"/>
      <c r="M180" s="315"/>
      <c r="N180" s="315"/>
      <c r="O180" s="315"/>
      <c r="P180" s="315"/>
      <c r="Q180" s="315"/>
      <c r="R180" s="315"/>
      <c r="S180" s="315"/>
      <c r="T180" s="315"/>
      <c r="U180" s="315"/>
      <c r="V180" s="315"/>
      <c r="W180" s="315"/>
      <c r="X180" s="315"/>
      <c r="Y180" s="315"/>
      <c r="Z180" s="315"/>
      <c r="AA180" s="315"/>
      <c r="AB180" s="315"/>
      <c r="AC180" s="315"/>
      <c r="AD180" s="315"/>
      <c r="AE180" s="315"/>
      <c r="AF180" s="315"/>
      <c r="AG180" s="315"/>
      <c r="AH180" s="315"/>
      <c r="AI180" s="315"/>
      <c r="AJ180" s="315"/>
      <c r="AK180" s="315"/>
      <c r="AL180" s="315"/>
      <c r="AM180" s="315"/>
      <c r="AN180" s="315"/>
      <c r="AO180" s="315"/>
      <c r="AP180" s="315"/>
      <c r="AQ180" s="315"/>
      <c r="AR180" s="315"/>
      <c r="AS180" s="315"/>
      <c r="AT180" s="315"/>
      <c r="AU180" s="315"/>
      <c r="AV180" s="315"/>
      <c r="AW180" s="315"/>
      <c r="AX180" s="315"/>
      <c r="AY180" s="315"/>
      <c r="AZ180" s="315"/>
      <c r="BA180" s="315"/>
      <c r="BB180" s="315"/>
      <c r="BC180" s="316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</row>
    <row r="181" spans="3:76">
      <c r="C181" s="314" t="s">
        <v>343</v>
      </c>
      <c r="D181" s="323"/>
      <c r="E181" s="315">
        <f t="shared" ref="E181:G181" si="67">-E59</f>
        <v>0</v>
      </c>
      <c r="F181" s="315">
        <f t="shared" si="67"/>
        <v>0</v>
      </c>
      <c r="G181" s="315">
        <f t="shared" si="67"/>
        <v>0</v>
      </c>
      <c r="H181" s="315">
        <f t="shared" ref="H181:T181" si="68">-H74</f>
        <v>0</v>
      </c>
      <c r="I181" s="315">
        <f t="shared" si="68"/>
        <v>0</v>
      </c>
      <c r="J181" s="315">
        <f t="shared" si="68"/>
        <v>0</v>
      </c>
      <c r="K181" s="315">
        <f t="shared" si="68"/>
        <v>0</v>
      </c>
      <c r="L181" s="315">
        <f t="shared" si="68"/>
        <v>0</v>
      </c>
      <c r="M181" s="315">
        <f t="shared" si="68"/>
        <v>0</v>
      </c>
      <c r="N181" s="315">
        <f t="shared" si="68"/>
        <v>0</v>
      </c>
      <c r="O181" s="315">
        <f t="shared" si="68"/>
        <v>0</v>
      </c>
      <c r="P181" s="315">
        <f t="shared" si="68"/>
        <v>0</v>
      </c>
      <c r="Q181" s="315">
        <f t="shared" si="68"/>
        <v>0</v>
      </c>
      <c r="R181" s="315">
        <f t="shared" si="68"/>
        <v>0</v>
      </c>
      <c r="S181" s="315">
        <f t="shared" si="68"/>
        <v>0</v>
      </c>
      <c r="T181" s="315">
        <f t="shared" si="68"/>
        <v>0</v>
      </c>
      <c r="U181" s="315">
        <f t="shared" ref="U181:BX181" si="69">-U59</f>
        <v>0</v>
      </c>
      <c r="V181" s="315">
        <f t="shared" si="69"/>
        <v>0</v>
      </c>
      <c r="W181" s="315">
        <f t="shared" si="69"/>
        <v>0</v>
      </c>
      <c r="X181" s="315">
        <f t="shared" si="69"/>
        <v>0</v>
      </c>
      <c r="Y181" s="315">
        <f t="shared" si="69"/>
        <v>0</v>
      </c>
      <c r="Z181" s="315">
        <f t="shared" si="69"/>
        <v>0</v>
      </c>
      <c r="AA181" s="315">
        <f t="shared" si="69"/>
        <v>0</v>
      </c>
      <c r="AB181" s="315">
        <f t="shared" si="69"/>
        <v>0</v>
      </c>
      <c r="AC181" s="315">
        <f t="shared" si="69"/>
        <v>0</v>
      </c>
      <c r="AD181" s="315">
        <f t="shared" si="69"/>
        <v>0</v>
      </c>
      <c r="AE181" s="315">
        <f t="shared" si="69"/>
        <v>0</v>
      </c>
      <c r="AF181" s="315">
        <f t="shared" si="69"/>
        <v>0</v>
      </c>
      <c r="AG181" s="315">
        <f t="shared" si="69"/>
        <v>0</v>
      </c>
      <c r="AH181" s="315">
        <f t="shared" si="69"/>
        <v>0</v>
      </c>
      <c r="AI181" s="315">
        <f t="shared" si="69"/>
        <v>0</v>
      </c>
      <c r="AJ181" s="315">
        <f t="shared" si="69"/>
        <v>0</v>
      </c>
      <c r="AK181" s="315">
        <f t="shared" si="69"/>
        <v>0</v>
      </c>
      <c r="AL181" s="315">
        <f t="shared" si="69"/>
        <v>0</v>
      </c>
      <c r="AM181" s="315">
        <f t="shared" si="69"/>
        <v>0</v>
      </c>
      <c r="AN181" s="315">
        <f t="shared" si="69"/>
        <v>0</v>
      </c>
      <c r="AO181" s="315">
        <f t="shared" si="69"/>
        <v>0</v>
      </c>
      <c r="AP181" s="315">
        <f t="shared" si="69"/>
        <v>0</v>
      </c>
      <c r="AQ181" s="315">
        <f t="shared" si="69"/>
        <v>0</v>
      </c>
      <c r="AR181" s="315">
        <f t="shared" si="69"/>
        <v>0</v>
      </c>
      <c r="AS181" s="315">
        <f t="shared" si="69"/>
        <v>0</v>
      </c>
      <c r="AT181" s="315">
        <f t="shared" si="69"/>
        <v>0</v>
      </c>
      <c r="AU181" s="315">
        <f t="shared" si="69"/>
        <v>0</v>
      </c>
      <c r="AV181" s="315">
        <f t="shared" si="69"/>
        <v>0</v>
      </c>
      <c r="AW181" s="315">
        <f t="shared" si="69"/>
        <v>0</v>
      </c>
      <c r="AX181" s="315">
        <f t="shared" si="69"/>
        <v>0</v>
      </c>
      <c r="AY181" s="315">
        <f t="shared" si="69"/>
        <v>0</v>
      </c>
      <c r="AZ181" s="315">
        <f t="shared" si="69"/>
        <v>0</v>
      </c>
      <c r="BA181" s="315">
        <f t="shared" si="69"/>
        <v>0</v>
      </c>
      <c r="BB181" s="315">
        <f t="shared" si="69"/>
        <v>0</v>
      </c>
      <c r="BC181" s="315">
        <f t="shared" si="69"/>
        <v>0</v>
      </c>
      <c r="BD181" s="315">
        <f t="shared" si="69"/>
        <v>0</v>
      </c>
      <c r="BE181" s="315">
        <f t="shared" si="69"/>
        <v>0</v>
      </c>
      <c r="BF181" s="315">
        <f t="shared" si="69"/>
        <v>0</v>
      </c>
      <c r="BG181" s="315">
        <f t="shared" si="69"/>
        <v>0</v>
      </c>
      <c r="BH181" s="315">
        <f t="shared" si="69"/>
        <v>0</v>
      </c>
      <c r="BI181" s="315">
        <f t="shared" si="69"/>
        <v>0</v>
      </c>
      <c r="BJ181" s="315">
        <f t="shared" si="69"/>
        <v>0</v>
      </c>
      <c r="BK181" s="315">
        <f t="shared" si="69"/>
        <v>0</v>
      </c>
      <c r="BL181" s="315">
        <f t="shared" si="69"/>
        <v>0</v>
      </c>
      <c r="BM181" s="315">
        <f t="shared" si="69"/>
        <v>0</v>
      </c>
      <c r="BN181" s="315">
        <f t="shared" si="69"/>
        <v>0</v>
      </c>
      <c r="BO181" s="315">
        <f t="shared" si="69"/>
        <v>0</v>
      </c>
      <c r="BP181" s="315">
        <f t="shared" si="69"/>
        <v>0</v>
      </c>
      <c r="BQ181" s="315">
        <f t="shared" si="69"/>
        <v>0</v>
      </c>
      <c r="BR181" s="315">
        <f t="shared" si="69"/>
        <v>0</v>
      </c>
      <c r="BS181" s="315">
        <f t="shared" si="69"/>
        <v>0</v>
      </c>
      <c r="BT181" s="315">
        <f t="shared" si="69"/>
        <v>0</v>
      </c>
      <c r="BU181" s="315">
        <f t="shared" si="69"/>
        <v>0</v>
      </c>
      <c r="BV181" s="315">
        <f t="shared" si="69"/>
        <v>0</v>
      </c>
      <c r="BW181" s="315">
        <f t="shared" si="69"/>
        <v>0</v>
      </c>
      <c r="BX181" s="315">
        <f t="shared" si="69"/>
        <v>0</v>
      </c>
    </row>
    <row r="182" spans="3:76">
      <c r="C182" s="314" t="s">
        <v>344</v>
      </c>
      <c r="D182" s="323"/>
      <c r="E182" s="315"/>
      <c r="F182" s="315"/>
      <c r="G182" s="315"/>
      <c r="H182" s="315"/>
      <c r="I182" s="315"/>
      <c r="J182" s="315"/>
      <c r="K182" s="315"/>
      <c r="L182" s="315"/>
      <c r="M182" s="315"/>
      <c r="N182" s="315"/>
      <c r="O182" s="315"/>
      <c r="P182" s="315"/>
      <c r="Q182" s="315"/>
      <c r="R182" s="315"/>
      <c r="S182" s="315"/>
      <c r="T182" s="315">
        <v>2750000</v>
      </c>
      <c r="U182" s="315"/>
      <c r="V182" s="315"/>
      <c r="W182" s="315"/>
      <c r="X182" s="315"/>
      <c r="Y182" s="315"/>
      <c r="Z182" s="315"/>
      <c r="AA182" s="315"/>
      <c r="AB182" s="315"/>
      <c r="AC182" s="315"/>
      <c r="AD182" s="315"/>
      <c r="AE182" s="315"/>
      <c r="AF182" s="315"/>
      <c r="AG182" s="315"/>
      <c r="AH182" s="315"/>
      <c r="AI182" s="315"/>
      <c r="AJ182" s="315"/>
      <c r="AK182" s="315"/>
      <c r="AL182" s="315"/>
      <c r="AM182" s="315"/>
      <c r="AN182" s="315"/>
      <c r="AO182" s="315"/>
      <c r="AP182" s="315"/>
      <c r="AQ182" s="315"/>
      <c r="AR182" s="315"/>
      <c r="AS182" s="315"/>
      <c r="AT182" s="315"/>
      <c r="AU182" s="315"/>
      <c r="AV182" s="315"/>
      <c r="AW182" s="315"/>
      <c r="AX182" s="315"/>
      <c r="AY182" s="315"/>
      <c r="AZ182" s="315"/>
      <c r="BA182" s="315"/>
      <c r="BB182" s="315"/>
      <c r="BC182" s="316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>
        <f>IF(D106&gt;0.25,(BX101-BX109)*D183,BX101*D183)</f>
        <v>0</v>
      </c>
    </row>
    <row r="183" spans="3:76">
      <c r="C183" s="317" t="s">
        <v>345</v>
      </c>
      <c r="D183" s="323">
        <v>0</v>
      </c>
      <c r="E183" s="315"/>
      <c r="F183" s="315"/>
      <c r="G183" s="315"/>
      <c r="H183" s="246"/>
      <c r="I183" s="246"/>
      <c r="J183" s="246"/>
      <c r="K183" s="246"/>
      <c r="L183" s="246"/>
      <c r="M183" s="246"/>
      <c r="N183" s="246"/>
      <c r="O183" s="246"/>
      <c r="P183" s="246"/>
      <c r="Q183" s="246"/>
      <c r="R183" s="246"/>
      <c r="S183" s="246"/>
      <c r="T183" s="246"/>
      <c r="U183" s="315"/>
      <c r="V183" s="315"/>
      <c r="W183" s="315"/>
      <c r="X183" s="315"/>
      <c r="Y183" s="315"/>
      <c r="Z183" s="315"/>
      <c r="AA183" s="315"/>
      <c r="AB183" s="315"/>
      <c r="AC183" s="315"/>
      <c r="AD183" s="315"/>
      <c r="AE183" s="315"/>
      <c r="AF183" s="315"/>
      <c r="AG183" s="315"/>
      <c r="AH183" s="315"/>
      <c r="AI183" s="315"/>
      <c r="AJ183" s="315"/>
      <c r="AK183" s="315"/>
      <c r="AL183" s="315"/>
      <c r="AM183" s="315"/>
      <c r="AN183" s="315"/>
      <c r="AO183" s="315"/>
      <c r="AP183" s="315"/>
      <c r="AQ183" s="315"/>
      <c r="AR183" s="315"/>
      <c r="AS183" s="315"/>
      <c r="AT183" s="315"/>
      <c r="AU183" s="315"/>
      <c r="AV183" s="315"/>
      <c r="AW183" s="315"/>
      <c r="AX183" s="315"/>
      <c r="AY183" s="315"/>
      <c r="AZ183" s="315"/>
      <c r="BA183" s="315"/>
      <c r="BB183" s="315"/>
      <c r="BC183" s="316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</row>
    <row r="184" spans="3:76">
      <c r="C184" s="314" t="s">
        <v>346</v>
      </c>
      <c r="D184" s="315"/>
      <c r="E184" s="325">
        <f t="shared" ref="E184:BX184" si="70">E179+E180+E181+E182+E183</f>
        <v>0</v>
      </c>
      <c r="F184" s="325">
        <f t="shared" si="70"/>
        <v>0</v>
      </c>
      <c r="G184" s="325">
        <f t="shared" si="70"/>
        <v>0</v>
      </c>
      <c r="H184" s="325">
        <f t="shared" si="70"/>
        <v>-5341205.5</v>
      </c>
      <c r="I184" s="325">
        <f t="shared" si="70"/>
        <v>0</v>
      </c>
      <c r="J184" s="325">
        <f t="shared" si="70"/>
        <v>0</v>
      </c>
      <c r="K184" s="325">
        <f t="shared" si="70"/>
        <v>0</v>
      </c>
      <c r="L184" s="325">
        <f t="shared" si="70"/>
        <v>0</v>
      </c>
      <c r="M184" s="325">
        <f t="shared" si="70"/>
        <v>0</v>
      </c>
      <c r="N184" s="325">
        <f t="shared" si="70"/>
        <v>0</v>
      </c>
      <c r="O184" s="325">
        <f t="shared" si="70"/>
        <v>0</v>
      </c>
      <c r="P184" s="325">
        <f t="shared" si="70"/>
        <v>0</v>
      </c>
      <c r="Q184" s="325">
        <f t="shared" si="70"/>
        <v>0</v>
      </c>
      <c r="R184" s="325">
        <f t="shared" si="70"/>
        <v>0</v>
      </c>
      <c r="S184" s="325">
        <f t="shared" si="70"/>
        <v>0</v>
      </c>
      <c r="T184" s="325">
        <f t="shared" si="70"/>
        <v>8091205.5</v>
      </c>
      <c r="U184" s="325">
        <f t="shared" si="70"/>
        <v>0</v>
      </c>
      <c r="V184" s="325">
        <f t="shared" si="70"/>
        <v>0</v>
      </c>
      <c r="W184" s="325">
        <f t="shared" si="70"/>
        <v>0</v>
      </c>
      <c r="X184" s="325">
        <f t="shared" si="70"/>
        <v>0</v>
      </c>
      <c r="Y184" s="325">
        <f t="shared" si="70"/>
        <v>0</v>
      </c>
      <c r="Z184" s="325">
        <f t="shared" si="70"/>
        <v>0</v>
      </c>
      <c r="AA184" s="325">
        <f t="shared" si="70"/>
        <v>0</v>
      </c>
      <c r="AB184" s="325">
        <f t="shared" si="70"/>
        <v>0</v>
      </c>
      <c r="AC184" s="325">
        <f t="shared" si="70"/>
        <v>0</v>
      </c>
      <c r="AD184" s="325">
        <f t="shared" si="70"/>
        <v>0</v>
      </c>
      <c r="AE184" s="325">
        <f t="shared" si="70"/>
        <v>0</v>
      </c>
      <c r="AF184" s="325">
        <f t="shared" si="70"/>
        <v>0</v>
      </c>
      <c r="AG184" s="325">
        <f t="shared" si="70"/>
        <v>0</v>
      </c>
      <c r="AH184" s="325">
        <f t="shared" si="70"/>
        <v>0</v>
      </c>
      <c r="AI184" s="325">
        <f t="shared" si="70"/>
        <v>0</v>
      </c>
      <c r="AJ184" s="325">
        <f t="shared" si="70"/>
        <v>0</v>
      </c>
      <c r="AK184" s="325">
        <f t="shared" si="70"/>
        <v>0</v>
      </c>
      <c r="AL184" s="325">
        <f t="shared" si="70"/>
        <v>0</v>
      </c>
      <c r="AM184" s="325">
        <f t="shared" si="70"/>
        <v>0</v>
      </c>
      <c r="AN184" s="325">
        <f t="shared" si="70"/>
        <v>0</v>
      </c>
      <c r="AO184" s="325">
        <f t="shared" si="70"/>
        <v>0</v>
      </c>
      <c r="AP184" s="325">
        <f t="shared" si="70"/>
        <v>0</v>
      </c>
      <c r="AQ184" s="325">
        <f t="shared" si="70"/>
        <v>0</v>
      </c>
      <c r="AR184" s="325">
        <f t="shared" si="70"/>
        <v>0</v>
      </c>
      <c r="AS184" s="325">
        <f t="shared" si="70"/>
        <v>0</v>
      </c>
      <c r="AT184" s="325">
        <f t="shared" si="70"/>
        <v>0</v>
      </c>
      <c r="AU184" s="325">
        <f t="shared" si="70"/>
        <v>0</v>
      </c>
      <c r="AV184" s="325">
        <f t="shared" si="70"/>
        <v>0</v>
      </c>
      <c r="AW184" s="325">
        <f t="shared" si="70"/>
        <v>0</v>
      </c>
      <c r="AX184" s="325">
        <f t="shared" si="70"/>
        <v>0</v>
      </c>
      <c r="AY184" s="325">
        <f t="shared" si="70"/>
        <v>0</v>
      </c>
      <c r="AZ184" s="325">
        <f t="shared" si="70"/>
        <v>0</v>
      </c>
      <c r="BA184" s="325">
        <f t="shared" si="70"/>
        <v>0</v>
      </c>
      <c r="BB184" s="325">
        <f t="shared" si="70"/>
        <v>0</v>
      </c>
      <c r="BC184" s="325">
        <f t="shared" si="70"/>
        <v>0</v>
      </c>
      <c r="BD184" s="325">
        <f t="shared" si="70"/>
        <v>0</v>
      </c>
      <c r="BE184" s="325">
        <f t="shared" si="70"/>
        <v>0</v>
      </c>
      <c r="BF184" s="325">
        <f t="shared" si="70"/>
        <v>0</v>
      </c>
      <c r="BG184" s="325">
        <f t="shared" si="70"/>
        <v>0</v>
      </c>
      <c r="BH184" s="325">
        <f t="shared" si="70"/>
        <v>0</v>
      </c>
      <c r="BI184" s="325">
        <f t="shared" si="70"/>
        <v>0</v>
      </c>
      <c r="BJ184" s="325">
        <f t="shared" si="70"/>
        <v>0</v>
      </c>
      <c r="BK184" s="325">
        <f t="shared" si="70"/>
        <v>0</v>
      </c>
      <c r="BL184" s="325">
        <f t="shared" si="70"/>
        <v>0</v>
      </c>
      <c r="BM184" s="325">
        <f t="shared" si="70"/>
        <v>0</v>
      </c>
      <c r="BN184" s="325">
        <f t="shared" si="70"/>
        <v>0</v>
      </c>
      <c r="BO184" s="325">
        <f t="shared" si="70"/>
        <v>0</v>
      </c>
      <c r="BP184" s="325">
        <f t="shared" si="70"/>
        <v>0</v>
      </c>
      <c r="BQ184" s="325">
        <f t="shared" si="70"/>
        <v>0</v>
      </c>
      <c r="BR184" s="325">
        <f t="shared" si="70"/>
        <v>0</v>
      </c>
      <c r="BS184" s="325">
        <f t="shared" si="70"/>
        <v>0</v>
      </c>
      <c r="BT184" s="325">
        <f t="shared" si="70"/>
        <v>0</v>
      </c>
      <c r="BU184" s="325">
        <f t="shared" si="70"/>
        <v>0</v>
      </c>
      <c r="BV184" s="325">
        <f t="shared" si="70"/>
        <v>0</v>
      </c>
      <c r="BW184" s="325">
        <f t="shared" si="70"/>
        <v>0</v>
      </c>
      <c r="BX184" s="325">
        <f t="shared" si="70"/>
        <v>0</v>
      </c>
    </row>
    <row r="185" spans="3:76">
      <c r="C185" s="318"/>
      <c r="D185" s="326" t="s">
        <v>354</v>
      </c>
      <c r="E185" s="330">
        <f>E184</f>
        <v>0</v>
      </c>
      <c r="F185" s="330">
        <f t="shared" ref="F185:BX185" si="71">E185+F184</f>
        <v>0</v>
      </c>
      <c r="G185" s="330">
        <f t="shared" si="71"/>
        <v>0</v>
      </c>
      <c r="H185" s="330">
        <f t="shared" si="71"/>
        <v>-5341205.5</v>
      </c>
      <c r="I185" s="330">
        <f t="shared" si="71"/>
        <v>-5341205.5</v>
      </c>
      <c r="J185" s="330">
        <f t="shared" si="71"/>
        <v>-5341205.5</v>
      </c>
      <c r="K185" s="330">
        <f t="shared" si="71"/>
        <v>-5341205.5</v>
      </c>
      <c r="L185" s="330">
        <f t="shared" si="71"/>
        <v>-5341205.5</v>
      </c>
      <c r="M185" s="330">
        <f t="shared" si="71"/>
        <v>-5341205.5</v>
      </c>
      <c r="N185" s="330">
        <f t="shared" si="71"/>
        <v>-5341205.5</v>
      </c>
      <c r="O185" s="330">
        <f t="shared" si="71"/>
        <v>-5341205.5</v>
      </c>
      <c r="P185" s="330">
        <f t="shared" si="71"/>
        <v>-5341205.5</v>
      </c>
      <c r="Q185" s="330">
        <f t="shared" si="71"/>
        <v>-5341205.5</v>
      </c>
      <c r="R185" s="330">
        <f t="shared" si="71"/>
        <v>-5341205.5</v>
      </c>
      <c r="S185" s="330">
        <f t="shared" si="71"/>
        <v>-5341205.5</v>
      </c>
      <c r="T185" s="330">
        <f t="shared" si="71"/>
        <v>2750000</v>
      </c>
      <c r="U185" s="330">
        <f t="shared" si="71"/>
        <v>2750000</v>
      </c>
      <c r="V185" s="331">
        <f t="shared" si="71"/>
        <v>2750000</v>
      </c>
      <c r="W185" s="331">
        <f t="shared" si="71"/>
        <v>2750000</v>
      </c>
      <c r="X185" s="331">
        <f t="shared" si="71"/>
        <v>2750000</v>
      </c>
      <c r="Y185" s="331">
        <f t="shared" si="71"/>
        <v>2750000</v>
      </c>
      <c r="Z185" s="331">
        <f t="shared" si="71"/>
        <v>2750000</v>
      </c>
      <c r="AA185" s="331">
        <f t="shared" si="71"/>
        <v>2750000</v>
      </c>
      <c r="AB185" s="331">
        <f t="shared" si="71"/>
        <v>2750000</v>
      </c>
      <c r="AC185" s="331">
        <f t="shared" si="71"/>
        <v>2750000</v>
      </c>
      <c r="AD185" s="331">
        <f t="shared" si="71"/>
        <v>2750000</v>
      </c>
      <c r="AE185" s="331">
        <f t="shared" si="71"/>
        <v>2750000</v>
      </c>
      <c r="AF185" s="331">
        <f t="shared" si="71"/>
        <v>2750000</v>
      </c>
      <c r="AG185" s="331">
        <f t="shared" si="71"/>
        <v>2750000</v>
      </c>
      <c r="AH185" s="331">
        <f t="shared" si="71"/>
        <v>2750000</v>
      </c>
      <c r="AI185" s="331">
        <f t="shared" si="71"/>
        <v>2750000</v>
      </c>
      <c r="AJ185" s="331">
        <f t="shared" si="71"/>
        <v>2750000</v>
      </c>
      <c r="AK185" s="331">
        <f t="shared" si="71"/>
        <v>2750000</v>
      </c>
      <c r="AL185" s="331">
        <f t="shared" si="71"/>
        <v>2750000</v>
      </c>
      <c r="AM185" s="331">
        <f t="shared" si="71"/>
        <v>2750000</v>
      </c>
      <c r="AN185" s="331">
        <f t="shared" si="71"/>
        <v>2750000</v>
      </c>
      <c r="AO185" s="331">
        <f t="shared" si="71"/>
        <v>2750000</v>
      </c>
      <c r="AP185" s="331">
        <f t="shared" si="71"/>
        <v>2750000</v>
      </c>
      <c r="AQ185" s="331">
        <f t="shared" si="71"/>
        <v>2750000</v>
      </c>
      <c r="AR185" s="331">
        <f t="shared" si="71"/>
        <v>2750000</v>
      </c>
      <c r="AS185" s="331">
        <f t="shared" si="71"/>
        <v>2750000</v>
      </c>
      <c r="AT185" s="331">
        <f t="shared" si="71"/>
        <v>2750000</v>
      </c>
      <c r="AU185" s="331">
        <f t="shared" si="71"/>
        <v>2750000</v>
      </c>
      <c r="AV185" s="331">
        <f t="shared" si="71"/>
        <v>2750000</v>
      </c>
      <c r="AW185" s="331">
        <f t="shared" si="71"/>
        <v>2750000</v>
      </c>
      <c r="AX185" s="331">
        <f t="shared" si="71"/>
        <v>2750000</v>
      </c>
      <c r="AY185" s="331">
        <f t="shared" si="71"/>
        <v>2750000</v>
      </c>
      <c r="AZ185" s="331">
        <f t="shared" si="71"/>
        <v>2750000</v>
      </c>
      <c r="BA185" s="331">
        <f t="shared" si="71"/>
        <v>2750000</v>
      </c>
      <c r="BB185" s="331">
        <f t="shared" si="71"/>
        <v>2750000</v>
      </c>
      <c r="BC185" s="330">
        <f t="shared" si="71"/>
        <v>2750000</v>
      </c>
      <c r="BD185" s="330">
        <f t="shared" si="71"/>
        <v>2750000</v>
      </c>
      <c r="BE185" s="330">
        <f t="shared" si="71"/>
        <v>2750000</v>
      </c>
      <c r="BF185" s="330">
        <f t="shared" si="71"/>
        <v>2750000</v>
      </c>
      <c r="BG185" s="330">
        <f t="shared" si="71"/>
        <v>2750000</v>
      </c>
      <c r="BH185" s="330">
        <f t="shared" si="71"/>
        <v>2750000</v>
      </c>
      <c r="BI185" s="330">
        <f t="shared" si="71"/>
        <v>2750000</v>
      </c>
      <c r="BJ185" s="330">
        <f t="shared" si="71"/>
        <v>2750000</v>
      </c>
      <c r="BK185" s="330">
        <f t="shared" si="71"/>
        <v>2750000</v>
      </c>
      <c r="BL185" s="330">
        <f t="shared" si="71"/>
        <v>2750000</v>
      </c>
      <c r="BM185" s="330">
        <f t="shared" si="71"/>
        <v>2750000</v>
      </c>
      <c r="BN185" s="330">
        <f t="shared" si="71"/>
        <v>2750000</v>
      </c>
      <c r="BO185" s="330">
        <f t="shared" si="71"/>
        <v>2750000</v>
      </c>
      <c r="BP185" s="330">
        <f t="shared" si="71"/>
        <v>2750000</v>
      </c>
      <c r="BQ185" s="330">
        <f t="shared" si="71"/>
        <v>2750000</v>
      </c>
      <c r="BR185" s="330">
        <f t="shared" si="71"/>
        <v>2750000</v>
      </c>
      <c r="BS185" s="330">
        <f t="shared" si="71"/>
        <v>2750000</v>
      </c>
      <c r="BT185" s="330">
        <f t="shared" si="71"/>
        <v>2750000</v>
      </c>
      <c r="BU185" s="330">
        <f t="shared" si="71"/>
        <v>2750000</v>
      </c>
      <c r="BV185" s="330">
        <f t="shared" si="71"/>
        <v>2750000</v>
      </c>
      <c r="BW185" s="330">
        <f t="shared" si="71"/>
        <v>2750000</v>
      </c>
      <c r="BX185" s="330">
        <f t="shared" si="71"/>
        <v>2750000</v>
      </c>
    </row>
    <row r="186" spans="3:76">
      <c r="C186" s="317" t="s">
        <v>339</v>
      </c>
      <c r="D186" s="326">
        <f>IRR(E184:BX184)*12</f>
        <v>0.42259732866030397</v>
      </c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  <c r="AE186" s="226"/>
      <c r="AF186" s="226"/>
      <c r="AG186" s="226"/>
      <c r="AH186" s="226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AY186" s="226"/>
      <c r="AZ186" s="226"/>
      <c r="BA186" s="226"/>
      <c r="BB186" s="226"/>
      <c r="BC186" s="226"/>
      <c r="BD186" s="226"/>
      <c r="BE186" s="226"/>
      <c r="BF186" s="226"/>
      <c r="BG186" s="226"/>
      <c r="BH186" s="226"/>
      <c r="BI186" s="226"/>
      <c r="BJ186" s="226"/>
      <c r="BK186" s="226"/>
      <c r="BL186" s="226"/>
      <c r="BM186" s="226"/>
      <c r="BN186" s="226"/>
      <c r="BO186" s="226"/>
      <c r="BP186" s="226"/>
      <c r="BQ186" s="226"/>
      <c r="BR186" s="226"/>
      <c r="BS186" s="226"/>
      <c r="BT186" s="226"/>
      <c r="BU186" s="226"/>
      <c r="BV186" s="226"/>
      <c r="BW186" s="226"/>
      <c r="BX186" s="226"/>
    </row>
    <row r="187" spans="3:76">
      <c r="C187" s="327" t="s">
        <v>347</v>
      </c>
      <c r="D187" s="328">
        <f>-MIN(M185:BL185)-D188</f>
        <v>5341205.5</v>
      </c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  <c r="AD187" s="226"/>
      <c r="AE187" s="226"/>
      <c r="AF187" s="226"/>
      <c r="AG187" s="226"/>
      <c r="AH187" s="226"/>
      <c r="AI187" s="226"/>
      <c r="AJ187" s="226"/>
      <c r="AK187" s="226"/>
      <c r="AL187" s="226"/>
      <c r="AM187" s="226"/>
      <c r="AN187" s="226"/>
      <c r="AO187" s="226"/>
      <c r="AP187" s="226"/>
      <c r="AQ187" s="226"/>
      <c r="AR187" s="226"/>
      <c r="AS187" s="226"/>
      <c r="AT187" s="226"/>
      <c r="AU187" s="226"/>
      <c r="AV187" s="226"/>
      <c r="AW187" s="226"/>
      <c r="AX187" s="226"/>
      <c r="AY187" s="226"/>
      <c r="AZ187" s="226"/>
      <c r="BA187" s="226"/>
      <c r="BB187" s="226"/>
      <c r="BC187" s="226"/>
      <c r="BD187" s="226"/>
      <c r="BE187" s="226"/>
      <c r="BF187" s="226"/>
      <c r="BG187" s="226"/>
      <c r="BH187" s="226"/>
      <c r="BI187" s="226"/>
      <c r="BJ187" s="226"/>
      <c r="BK187" s="226"/>
      <c r="BL187" s="226"/>
      <c r="BM187" s="226"/>
      <c r="BN187" s="226"/>
      <c r="BO187" s="226"/>
      <c r="BP187" s="226"/>
      <c r="BQ187" s="226"/>
      <c r="BR187" s="226"/>
      <c r="BS187" s="226"/>
      <c r="BT187" s="226"/>
      <c r="BU187" s="226"/>
      <c r="BV187" s="226"/>
      <c r="BW187" s="226"/>
      <c r="BX187" s="226"/>
    </row>
    <row r="188" spans="3:76">
      <c r="C188" s="327" t="s">
        <v>348</v>
      </c>
      <c r="D188" s="328">
        <f>-SUM(M183:BB183)</f>
        <v>0</v>
      </c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  <c r="AD188" s="226"/>
      <c r="AE188" s="226"/>
      <c r="AF188" s="226"/>
      <c r="AG188" s="226"/>
      <c r="AH188" s="226"/>
      <c r="AI188" s="226"/>
      <c r="AJ188" s="226"/>
      <c r="AK188" s="226"/>
      <c r="AL188" s="226"/>
      <c r="AM188" s="226"/>
      <c r="AN188" s="226"/>
      <c r="AO188" s="226"/>
      <c r="AP188" s="226"/>
      <c r="AQ188" s="226"/>
      <c r="AR188" s="226"/>
      <c r="AS188" s="226"/>
      <c r="AT188" s="226"/>
      <c r="AU188" s="226"/>
      <c r="AV188" s="226"/>
      <c r="AW188" s="226"/>
      <c r="AX188" s="226"/>
      <c r="AY188" s="226"/>
      <c r="AZ188" s="226"/>
      <c r="BA188" s="226"/>
      <c r="BB188" s="226"/>
      <c r="BC188" s="226"/>
      <c r="BD188" s="226"/>
      <c r="BE188" s="226"/>
      <c r="BF188" s="226"/>
      <c r="BG188" s="226"/>
      <c r="BH188" s="226"/>
      <c r="BI188" s="226"/>
      <c r="BJ188" s="226"/>
      <c r="BK188" s="226"/>
      <c r="BL188" s="226"/>
      <c r="BM188" s="226"/>
      <c r="BN188" s="226"/>
      <c r="BO188" s="226"/>
      <c r="BP188" s="226"/>
      <c r="BQ188" s="226"/>
      <c r="BR188" s="226"/>
      <c r="BS188" s="226"/>
      <c r="BT188" s="226"/>
      <c r="BU188" s="226"/>
      <c r="BV188" s="226"/>
      <c r="BW188" s="226"/>
      <c r="BX188" s="226"/>
    </row>
    <row r="189" spans="3:76">
      <c r="C189" s="317" t="s">
        <v>349</v>
      </c>
      <c r="D189" s="329">
        <f>D188+D187</f>
        <v>5341205.5</v>
      </c>
      <c r="E189" s="226"/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6"/>
      <c r="AA189" s="226"/>
      <c r="AB189" s="226"/>
      <c r="AC189" s="226"/>
      <c r="AD189" s="226"/>
      <c r="AE189" s="226"/>
      <c r="AF189" s="226"/>
      <c r="AG189" s="226"/>
      <c r="AH189" s="226"/>
      <c r="AI189" s="226"/>
      <c r="AJ189" s="226"/>
      <c r="AK189" s="226"/>
      <c r="AL189" s="226"/>
      <c r="AM189" s="226"/>
      <c r="AN189" s="226"/>
      <c r="AO189" s="226"/>
      <c r="AP189" s="226"/>
      <c r="AQ189" s="226"/>
      <c r="AR189" s="226"/>
      <c r="AS189" s="226"/>
      <c r="AT189" s="226"/>
      <c r="AU189" s="226"/>
      <c r="AV189" s="226"/>
      <c r="AW189" s="226"/>
      <c r="AX189" s="226"/>
      <c r="AY189" s="226"/>
      <c r="AZ189" s="226"/>
      <c r="BA189" s="226"/>
      <c r="BB189" s="226"/>
      <c r="BC189" s="226"/>
      <c r="BD189" s="226"/>
      <c r="BE189" s="226"/>
      <c r="BF189" s="226"/>
      <c r="BG189" s="226"/>
      <c r="BH189" s="226"/>
      <c r="BI189" s="226"/>
      <c r="BJ189" s="226"/>
      <c r="BK189" s="226"/>
      <c r="BL189" s="226"/>
      <c r="BM189" s="226"/>
      <c r="BN189" s="226"/>
      <c r="BO189" s="226"/>
      <c r="BP189" s="226"/>
      <c r="BQ189" s="226"/>
      <c r="BR189" s="226"/>
      <c r="BS189" s="226"/>
      <c r="BT189" s="226"/>
      <c r="BU189" s="226"/>
      <c r="BV189" s="226"/>
      <c r="BW189" s="226"/>
      <c r="BX189" s="226"/>
    </row>
    <row r="190" spans="3:76">
      <c r="C190" s="317" t="s">
        <v>350</v>
      </c>
      <c r="D190" s="329">
        <f>BX181+BX182</f>
        <v>0</v>
      </c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  <c r="AE190" s="226"/>
      <c r="AF190" s="226"/>
      <c r="AG190" s="226"/>
      <c r="AH190" s="226"/>
      <c r="AI190" s="226"/>
      <c r="AJ190" s="226"/>
      <c r="AK190" s="226"/>
      <c r="AL190" s="226"/>
      <c r="AM190" s="226"/>
      <c r="AN190" s="226"/>
      <c r="AO190" s="226"/>
      <c r="AP190" s="226"/>
      <c r="AQ190" s="226"/>
      <c r="AR190" s="226"/>
      <c r="AS190" s="226"/>
      <c r="AT190" s="226"/>
      <c r="AU190" s="226"/>
      <c r="AV190" s="226"/>
      <c r="AW190" s="226"/>
      <c r="AX190" s="226"/>
      <c r="AY190" s="226"/>
      <c r="AZ190" s="226"/>
      <c r="BA190" s="226"/>
      <c r="BB190" s="226"/>
      <c r="BC190" s="226"/>
      <c r="BD190" s="226"/>
      <c r="BE190" s="226"/>
      <c r="BF190" s="226"/>
      <c r="BG190" s="226"/>
      <c r="BH190" s="226"/>
      <c r="BI190" s="226"/>
      <c r="BJ190" s="226"/>
      <c r="BK190" s="226"/>
      <c r="BL190" s="226"/>
      <c r="BM190" s="226"/>
      <c r="BN190" s="226"/>
      <c r="BO190" s="226"/>
      <c r="BP190" s="226"/>
      <c r="BQ190" s="226"/>
      <c r="BR190" s="226"/>
      <c r="BS190" s="226"/>
      <c r="BT190" s="226"/>
      <c r="BU190" s="226"/>
      <c r="BV190" s="226"/>
      <c r="BW190" s="226"/>
      <c r="BX190" s="226"/>
    </row>
    <row r="191" spans="3:76">
      <c r="C191" s="317" t="s">
        <v>351</v>
      </c>
      <c r="D191" s="326">
        <f>T182/T179</f>
        <v>0.51486504310684167</v>
      </c>
      <c r="E191" s="226"/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6"/>
      <c r="AA191" s="226"/>
      <c r="AB191" s="226"/>
      <c r="AC191" s="226"/>
      <c r="AD191" s="226"/>
      <c r="AE191" s="226"/>
      <c r="AF191" s="226"/>
      <c r="AG191" s="226"/>
      <c r="AH191" s="226"/>
      <c r="AI191" s="226"/>
      <c r="AJ191" s="226"/>
      <c r="AK191" s="226"/>
      <c r="AL191" s="226"/>
      <c r="AM191" s="226"/>
      <c r="AN191" s="226"/>
      <c r="AO191" s="226"/>
      <c r="AP191" s="226"/>
      <c r="AQ191" s="226"/>
      <c r="AR191" s="226"/>
      <c r="AS191" s="226"/>
      <c r="AT191" s="226"/>
      <c r="AU191" s="226"/>
      <c r="AV191" s="226"/>
      <c r="AW191" s="226"/>
      <c r="AX191" s="226"/>
      <c r="AY191" s="226"/>
      <c r="AZ191" s="226"/>
      <c r="BA191" s="226"/>
      <c r="BB191" s="226"/>
      <c r="BC191" s="226"/>
      <c r="BD191" s="226"/>
      <c r="BE191" s="226"/>
      <c r="BF191" s="226"/>
      <c r="BG191" s="226"/>
      <c r="BH191" s="226"/>
      <c r="BI191" s="226"/>
      <c r="BJ191" s="226"/>
      <c r="BK191" s="226"/>
      <c r="BL191" s="226"/>
      <c r="BM191" s="226"/>
      <c r="BN191" s="226"/>
      <c r="BO191" s="226"/>
      <c r="BP191" s="226"/>
      <c r="BQ191" s="226"/>
      <c r="BR191" s="226"/>
      <c r="BS191" s="226"/>
      <c r="BT191" s="226"/>
      <c r="BU191" s="226"/>
      <c r="BV191" s="226"/>
      <c r="BW191" s="226"/>
      <c r="BX191" s="226"/>
    </row>
    <row r="198" spans="19:23">
      <c r="S198" s="332">
        <v>700000</v>
      </c>
      <c r="T198" s="333">
        <v>1000000</v>
      </c>
      <c r="U198" s="332">
        <v>5300000</v>
      </c>
      <c r="V198" s="332">
        <v>4750000</v>
      </c>
      <c r="W198" s="332">
        <v>1250000</v>
      </c>
    </row>
    <row r="200" spans="19:23" ht="14">
      <c r="S200" s="25">
        <f t="shared" ref="S200:W200" si="72">S198*0.8</f>
        <v>560000</v>
      </c>
      <c r="T200" s="25">
        <f t="shared" si="72"/>
        <v>800000</v>
      </c>
      <c r="U200" s="25">
        <f t="shared" si="72"/>
        <v>4240000</v>
      </c>
      <c r="V200" s="25">
        <f t="shared" si="72"/>
        <v>3800000</v>
      </c>
      <c r="W200" s="25">
        <f t="shared" si="72"/>
        <v>1000000</v>
      </c>
    </row>
  </sheetData>
  <mergeCells count="34">
    <mergeCell ref="S124:T124"/>
    <mergeCell ref="B2:C4"/>
    <mergeCell ref="B5:B8"/>
    <mergeCell ref="B9:B11"/>
    <mergeCell ref="B12:B15"/>
    <mergeCell ref="B16:C16"/>
    <mergeCell ref="B17:B97"/>
    <mergeCell ref="B98:C98"/>
    <mergeCell ref="B100:C100"/>
    <mergeCell ref="B101:C101"/>
    <mergeCell ref="D106:E106"/>
    <mergeCell ref="D109:BW109"/>
    <mergeCell ref="S123:T123"/>
    <mergeCell ref="BM2:BX2"/>
    <mergeCell ref="E2:P2"/>
    <mergeCell ref="Q2:AB2"/>
    <mergeCell ref="BY90:BZ90"/>
    <mergeCell ref="BZ91:BZ97"/>
    <mergeCell ref="BY98:BZ98"/>
    <mergeCell ref="BY100:BZ100"/>
    <mergeCell ref="BZ5:BZ8"/>
    <mergeCell ref="BZ9:BZ11"/>
    <mergeCell ref="BY16:BZ16"/>
    <mergeCell ref="BZ17:BZ89"/>
    <mergeCell ref="CC17:CC89"/>
    <mergeCell ref="CC5:CC8"/>
    <mergeCell ref="CC9:CC11"/>
    <mergeCell ref="CC12:CC15"/>
    <mergeCell ref="CB16:CC16"/>
    <mergeCell ref="AC2:AN2"/>
    <mergeCell ref="AO2:AZ2"/>
    <mergeCell ref="BA2:BL2"/>
    <mergeCell ref="BY2:BZ4"/>
    <mergeCell ref="BZ12:BZ15"/>
  </mergeCells>
  <conditionalFormatting sqref="E17:BX17 E23:BX23 E26:BX26 E34:BX34 E37:BX37 E49:BX49 E55:BX55 E63:BX63 E87:BX87 E90:BX90">
    <cfRule type="cellIs" dxfId="15" priority="1" operator="equal">
      <formula>0</formula>
    </cfRule>
  </conditionalFormatting>
  <conditionalFormatting sqref="F114:BS117 E115 BT115:BX115 E117 BT117:BX117 E131 F131:BX134 E133 E149:BX149 E163 M163:BX163 F163:L166 E165 M165:BX165 M179:T179 H179:L182 E181:G181 M181:BX181">
    <cfRule type="cellIs" dxfId="14" priority="2" operator="equal">
      <formula>0</formula>
    </cfRule>
  </conditionalFormatting>
  <dataValidations count="1">
    <dataValidation type="list" allowBlank="1" showErrorMessage="1" sqref="CB4" xr:uid="{00000000-0002-0000-0F00-000000000000}">
      <formula1>$D$3:$BX$3</formula1>
    </dataValidation>
  </dataValidations>
  <pageMargins left="0" right="0" top="0" bottom="0" header="0" footer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CI200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ColWidth="12.6640625" defaultRowHeight="15" customHeight="1" outlineLevelRow="2" outlineLevelCol="2"/>
  <cols>
    <col min="1" max="1" width="2.33203125" customWidth="1"/>
    <col min="3" max="3" width="40.1640625" customWidth="1"/>
    <col min="4" max="4" width="12.6640625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1" width="9.1640625" customWidth="1" outlineLevel="2"/>
    <col min="22" max="28" width="12.6640625" customWidth="1" outlineLevel="2"/>
    <col min="29" max="29" width="9.83203125" customWidth="1" outlineLevel="1" collapsed="1"/>
    <col min="30" max="40" width="6.5" hidden="1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1:86">
      <c r="A1" s="226"/>
      <c r="B1" s="455" t="s">
        <v>246</v>
      </c>
      <c r="C1" s="456">
        <v>45625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6"/>
      <c r="CB1" s="226"/>
      <c r="CC1" s="226"/>
      <c r="CD1" s="226"/>
      <c r="CE1" s="226"/>
      <c r="CF1" s="226"/>
      <c r="CG1" s="226"/>
      <c r="CH1" s="226"/>
    </row>
    <row r="2" spans="1:86">
      <c r="A2" s="603"/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  <c r="CA2" s="226"/>
      <c r="CB2" s="226"/>
      <c r="CC2" s="226"/>
      <c r="CD2" s="226"/>
      <c r="CE2" s="226"/>
      <c r="CF2" s="226"/>
      <c r="CG2" s="226"/>
      <c r="CH2" s="226"/>
    </row>
    <row r="3" spans="1:86">
      <c r="A3" s="603"/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  <c r="CA3" s="226"/>
      <c r="CB3" s="226" t="s">
        <v>249</v>
      </c>
      <c r="CC3" s="226" t="s">
        <v>250</v>
      </c>
      <c r="CD3" s="226"/>
      <c r="CE3" s="226"/>
      <c r="CF3" s="226"/>
      <c r="CG3" s="226"/>
      <c r="CH3" s="226"/>
    </row>
    <row r="4" spans="1:86">
      <c r="A4" s="603"/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457">
        <v>45597</v>
      </c>
      <c r="P4" s="231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  <c r="CA4" s="226"/>
      <c r="CB4" s="226" t="s">
        <v>116</v>
      </c>
      <c r="CC4" s="226"/>
      <c r="CD4" s="226"/>
      <c r="CE4" s="226"/>
      <c r="CF4" s="226"/>
      <c r="CG4" s="226"/>
      <c r="CH4" s="226"/>
    </row>
    <row r="5" spans="1:86">
      <c r="A5" s="603"/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5" si="0">SUM(E5:BX5)</f>
        <v>16365002</v>
      </c>
      <c r="BZ5" s="775">
        <f>SUM(BY5:BY8)</f>
        <v>42870002</v>
      </c>
      <c r="CA5" s="226"/>
      <c r="CB5" s="237">
        <f t="shared" ref="CB5:CB15" si="1">SUM(H5:CA5)</f>
        <v>75600006</v>
      </c>
      <c r="CC5" s="775">
        <f>SUM(CB5:CB8)</f>
        <v>189930673</v>
      </c>
      <c r="CD5" s="226"/>
      <c r="CE5" s="226"/>
      <c r="CF5" s="226"/>
      <c r="CG5" s="226"/>
      <c r="CH5" s="226"/>
    </row>
    <row r="6" spans="1:86">
      <c r="A6" s="603"/>
      <c r="B6" s="787"/>
      <c r="C6" s="232" t="s">
        <v>254</v>
      </c>
      <c r="D6" s="233" t="s">
        <v>253</v>
      </c>
      <c r="E6" s="235"/>
      <c r="F6" s="235"/>
      <c r="G6" s="235"/>
      <c r="H6" s="235"/>
      <c r="I6" s="235"/>
      <c r="J6" s="235"/>
      <c r="K6" s="235">
        <v>885000</v>
      </c>
      <c r="L6" s="235">
        <f>1640000+300000</f>
        <v>1940000</v>
      </c>
      <c r="M6" s="235">
        <f>4260000</f>
        <v>4260000</v>
      </c>
      <c r="N6" s="235"/>
      <c r="O6" s="235">
        <f>50000+270000</f>
        <v>320000</v>
      </c>
      <c r="P6" s="235">
        <v>2000000</v>
      </c>
      <c r="Q6" s="235">
        <v>4550000</v>
      </c>
      <c r="R6" s="235">
        <v>1000000</v>
      </c>
      <c r="S6" s="235">
        <v>5550000</v>
      </c>
      <c r="T6" s="235">
        <v>4900000</v>
      </c>
      <c r="U6" s="235">
        <v>1100000</v>
      </c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26505000</v>
      </c>
      <c r="BZ6" s="771"/>
      <c r="CA6" s="226">
        <f>9870667</f>
        <v>9870667</v>
      </c>
      <c r="CB6" s="237">
        <f t="shared" si="1"/>
        <v>62880667</v>
      </c>
      <c r="CC6" s="771"/>
      <c r="CD6" s="226"/>
      <c r="CE6" s="226"/>
      <c r="CF6" s="234">
        <f>SUM(Rentroll!$P$2:$P$4)</f>
        <v>613346.05139999976</v>
      </c>
      <c r="CG6" s="226"/>
      <c r="CH6" s="226"/>
    </row>
    <row r="7" spans="1:86">
      <c r="A7" s="603"/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0</v>
      </c>
      <c r="BZ7" s="771"/>
      <c r="CA7" s="226">
        <f>2100000*24.5</f>
        <v>51450000</v>
      </c>
      <c r="CB7" s="237">
        <f t="shared" si="1"/>
        <v>51450000</v>
      </c>
      <c r="CC7" s="771"/>
      <c r="CD7" s="226"/>
      <c r="CE7" s="226"/>
      <c r="CF7" s="226"/>
      <c r="CG7" s="226"/>
      <c r="CH7" s="226"/>
    </row>
    <row r="8" spans="1:86">
      <c r="A8" s="603"/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  <c r="CA8" s="226"/>
      <c r="CB8" s="241">
        <f t="shared" si="1"/>
        <v>0</v>
      </c>
      <c r="CC8" s="774"/>
      <c r="CD8" s="226"/>
      <c r="CE8" s="226"/>
      <c r="CF8" s="226"/>
      <c r="CG8" s="226"/>
      <c r="CH8" s="226"/>
    </row>
    <row r="9" spans="1:86">
      <c r="A9" s="603"/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>
        <f t="shared" ref="U9:Z9" si="2">-U61</f>
        <v>0</v>
      </c>
      <c r="V9" s="234">
        <f t="shared" si="2"/>
        <v>24888</v>
      </c>
      <c r="W9" s="234">
        <f t="shared" si="2"/>
        <v>49776</v>
      </c>
      <c r="X9" s="234">
        <f t="shared" si="2"/>
        <v>74664</v>
      </c>
      <c r="Y9" s="234">
        <f t="shared" si="2"/>
        <v>99552</v>
      </c>
      <c r="Z9" s="234">
        <f t="shared" si="2"/>
        <v>124440</v>
      </c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373320</v>
      </c>
      <c r="BZ9" s="775">
        <f>SUM(BY9:BY11)</f>
        <v>76273320.000000015</v>
      </c>
      <c r="CA9" s="226"/>
      <c r="CB9" s="237">
        <f t="shared" si="1"/>
        <v>77019960.000000015</v>
      </c>
      <c r="CC9" s="775">
        <f>SUM(CB9:CB11)</f>
        <v>228819960.00000006</v>
      </c>
      <c r="CD9" s="226"/>
      <c r="CE9" s="226"/>
      <c r="CF9" s="226"/>
      <c r="CG9" s="226"/>
      <c r="CH9" s="226"/>
    </row>
    <row r="10" spans="1:86">
      <c r="A10" s="603"/>
      <c r="B10" s="787"/>
      <c r="C10" s="236" t="s">
        <v>259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>
        <f t="shared" ref="V10:Z10" si="3">24400000/5</f>
        <v>4880000</v>
      </c>
      <c r="W10" s="235">
        <f t="shared" si="3"/>
        <v>4880000</v>
      </c>
      <c r="X10" s="235">
        <f t="shared" si="3"/>
        <v>4880000</v>
      </c>
      <c r="Y10" s="235">
        <f t="shared" si="3"/>
        <v>4880000</v>
      </c>
      <c r="Z10" s="235">
        <f t="shared" si="3"/>
        <v>4880000</v>
      </c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24400000</v>
      </c>
      <c r="BZ10" s="771"/>
      <c r="CA10" s="226"/>
      <c r="CB10" s="237">
        <f t="shared" si="1"/>
        <v>48800000</v>
      </c>
      <c r="CC10" s="771"/>
      <c r="CD10" s="226"/>
      <c r="CE10" s="226">
        <f>BY5+BY11</f>
        <v>67865002.000000015</v>
      </c>
      <c r="CF10" s="226"/>
      <c r="CG10" s="226"/>
      <c r="CH10" s="226"/>
    </row>
    <row r="11" spans="1:86">
      <c r="A11" s="603"/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/>
      <c r="L11" s="240"/>
      <c r="M11" s="240">
        <f>6449487.53+48944.52</f>
        <v>6498432.0499999998</v>
      </c>
      <c r="N11" s="240">
        <f>19937831.95</f>
        <v>19937831.949999999</v>
      </c>
      <c r="O11" s="240">
        <f>133478.48+9278006.75</f>
        <v>9411485.2300000004</v>
      </c>
      <c r="P11" s="240">
        <f>1400000+280000+3170000+50000+4644652+P27</f>
        <v>430036.48699999973</v>
      </c>
      <c r="Q11" s="240">
        <f>51500000-M11-N11-O11-P11</f>
        <v>15222214.283000004</v>
      </c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51500000.000000015</v>
      </c>
      <c r="BZ11" s="776"/>
      <c r="CA11" s="245"/>
      <c r="CB11" s="241">
        <f t="shared" si="1"/>
        <v>103000000.00000003</v>
      </c>
      <c r="CC11" s="776"/>
      <c r="CD11" s="245"/>
      <c r="CE11" s="245">
        <f>BY11/CE10</f>
        <v>0.7588594781150968</v>
      </c>
      <c r="CF11" s="245">
        <f>BY11/2100000</f>
        <v>24.523809523809533</v>
      </c>
      <c r="CG11" s="245"/>
      <c r="CH11" s="245" t="e">
        <f>su</f>
        <v>#NAME?</v>
      </c>
    </row>
    <row r="12" spans="1:86">
      <c r="A12" s="603"/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>
        <f>SUM(Rentroll!$P$2:$P$10)</f>
        <v>1045797.2378791663</v>
      </c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1045797.2378791663</v>
      </c>
      <c r="BZ12" s="775">
        <f>SUM(BY12:BY15)</f>
        <v>146090809.90355548</v>
      </c>
      <c r="CA12" s="226"/>
      <c r="CB12" s="237">
        <f t="shared" si="1"/>
        <v>148182404.37931383</v>
      </c>
      <c r="CC12" s="775">
        <f>SUM(CB12:CB15)</f>
        <v>438272429.71066648</v>
      </c>
      <c r="CD12" s="226"/>
      <c r="CE12" s="242">
        <f>BY5/CE10</f>
        <v>0.24114052188490315</v>
      </c>
      <c r="CF12" s="226"/>
      <c r="CG12" s="226"/>
      <c r="CH12" s="226"/>
    </row>
    <row r="13" spans="1:86">
      <c r="A13" s="603"/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>
        <f>Businessplan_prodej!J25</f>
        <v>134227900.78571424</v>
      </c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  <c r="CA13" s="226"/>
      <c r="CB13" s="237">
        <f t="shared" si="1"/>
        <v>268455801.57142848</v>
      </c>
      <c r="CC13" s="771"/>
      <c r="CD13" s="226"/>
      <c r="CE13" s="226"/>
      <c r="CF13" s="226"/>
      <c r="CG13" s="226"/>
      <c r="CH13" s="226"/>
    </row>
    <row r="14" spans="1:86">
      <c r="A14" s="603"/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>
        <v>6227</v>
      </c>
      <c r="J14" s="235">
        <v>14588</v>
      </c>
      <c r="K14" s="235">
        <f>457468</f>
        <v>457468</v>
      </c>
      <c r="L14" s="235">
        <v>57517</v>
      </c>
      <c r="M14" s="235">
        <f>60362</f>
        <v>60362</v>
      </c>
      <c r="N14" s="235">
        <v>56101</v>
      </c>
      <c r="O14" s="235">
        <f>59696</f>
        <v>59696</v>
      </c>
      <c r="P14" s="235">
        <f t="shared" ref="P14:Q14" si="4">-(SUM(N23,N37)-SUM(N23,N37)/1.21)</f>
        <v>4397.6776859504134</v>
      </c>
      <c r="Q14" s="235">
        <f t="shared" si="4"/>
        <v>129167.81008264457</v>
      </c>
      <c r="R14" s="235">
        <f>IF(P12&gt;0,-(SUM(Rentroll!$K$2:$K$4)+Rentroll!$N$2),0)-(SUM(P23,P37)-SUM(P23,P37)/1.21)</f>
        <v>185143.84867768595</v>
      </c>
      <c r="S14" s="235">
        <f>IF(Q12&gt;0,-(SUM(Rentroll!$K$2:$K$4)+Rentroll!$N$2),0)-(SUM(Q23,Q37)-SUM(Q23,Q37)/1.21)</f>
        <v>104920.40388223139</v>
      </c>
      <c r="T14" s="235">
        <f>IF(R12&gt;0,-(SUM(Rentroll!$K$2:$K$4)+Rentroll!$N$2),0)-(SUM(R23,R37)-SUM(R23,R37)/1.21)</f>
        <v>175771.12354338844</v>
      </c>
      <c r="U14" s="235">
        <f>IF(S12&gt;0,-(SUM(Rentroll!$K$2:$K$4)+Rentroll!$N$2),0)-(SUM(S23,S37)-SUM(S23,S37)/1.21)</f>
        <v>125383.13110258256</v>
      </c>
      <c r="V14" s="235">
        <f>IF(T12&gt;0,-(SUM(Rentroll!$K$2:$K$4)+Rentroll!$N$2),0)-(SUM(T23,T37)-SUM(T23,T37)/1.21)</f>
        <v>50987.00028719008</v>
      </c>
      <c r="W14" s="235">
        <f>IF(U12&gt;0,-(SUM(Rentroll!$K$2:$K$4)+Rentroll!$N$2),0)-(SUM(U23,U37)-SUM(U23,U37)/1.21)</f>
        <v>45876.376940082642</v>
      </c>
      <c r="X14" s="235">
        <f>IF(V12&gt;0,-(SUM(Rentroll!$K$2:$K$4)+Rentroll!$N$2),0)-(SUM(V23,V37)-SUM(V23,V37)/1.21)</f>
        <v>45876.376940082642</v>
      </c>
      <c r="Y14" s="235">
        <f>IF(W12&gt;0,-(SUM(Rentroll!$K$2:$K$4)+Rentroll!$N$2),0)-(SUM(W23,W37)-SUM(W23,W37)/1.21)</f>
        <v>45876.376940082642</v>
      </c>
      <c r="Z14" s="235">
        <f>IF(X12&gt;0,-(SUM(Rentroll!$K$2:$K$4)+Rentroll!$N$2),0)-(SUM(X23,X37)-SUM(X23,X37)/1.21)</f>
        <v>45876.376940082642</v>
      </c>
      <c r="AA14" s="235">
        <f>IF(Y12&gt;0,-(SUM(Rentroll!$K$2:$K$4)+Rentroll!$N$2),0)-(SUM(Y23,Y37)-SUM(Y23,Y37)/1.21)</f>
        <v>45876.376940082642</v>
      </c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1717111.8799620871</v>
      </c>
      <c r="BZ14" s="771"/>
      <c r="CA14" s="226"/>
      <c r="CB14" s="237">
        <f t="shared" si="1"/>
        <v>3434223.7599241743</v>
      </c>
      <c r="CC14" s="771"/>
      <c r="CD14" s="226"/>
      <c r="CE14" s="226">
        <f>51450000</f>
        <v>51450000</v>
      </c>
      <c r="CF14" s="226">
        <f>BY11/24.5</f>
        <v>2102040.8163265311</v>
      </c>
      <c r="CG14" s="226"/>
      <c r="CH14" s="226"/>
    </row>
    <row r="15" spans="1:86">
      <c r="A15" s="603"/>
      <c r="B15" s="768"/>
      <c r="C15" s="238" t="s">
        <v>265</v>
      </c>
      <c r="D15" s="239" t="s">
        <v>264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458">
        <f>9100000</f>
        <v>9100000</v>
      </c>
      <c r="Q15" s="240"/>
      <c r="R15" s="458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38"/>
      <c r="BY15" s="241">
        <f t="shared" si="0"/>
        <v>9100000</v>
      </c>
      <c r="BZ15" s="776"/>
      <c r="CA15" s="226"/>
      <c r="CB15" s="241">
        <f t="shared" si="1"/>
        <v>18200000</v>
      </c>
      <c r="CC15" s="776"/>
      <c r="CD15" s="226"/>
      <c r="CE15" s="226">
        <f>CE14/24.5</f>
        <v>2100000</v>
      </c>
      <c r="CF15" s="226"/>
      <c r="CG15" s="226"/>
      <c r="CH15" s="226"/>
    </row>
    <row r="16" spans="1:86" ht="16">
      <c r="A16" s="603"/>
      <c r="B16" s="788" t="s">
        <v>266</v>
      </c>
      <c r="C16" s="774"/>
      <c r="D16" s="246"/>
      <c r="E16" s="247">
        <f t="shared" ref="E16:BX16" si="5">SUM(E5:E15)</f>
        <v>0</v>
      </c>
      <c r="F16" s="247">
        <f t="shared" si="5"/>
        <v>0</v>
      </c>
      <c r="G16" s="247">
        <f t="shared" si="5"/>
        <v>0</v>
      </c>
      <c r="H16" s="247">
        <f t="shared" si="5"/>
        <v>16365002</v>
      </c>
      <c r="I16" s="247">
        <f t="shared" si="5"/>
        <v>6227</v>
      </c>
      <c r="J16" s="247">
        <f t="shared" si="5"/>
        <v>14588</v>
      </c>
      <c r="K16" s="247">
        <f t="shared" si="5"/>
        <v>1342468</v>
      </c>
      <c r="L16" s="247">
        <f t="shared" si="5"/>
        <v>1997517</v>
      </c>
      <c r="M16" s="247">
        <f t="shared" si="5"/>
        <v>10818794.050000001</v>
      </c>
      <c r="N16" s="247">
        <f t="shared" si="5"/>
        <v>19993932.949999999</v>
      </c>
      <c r="O16" s="247">
        <f t="shared" si="5"/>
        <v>9791181.2300000004</v>
      </c>
      <c r="P16" s="247">
        <f t="shared" si="5"/>
        <v>11534434.16468595</v>
      </c>
      <c r="Q16" s="247">
        <f t="shared" si="5"/>
        <v>19901382.093082648</v>
      </c>
      <c r="R16" s="247">
        <f t="shared" si="5"/>
        <v>1185143.8486776859</v>
      </c>
      <c r="S16" s="247">
        <f t="shared" si="5"/>
        <v>5654920.4038822316</v>
      </c>
      <c r="T16" s="247">
        <f t="shared" si="5"/>
        <v>5075771.1235433882</v>
      </c>
      <c r="U16" s="247">
        <f t="shared" si="5"/>
        <v>1225383.1311025824</v>
      </c>
      <c r="V16" s="247">
        <f t="shared" si="5"/>
        <v>4955875.0002871901</v>
      </c>
      <c r="W16" s="247">
        <f t="shared" si="5"/>
        <v>4975652.3769400828</v>
      </c>
      <c r="X16" s="247">
        <f t="shared" si="5"/>
        <v>5000540.3769400828</v>
      </c>
      <c r="Y16" s="247">
        <f t="shared" si="5"/>
        <v>5025428.3769400828</v>
      </c>
      <c r="Z16" s="247">
        <f t="shared" si="5"/>
        <v>5050316.3769400828</v>
      </c>
      <c r="AA16" s="247">
        <f t="shared" si="5"/>
        <v>135319574.40053347</v>
      </c>
      <c r="AB16" s="247">
        <f t="shared" si="5"/>
        <v>0</v>
      </c>
      <c r="AC16" s="247">
        <f t="shared" si="5"/>
        <v>0</v>
      </c>
      <c r="AD16" s="247">
        <f t="shared" si="5"/>
        <v>0</v>
      </c>
      <c r="AE16" s="247">
        <f t="shared" si="5"/>
        <v>0</v>
      </c>
      <c r="AF16" s="247">
        <f t="shared" si="5"/>
        <v>0</v>
      </c>
      <c r="AG16" s="247">
        <f t="shared" si="5"/>
        <v>0</v>
      </c>
      <c r="AH16" s="247">
        <f t="shared" si="5"/>
        <v>0</v>
      </c>
      <c r="AI16" s="247">
        <f t="shared" si="5"/>
        <v>0</v>
      </c>
      <c r="AJ16" s="247">
        <f t="shared" si="5"/>
        <v>0</v>
      </c>
      <c r="AK16" s="247">
        <f t="shared" si="5"/>
        <v>0</v>
      </c>
      <c r="AL16" s="247">
        <f t="shared" si="5"/>
        <v>0</v>
      </c>
      <c r="AM16" s="247">
        <f t="shared" si="5"/>
        <v>0</v>
      </c>
      <c r="AN16" s="247">
        <f t="shared" si="5"/>
        <v>0</v>
      </c>
      <c r="AO16" s="247">
        <f t="shared" si="5"/>
        <v>0</v>
      </c>
      <c r="AP16" s="247">
        <f t="shared" si="5"/>
        <v>0</v>
      </c>
      <c r="AQ16" s="247">
        <f t="shared" si="5"/>
        <v>0</v>
      </c>
      <c r="AR16" s="247">
        <f t="shared" si="5"/>
        <v>0</v>
      </c>
      <c r="AS16" s="247">
        <f t="shared" si="5"/>
        <v>0</v>
      </c>
      <c r="AT16" s="247">
        <f t="shared" si="5"/>
        <v>0</v>
      </c>
      <c r="AU16" s="247">
        <f t="shared" si="5"/>
        <v>0</v>
      </c>
      <c r="AV16" s="247">
        <f t="shared" si="5"/>
        <v>0</v>
      </c>
      <c r="AW16" s="247">
        <f t="shared" si="5"/>
        <v>0</v>
      </c>
      <c r="AX16" s="247">
        <f t="shared" si="5"/>
        <v>0</v>
      </c>
      <c r="AY16" s="247">
        <f t="shared" si="5"/>
        <v>0</v>
      </c>
      <c r="AZ16" s="247">
        <f t="shared" si="5"/>
        <v>0</v>
      </c>
      <c r="BA16" s="247">
        <f t="shared" si="5"/>
        <v>0</v>
      </c>
      <c r="BB16" s="247">
        <f t="shared" si="5"/>
        <v>0</v>
      </c>
      <c r="BC16" s="247">
        <f t="shared" si="5"/>
        <v>0</v>
      </c>
      <c r="BD16" s="247">
        <f t="shared" si="5"/>
        <v>0</v>
      </c>
      <c r="BE16" s="247">
        <f t="shared" si="5"/>
        <v>0</v>
      </c>
      <c r="BF16" s="247">
        <f t="shared" si="5"/>
        <v>0</v>
      </c>
      <c r="BG16" s="247">
        <f t="shared" si="5"/>
        <v>0</v>
      </c>
      <c r="BH16" s="247">
        <f t="shared" si="5"/>
        <v>0</v>
      </c>
      <c r="BI16" s="247">
        <f t="shared" si="5"/>
        <v>0</v>
      </c>
      <c r="BJ16" s="247">
        <f t="shared" si="5"/>
        <v>0</v>
      </c>
      <c r="BK16" s="247">
        <f t="shared" si="5"/>
        <v>0</v>
      </c>
      <c r="BL16" s="247">
        <f t="shared" si="5"/>
        <v>0</v>
      </c>
      <c r="BM16" s="247">
        <f t="shared" si="5"/>
        <v>0</v>
      </c>
      <c r="BN16" s="247">
        <f t="shared" si="5"/>
        <v>0</v>
      </c>
      <c r="BO16" s="247">
        <f t="shared" si="5"/>
        <v>0</v>
      </c>
      <c r="BP16" s="247">
        <f t="shared" si="5"/>
        <v>0</v>
      </c>
      <c r="BQ16" s="247">
        <f t="shared" si="5"/>
        <v>0</v>
      </c>
      <c r="BR16" s="247">
        <f t="shared" si="5"/>
        <v>0</v>
      </c>
      <c r="BS16" s="247">
        <f t="shared" si="5"/>
        <v>0</v>
      </c>
      <c r="BT16" s="247">
        <f t="shared" si="5"/>
        <v>0</v>
      </c>
      <c r="BU16" s="247">
        <f t="shared" si="5"/>
        <v>0</v>
      </c>
      <c r="BV16" s="247">
        <f t="shared" si="5"/>
        <v>0</v>
      </c>
      <c r="BW16" s="247">
        <f t="shared" si="5"/>
        <v>0</v>
      </c>
      <c r="BX16" s="247">
        <f t="shared" si="5"/>
        <v>0</v>
      </c>
      <c r="BY16" s="778">
        <f>BZ5+BZ9+BZ12</f>
        <v>265234131.90355551</v>
      </c>
      <c r="BZ16" s="774"/>
      <c r="CA16" s="226"/>
      <c r="CB16" s="778">
        <f>CC5+CC9+CC12</f>
        <v>857023062.71066654</v>
      </c>
      <c r="CC16" s="774"/>
      <c r="CD16" s="226"/>
      <c r="CE16" s="226"/>
      <c r="CF16" s="226"/>
      <c r="CG16" s="226"/>
      <c r="CH16" s="226"/>
    </row>
    <row r="17" spans="1:83" ht="16" collapsed="1">
      <c r="A17" s="603"/>
      <c r="B17" s="789" t="s">
        <v>267</v>
      </c>
      <c r="C17" s="248" t="s">
        <v>268</v>
      </c>
      <c r="D17" s="249"/>
      <c r="E17" s="250">
        <f t="shared" ref="E17:BY17" si="6">SUM(E18:E22)</f>
        <v>0</v>
      </c>
      <c r="F17" s="250">
        <f t="shared" si="6"/>
        <v>0</v>
      </c>
      <c r="G17" s="250">
        <f t="shared" si="6"/>
        <v>0</v>
      </c>
      <c r="H17" s="250">
        <f t="shared" si="6"/>
        <v>-10620712</v>
      </c>
      <c r="I17" s="250">
        <f t="shared" si="6"/>
        <v>0</v>
      </c>
      <c r="J17" s="250">
        <f t="shared" si="6"/>
        <v>-808333</v>
      </c>
      <c r="K17" s="250">
        <f t="shared" si="6"/>
        <v>0</v>
      </c>
      <c r="L17" s="250">
        <f t="shared" si="6"/>
        <v>0</v>
      </c>
      <c r="M17" s="250">
        <f t="shared" si="6"/>
        <v>0</v>
      </c>
      <c r="N17" s="250">
        <f t="shared" si="6"/>
        <v>0</v>
      </c>
      <c r="O17" s="250">
        <f t="shared" si="6"/>
        <v>0</v>
      </c>
      <c r="P17" s="250">
        <f t="shared" si="6"/>
        <v>0</v>
      </c>
      <c r="Q17" s="250">
        <f t="shared" si="6"/>
        <v>0</v>
      </c>
      <c r="R17" s="250">
        <f t="shared" si="6"/>
        <v>0</v>
      </c>
      <c r="S17" s="250">
        <f t="shared" si="6"/>
        <v>0</v>
      </c>
      <c r="T17" s="250">
        <f t="shared" si="6"/>
        <v>0</v>
      </c>
      <c r="U17" s="250">
        <f t="shared" si="6"/>
        <v>0</v>
      </c>
      <c r="V17" s="250">
        <f t="shared" si="6"/>
        <v>0</v>
      </c>
      <c r="W17" s="250">
        <f t="shared" si="6"/>
        <v>0</v>
      </c>
      <c r="X17" s="250">
        <f t="shared" si="6"/>
        <v>0</v>
      </c>
      <c r="Y17" s="250">
        <f t="shared" si="6"/>
        <v>0</v>
      </c>
      <c r="Z17" s="250">
        <f t="shared" si="6"/>
        <v>0</v>
      </c>
      <c r="AA17" s="250">
        <f t="shared" si="6"/>
        <v>0</v>
      </c>
      <c r="AB17" s="250">
        <f t="shared" si="6"/>
        <v>0</v>
      </c>
      <c r="AC17" s="250">
        <f t="shared" si="6"/>
        <v>0</v>
      </c>
      <c r="AD17" s="250">
        <f t="shared" si="6"/>
        <v>0</v>
      </c>
      <c r="AE17" s="250">
        <f t="shared" si="6"/>
        <v>0</v>
      </c>
      <c r="AF17" s="250">
        <f t="shared" si="6"/>
        <v>0</v>
      </c>
      <c r="AG17" s="250">
        <f t="shared" si="6"/>
        <v>0</v>
      </c>
      <c r="AH17" s="250">
        <f t="shared" si="6"/>
        <v>0</v>
      </c>
      <c r="AI17" s="250">
        <f t="shared" si="6"/>
        <v>0</v>
      </c>
      <c r="AJ17" s="250">
        <f t="shared" si="6"/>
        <v>0</v>
      </c>
      <c r="AK17" s="250">
        <f t="shared" si="6"/>
        <v>0</v>
      </c>
      <c r="AL17" s="250">
        <f t="shared" si="6"/>
        <v>0</v>
      </c>
      <c r="AM17" s="250">
        <f t="shared" si="6"/>
        <v>0</v>
      </c>
      <c r="AN17" s="250">
        <f t="shared" si="6"/>
        <v>0</v>
      </c>
      <c r="AO17" s="250">
        <f t="shared" si="6"/>
        <v>0</v>
      </c>
      <c r="AP17" s="250">
        <f t="shared" si="6"/>
        <v>0</v>
      </c>
      <c r="AQ17" s="250">
        <f t="shared" si="6"/>
        <v>0</v>
      </c>
      <c r="AR17" s="250">
        <f t="shared" si="6"/>
        <v>0</v>
      </c>
      <c r="AS17" s="250">
        <f t="shared" si="6"/>
        <v>0</v>
      </c>
      <c r="AT17" s="250">
        <f t="shared" si="6"/>
        <v>0</v>
      </c>
      <c r="AU17" s="250">
        <f t="shared" si="6"/>
        <v>0</v>
      </c>
      <c r="AV17" s="250">
        <f t="shared" si="6"/>
        <v>0</v>
      </c>
      <c r="AW17" s="250">
        <f t="shared" si="6"/>
        <v>0</v>
      </c>
      <c r="AX17" s="250">
        <f t="shared" si="6"/>
        <v>0</v>
      </c>
      <c r="AY17" s="250">
        <f t="shared" si="6"/>
        <v>0</v>
      </c>
      <c r="AZ17" s="250">
        <f t="shared" si="6"/>
        <v>0</v>
      </c>
      <c r="BA17" s="250">
        <f t="shared" si="6"/>
        <v>0</v>
      </c>
      <c r="BB17" s="250">
        <f t="shared" si="6"/>
        <v>0</v>
      </c>
      <c r="BC17" s="250">
        <f t="shared" si="6"/>
        <v>0</v>
      </c>
      <c r="BD17" s="250">
        <f t="shared" si="6"/>
        <v>0</v>
      </c>
      <c r="BE17" s="250">
        <f t="shared" si="6"/>
        <v>0</v>
      </c>
      <c r="BF17" s="250">
        <f t="shared" si="6"/>
        <v>0</v>
      </c>
      <c r="BG17" s="250">
        <f t="shared" si="6"/>
        <v>0</v>
      </c>
      <c r="BH17" s="250">
        <f t="shared" si="6"/>
        <v>0</v>
      </c>
      <c r="BI17" s="250">
        <f t="shared" si="6"/>
        <v>0</v>
      </c>
      <c r="BJ17" s="250">
        <f t="shared" si="6"/>
        <v>0</v>
      </c>
      <c r="BK17" s="250">
        <f t="shared" si="6"/>
        <v>0</v>
      </c>
      <c r="BL17" s="250">
        <f t="shared" si="6"/>
        <v>0</v>
      </c>
      <c r="BM17" s="250">
        <f t="shared" si="6"/>
        <v>0</v>
      </c>
      <c r="BN17" s="250">
        <f t="shared" si="6"/>
        <v>0</v>
      </c>
      <c r="BO17" s="250">
        <f t="shared" si="6"/>
        <v>0</v>
      </c>
      <c r="BP17" s="250">
        <f t="shared" si="6"/>
        <v>0</v>
      </c>
      <c r="BQ17" s="250">
        <f t="shared" si="6"/>
        <v>0</v>
      </c>
      <c r="BR17" s="250">
        <f t="shared" si="6"/>
        <v>0</v>
      </c>
      <c r="BS17" s="250">
        <f t="shared" si="6"/>
        <v>0</v>
      </c>
      <c r="BT17" s="250">
        <f t="shared" si="6"/>
        <v>0</v>
      </c>
      <c r="BU17" s="250">
        <f t="shared" si="6"/>
        <v>0</v>
      </c>
      <c r="BV17" s="250">
        <f t="shared" si="6"/>
        <v>0</v>
      </c>
      <c r="BW17" s="250">
        <f t="shared" si="6"/>
        <v>0</v>
      </c>
      <c r="BX17" s="250">
        <f t="shared" si="6"/>
        <v>0</v>
      </c>
      <c r="BY17" s="251">
        <f t="shared" si="6"/>
        <v>-11429045</v>
      </c>
      <c r="BZ17" s="777">
        <f>BY17+BY23+BY26+BY34+BY37+BY49+BY55+BY63+BY87</f>
        <v>-122020844.69242023</v>
      </c>
      <c r="CA17" s="226"/>
      <c r="CB17" s="252"/>
      <c r="CC17" s="777"/>
      <c r="CD17" s="226"/>
      <c r="CE17" s="226"/>
    </row>
    <row r="18" spans="1:83" ht="16" hidden="1" outlineLevel="1">
      <c r="A18" s="603"/>
      <c r="B18" s="787"/>
      <c r="C18" s="253" t="s">
        <v>269</v>
      </c>
      <c r="D18" s="254" t="s">
        <v>270</v>
      </c>
      <c r="E18" s="255"/>
      <c r="F18" s="255"/>
      <c r="G18" s="255"/>
      <c r="H18" s="256">
        <f>-8458812-2161900</f>
        <v>-10620712</v>
      </c>
      <c r="I18" s="256"/>
      <c r="J18" s="256">
        <f>-657296-151037</f>
        <v>-808333</v>
      </c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7">
        <f t="shared" ref="BY18:BY22" si="7">SUM(E18:BX18)</f>
        <v>-11429045</v>
      </c>
      <c r="BZ18" s="771"/>
      <c r="CA18" s="226"/>
      <c r="CB18" s="252"/>
      <c r="CC18" s="771"/>
      <c r="CD18" s="226"/>
      <c r="CE18" s="226"/>
    </row>
    <row r="19" spans="1:83" ht="16" hidden="1" outlineLevel="1">
      <c r="A19" s="603"/>
      <c r="B19" s="787"/>
      <c r="C19" s="253" t="s">
        <v>271</v>
      </c>
      <c r="D19" s="254" t="s">
        <v>270</v>
      </c>
      <c r="E19" s="255"/>
      <c r="F19" s="255"/>
      <c r="G19" s="255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si="7"/>
        <v>0</v>
      </c>
      <c r="BZ19" s="771"/>
      <c r="CA19" s="226"/>
      <c r="CB19" s="252"/>
      <c r="CC19" s="771"/>
      <c r="CD19" s="226"/>
      <c r="CE19" s="226"/>
    </row>
    <row r="20" spans="1:83" ht="16" hidden="1" outlineLevel="1">
      <c r="A20" s="603"/>
      <c r="B20" s="787"/>
      <c r="C20" s="253" t="s">
        <v>272</v>
      </c>
      <c r="D20" s="254" t="s">
        <v>270</v>
      </c>
      <c r="E20" s="255"/>
      <c r="F20" s="255"/>
      <c r="G20" s="255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7"/>
        <v>0</v>
      </c>
      <c r="BZ20" s="771"/>
      <c r="CA20" s="226"/>
      <c r="CB20" s="252"/>
      <c r="CC20" s="771"/>
      <c r="CD20" s="226"/>
      <c r="CE20" s="226"/>
    </row>
    <row r="21" spans="1:83" ht="16" hidden="1" outlineLevel="1">
      <c r="A21" s="603"/>
      <c r="B21" s="787"/>
      <c r="C21" s="253" t="s">
        <v>273</v>
      </c>
      <c r="D21" s="254" t="s">
        <v>270</v>
      </c>
      <c r="E21" s="255"/>
      <c r="F21" s="255"/>
      <c r="G21" s="255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7"/>
        <v>0</v>
      </c>
      <c r="BZ21" s="771"/>
      <c r="CA21" s="226"/>
      <c r="CB21" s="252"/>
      <c r="CC21" s="771"/>
      <c r="CD21" s="226"/>
      <c r="CE21" s="226"/>
    </row>
    <row r="22" spans="1:83" ht="16" hidden="1" outlineLevel="1">
      <c r="A22" s="603"/>
      <c r="B22" s="787"/>
      <c r="C22" s="253" t="s">
        <v>274</v>
      </c>
      <c r="D22" s="258" t="s">
        <v>270</v>
      </c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7"/>
        <v>0</v>
      </c>
      <c r="BZ22" s="771"/>
      <c r="CA22" s="226"/>
      <c r="CB22" s="252"/>
      <c r="CC22" s="771"/>
      <c r="CD22" s="226"/>
      <c r="CE22" s="226"/>
    </row>
    <row r="23" spans="1:83" ht="16">
      <c r="A23" s="603"/>
      <c r="B23" s="787"/>
      <c r="C23" s="248" t="s">
        <v>275</v>
      </c>
      <c r="D23" s="249"/>
      <c r="E23" s="250">
        <f t="shared" ref="E23:BY23" si="8">SUM(E24:E25)</f>
        <v>0</v>
      </c>
      <c r="F23" s="250">
        <f t="shared" si="8"/>
        <v>0</v>
      </c>
      <c r="G23" s="250">
        <f t="shared" si="8"/>
        <v>0</v>
      </c>
      <c r="H23" s="250">
        <f t="shared" si="8"/>
        <v>0</v>
      </c>
      <c r="I23" s="250">
        <f t="shared" si="8"/>
        <v>-366025</v>
      </c>
      <c r="J23" s="250">
        <f t="shared" si="8"/>
        <v>0</v>
      </c>
      <c r="K23" s="250">
        <f t="shared" si="8"/>
        <v>0</v>
      </c>
      <c r="L23" s="250">
        <f t="shared" si="8"/>
        <v>-15913.92</v>
      </c>
      <c r="M23" s="250">
        <f t="shared" si="8"/>
        <v>0</v>
      </c>
      <c r="N23" s="250">
        <f t="shared" si="8"/>
        <v>0</v>
      </c>
      <c r="O23" s="250">
        <f t="shared" si="8"/>
        <v>0</v>
      </c>
      <c r="P23" s="250">
        <f t="shared" si="8"/>
        <v>-723335.58000000007</v>
      </c>
      <c r="Q23" s="250">
        <f t="shared" si="8"/>
        <v>-393250</v>
      </c>
      <c r="R23" s="250">
        <f t="shared" si="8"/>
        <v>-393250</v>
      </c>
      <c r="S23" s="250">
        <f t="shared" si="8"/>
        <v>0</v>
      </c>
      <c r="T23" s="250">
        <f t="shared" si="8"/>
        <v>0</v>
      </c>
      <c r="U23" s="250">
        <f t="shared" si="8"/>
        <v>0</v>
      </c>
      <c r="V23" s="250">
        <f t="shared" si="8"/>
        <v>0</v>
      </c>
      <c r="W23" s="250">
        <f t="shared" si="8"/>
        <v>0</v>
      </c>
      <c r="X23" s="250">
        <f t="shared" si="8"/>
        <v>0</v>
      </c>
      <c r="Y23" s="250">
        <f t="shared" si="8"/>
        <v>0</v>
      </c>
      <c r="Z23" s="250">
        <f t="shared" si="8"/>
        <v>0</v>
      </c>
      <c r="AA23" s="250">
        <f t="shared" si="8"/>
        <v>0</v>
      </c>
      <c r="AB23" s="250">
        <f t="shared" si="8"/>
        <v>0</v>
      </c>
      <c r="AC23" s="250">
        <f t="shared" si="8"/>
        <v>0</v>
      </c>
      <c r="AD23" s="250">
        <f t="shared" si="8"/>
        <v>0</v>
      </c>
      <c r="AE23" s="250">
        <f t="shared" si="8"/>
        <v>0</v>
      </c>
      <c r="AF23" s="250">
        <f t="shared" si="8"/>
        <v>0</v>
      </c>
      <c r="AG23" s="250">
        <f t="shared" si="8"/>
        <v>0</v>
      </c>
      <c r="AH23" s="250">
        <f t="shared" si="8"/>
        <v>0</v>
      </c>
      <c r="AI23" s="250">
        <f t="shared" si="8"/>
        <v>0</v>
      </c>
      <c r="AJ23" s="250">
        <f t="shared" si="8"/>
        <v>0</v>
      </c>
      <c r="AK23" s="250">
        <f t="shared" si="8"/>
        <v>0</v>
      </c>
      <c r="AL23" s="250">
        <f t="shared" si="8"/>
        <v>0</v>
      </c>
      <c r="AM23" s="250">
        <f t="shared" si="8"/>
        <v>0</v>
      </c>
      <c r="AN23" s="250">
        <f t="shared" si="8"/>
        <v>0</v>
      </c>
      <c r="AO23" s="250">
        <f t="shared" si="8"/>
        <v>0</v>
      </c>
      <c r="AP23" s="250">
        <f t="shared" si="8"/>
        <v>0</v>
      </c>
      <c r="AQ23" s="250">
        <f t="shared" si="8"/>
        <v>0</v>
      </c>
      <c r="AR23" s="250">
        <f t="shared" si="8"/>
        <v>0</v>
      </c>
      <c r="AS23" s="250">
        <f t="shared" si="8"/>
        <v>0</v>
      </c>
      <c r="AT23" s="250">
        <f t="shared" si="8"/>
        <v>0</v>
      </c>
      <c r="AU23" s="250">
        <f t="shared" si="8"/>
        <v>0</v>
      </c>
      <c r="AV23" s="250">
        <f t="shared" si="8"/>
        <v>0</v>
      </c>
      <c r="AW23" s="250">
        <f t="shared" si="8"/>
        <v>0</v>
      </c>
      <c r="AX23" s="250">
        <f t="shared" si="8"/>
        <v>0</v>
      </c>
      <c r="AY23" s="250">
        <f t="shared" si="8"/>
        <v>0</v>
      </c>
      <c r="AZ23" s="250">
        <f t="shared" si="8"/>
        <v>0</v>
      </c>
      <c r="BA23" s="250">
        <f t="shared" si="8"/>
        <v>0</v>
      </c>
      <c r="BB23" s="250">
        <f t="shared" si="8"/>
        <v>0</v>
      </c>
      <c r="BC23" s="250">
        <f t="shared" si="8"/>
        <v>0</v>
      </c>
      <c r="BD23" s="250">
        <f t="shared" si="8"/>
        <v>0</v>
      </c>
      <c r="BE23" s="250">
        <f t="shared" si="8"/>
        <v>0</v>
      </c>
      <c r="BF23" s="250">
        <f t="shared" si="8"/>
        <v>0</v>
      </c>
      <c r="BG23" s="250">
        <f t="shared" si="8"/>
        <v>0</v>
      </c>
      <c r="BH23" s="250">
        <f t="shared" si="8"/>
        <v>0</v>
      </c>
      <c r="BI23" s="250">
        <f t="shared" si="8"/>
        <v>0</v>
      </c>
      <c r="BJ23" s="250">
        <f t="shared" si="8"/>
        <v>0</v>
      </c>
      <c r="BK23" s="250">
        <f t="shared" si="8"/>
        <v>0</v>
      </c>
      <c r="BL23" s="250">
        <f t="shared" si="8"/>
        <v>0</v>
      </c>
      <c r="BM23" s="250">
        <f t="shared" si="8"/>
        <v>0</v>
      </c>
      <c r="BN23" s="250">
        <f t="shared" si="8"/>
        <v>0</v>
      </c>
      <c r="BO23" s="250">
        <f t="shared" si="8"/>
        <v>0</v>
      </c>
      <c r="BP23" s="250">
        <f t="shared" si="8"/>
        <v>0</v>
      </c>
      <c r="BQ23" s="250">
        <f t="shared" si="8"/>
        <v>0</v>
      </c>
      <c r="BR23" s="250">
        <f t="shared" si="8"/>
        <v>0</v>
      </c>
      <c r="BS23" s="250">
        <f t="shared" si="8"/>
        <v>0</v>
      </c>
      <c r="BT23" s="250">
        <f t="shared" si="8"/>
        <v>0</v>
      </c>
      <c r="BU23" s="250">
        <f t="shared" si="8"/>
        <v>0</v>
      </c>
      <c r="BV23" s="250">
        <f t="shared" si="8"/>
        <v>0</v>
      </c>
      <c r="BW23" s="250">
        <f t="shared" si="8"/>
        <v>0</v>
      </c>
      <c r="BX23" s="250">
        <f t="shared" si="8"/>
        <v>0</v>
      </c>
      <c r="BY23" s="251">
        <f t="shared" si="8"/>
        <v>-1891774.5</v>
      </c>
      <c r="BZ23" s="771"/>
      <c r="CA23" s="226">
        <f>BY23/1.21</f>
        <v>-1563450</v>
      </c>
      <c r="CB23" s="252"/>
      <c r="CC23" s="771"/>
      <c r="CD23" s="226"/>
      <c r="CE23" s="226">
        <f>7000000*1.21</f>
        <v>8470000</v>
      </c>
    </row>
    <row r="24" spans="1:83" ht="16" outlineLevel="1">
      <c r="A24" s="603"/>
      <c r="B24" s="787"/>
      <c r="C24" s="253" t="s">
        <v>276</v>
      </c>
      <c r="D24" s="258" t="s">
        <v>270</v>
      </c>
      <c r="E24" s="259"/>
      <c r="F24" s="259"/>
      <c r="G24" s="259"/>
      <c r="H24" s="260"/>
      <c r="I24" s="260">
        <f>-302500*1.21</f>
        <v>-366025</v>
      </c>
      <c r="J24" s="260"/>
      <c r="K24" s="260"/>
      <c r="L24" s="260">
        <f>-15913.92</f>
        <v>-15913.92</v>
      </c>
      <c r="M24" s="260"/>
      <c r="N24" s="260"/>
      <c r="O24" s="260"/>
      <c r="P24" s="260">
        <f>(-675000-SUM(I24:O24)/1.21)*1.21-152500*1.21</f>
        <v>-619336.08000000007</v>
      </c>
      <c r="Q24" s="260">
        <f>-Businessplan_prodej!$F$21*0.5*1.21</f>
        <v>-393250</v>
      </c>
      <c r="R24" s="260">
        <f>-Businessplan_prodej!$F$21*0.5*1.21</f>
        <v>-393250</v>
      </c>
      <c r="S24" s="260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61">
        <f t="shared" ref="BY24:BY25" si="9">SUM(E24:BX24)</f>
        <v>-1787775</v>
      </c>
      <c r="BZ24" s="771"/>
      <c r="CA24" s="226"/>
      <c r="CB24" s="252"/>
      <c r="CC24" s="771"/>
      <c r="CD24" s="226"/>
      <c r="CE24" s="226"/>
    </row>
    <row r="25" spans="1:83" ht="16" outlineLevel="1">
      <c r="A25" s="603"/>
      <c r="B25" s="787"/>
      <c r="C25" s="253" t="s">
        <v>277</v>
      </c>
      <c r="D25" s="258" t="s">
        <v>270</v>
      </c>
      <c r="E25" s="259"/>
      <c r="F25" s="259"/>
      <c r="G25" s="259"/>
      <c r="H25" s="260"/>
      <c r="I25" s="260"/>
      <c r="J25" s="260"/>
      <c r="K25" s="260"/>
      <c r="L25" s="260"/>
      <c r="M25" s="260"/>
      <c r="N25" s="260"/>
      <c r="O25" s="260"/>
      <c r="P25" s="260">
        <f>-Businessplan_prodej!$F$22*1.21</f>
        <v>-103999.5</v>
      </c>
      <c r="Q25" s="260"/>
      <c r="R25" s="260"/>
      <c r="S25" s="260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1">
        <f t="shared" si="9"/>
        <v>-103999.5</v>
      </c>
      <c r="BZ25" s="771"/>
      <c r="CA25" s="226"/>
      <c r="CB25" s="252"/>
      <c r="CC25" s="771"/>
      <c r="CD25" s="226"/>
      <c r="CE25" s="226"/>
    </row>
    <row r="26" spans="1:83" ht="16">
      <c r="A26" s="603"/>
      <c r="B26" s="787"/>
      <c r="C26" s="248" t="s">
        <v>278</v>
      </c>
      <c r="D26" s="249"/>
      <c r="E26" s="250">
        <f t="shared" ref="E26:BX26" si="10">SUM(E27:E33)</f>
        <v>0</v>
      </c>
      <c r="F26" s="250">
        <f t="shared" si="10"/>
        <v>0</v>
      </c>
      <c r="G26" s="250">
        <f t="shared" si="10"/>
        <v>0</v>
      </c>
      <c r="H26" s="250">
        <f t="shared" si="10"/>
        <v>-2420</v>
      </c>
      <c r="I26" s="250">
        <f t="shared" si="10"/>
        <v>-1081909</v>
      </c>
      <c r="J26" s="250">
        <f t="shared" si="10"/>
        <v>0</v>
      </c>
      <c r="K26" s="250">
        <f t="shared" si="10"/>
        <v>0</v>
      </c>
      <c r="L26" s="250">
        <f t="shared" si="10"/>
        <v>-4688041</v>
      </c>
      <c r="M26" s="250">
        <f t="shared" si="10"/>
        <v>-10044501.530000001</v>
      </c>
      <c r="N26" s="250">
        <f t="shared" si="10"/>
        <v>-19919080.57</v>
      </c>
      <c r="O26" s="250">
        <f t="shared" si="10"/>
        <v>-9000862.4199999999</v>
      </c>
      <c r="P26" s="250">
        <f t="shared" si="10"/>
        <v>-9114615.5130000003</v>
      </c>
      <c r="Q26" s="250">
        <f t="shared" si="10"/>
        <v>-6727817.9669999927</v>
      </c>
      <c r="R26" s="250">
        <f t="shared" si="10"/>
        <v>-1500000</v>
      </c>
      <c r="S26" s="250">
        <f t="shared" si="10"/>
        <v>-3214461.25</v>
      </c>
      <c r="T26" s="250">
        <f t="shared" si="10"/>
        <v>-3214461.25</v>
      </c>
      <c r="U26" s="250">
        <f t="shared" si="10"/>
        <v>-3214461.25</v>
      </c>
      <c r="V26" s="250">
        <f t="shared" si="10"/>
        <v>-3214461.25</v>
      </c>
      <c r="W26" s="250">
        <f t="shared" si="10"/>
        <v>-3214461.25</v>
      </c>
      <c r="X26" s="250">
        <f t="shared" si="10"/>
        <v>-3214461.25</v>
      </c>
      <c r="Y26" s="250">
        <f t="shared" si="10"/>
        <v>-3214461.25</v>
      </c>
      <c r="Z26" s="250">
        <f t="shared" si="10"/>
        <v>-3214461.25</v>
      </c>
      <c r="AA26" s="250">
        <f t="shared" si="10"/>
        <v>0</v>
      </c>
      <c r="AB26" s="250">
        <f t="shared" si="10"/>
        <v>0</v>
      </c>
      <c r="AC26" s="250">
        <f t="shared" si="10"/>
        <v>0</v>
      </c>
      <c r="AD26" s="250">
        <f t="shared" si="10"/>
        <v>0</v>
      </c>
      <c r="AE26" s="250">
        <f t="shared" si="10"/>
        <v>0</v>
      </c>
      <c r="AF26" s="250">
        <f t="shared" si="10"/>
        <v>0</v>
      </c>
      <c r="AG26" s="250">
        <f t="shared" si="10"/>
        <v>0</v>
      </c>
      <c r="AH26" s="250">
        <f t="shared" si="10"/>
        <v>0</v>
      </c>
      <c r="AI26" s="250">
        <f t="shared" si="10"/>
        <v>0</v>
      </c>
      <c r="AJ26" s="250">
        <f t="shared" si="10"/>
        <v>0</v>
      </c>
      <c r="AK26" s="250">
        <f t="shared" si="10"/>
        <v>0</v>
      </c>
      <c r="AL26" s="250">
        <f t="shared" si="10"/>
        <v>0</v>
      </c>
      <c r="AM26" s="250">
        <f t="shared" si="10"/>
        <v>0</v>
      </c>
      <c r="AN26" s="250">
        <f t="shared" si="10"/>
        <v>0</v>
      </c>
      <c r="AO26" s="250">
        <f t="shared" si="10"/>
        <v>0</v>
      </c>
      <c r="AP26" s="250">
        <f t="shared" si="10"/>
        <v>0</v>
      </c>
      <c r="AQ26" s="250">
        <f t="shared" si="10"/>
        <v>0</v>
      </c>
      <c r="AR26" s="250">
        <f t="shared" si="10"/>
        <v>0</v>
      </c>
      <c r="AS26" s="250">
        <f t="shared" si="10"/>
        <v>0</v>
      </c>
      <c r="AT26" s="250">
        <f t="shared" si="10"/>
        <v>0</v>
      </c>
      <c r="AU26" s="250">
        <f t="shared" si="10"/>
        <v>0</v>
      </c>
      <c r="AV26" s="250">
        <f t="shared" si="10"/>
        <v>0</v>
      </c>
      <c r="AW26" s="250">
        <f t="shared" si="10"/>
        <v>0</v>
      </c>
      <c r="AX26" s="250">
        <f t="shared" si="10"/>
        <v>0</v>
      </c>
      <c r="AY26" s="250">
        <f t="shared" si="10"/>
        <v>0</v>
      </c>
      <c r="AZ26" s="250">
        <f t="shared" si="10"/>
        <v>0</v>
      </c>
      <c r="BA26" s="250">
        <f t="shared" si="10"/>
        <v>0</v>
      </c>
      <c r="BB26" s="250">
        <f t="shared" si="10"/>
        <v>0</v>
      </c>
      <c r="BC26" s="250">
        <f t="shared" si="10"/>
        <v>0</v>
      </c>
      <c r="BD26" s="250">
        <f t="shared" si="10"/>
        <v>0</v>
      </c>
      <c r="BE26" s="250">
        <f t="shared" si="10"/>
        <v>0</v>
      </c>
      <c r="BF26" s="250">
        <f t="shared" si="10"/>
        <v>0</v>
      </c>
      <c r="BG26" s="250">
        <f t="shared" si="10"/>
        <v>0</v>
      </c>
      <c r="BH26" s="250">
        <f t="shared" si="10"/>
        <v>0</v>
      </c>
      <c r="BI26" s="250">
        <f t="shared" si="10"/>
        <v>0</v>
      </c>
      <c r="BJ26" s="250">
        <f t="shared" si="10"/>
        <v>0</v>
      </c>
      <c r="BK26" s="250">
        <f t="shared" si="10"/>
        <v>0</v>
      </c>
      <c r="BL26" s="250">
        <f t="shared" si="10"/>
        <v>0</v>
      </c>
      <c r="BM26" s="250">
        <f t="shared" si="10"/>
        <v>0</v>
      </c>
      <c r="BN26" s="250">
        <f t="shared" si="10"/>
        <v>0</v>
      </c>
      <c r="BO26" s="250">
        <f t="shared" si="10"/>
        <v>0</v>
      </c>
      <c r="BP26" s="250">
        <f t="shared" si="10"/>
        <v>0</v>
      </c>
      <c r="BQ26" s="250">
        <f t="shared" si="10"/>
        <v>0</v>
      </c>
      <c r="BR26" s="250">
        <f t="shared" si="10"/>
        <v>0</v>
      </c>
      <c r="BS26" s="250">
        <f t="shared" si="10"/>
        <v>0</v>
      </c>
      <c r="BT26" s="250">
        <f t="shared" si="10"/>
        <v>0</v>
      </c>
      <c r="BU26" s="250">
        <f t="shared" si="10"/>
        <v>0</v>
      </c>
      <c r="BV26" s="250">
        <f t="shared" si="10"/>
        <v>0</v>
      </c>
      <c r="BW26" s="250">
        <f t="shared" si="10"/>
        <v>0</v>
      </c>
      <c r="BX26" s="250">
        <f t="shared" si="10"/>
        <v>0</v>
      </c>
      <c r="BY26" s="252">
        <f>SUM(BY27:BY33)</f>
        <v>-87794938</v>
      </c>
      <c r="BZ26" s="771"/>
      <c r="CA26" s="226"/>
      <c r="CB26" s="252"/>
      <c r="CC26" s="771"/>
      <c r="CD26" s="226"/>
      <c r="CE26" s="226"/>
    </row>
    <row r="27" spans="1:83" ht="16" outlineLevel="1">
      <c r="A27" s="603"/>
      <c r="B27" s="787"/>
      <c r="C27" s="253" t="s">
        <v>279</v>
      </c>
      <c r="D27" s="254" t="s">
        <v>270</v>
      </c>
      <c r="E27" s="255"/>
      <c r="F27" s="255"/>
      <c r="G27" s="255"/>
      <c r="H27" s="256"/>
      <c r="I27" s="256"/>
      <c r="J27" s="256"/>
      <c r="K27" s="256"/>
      <c r="L27" s="256">
        <f>-4688041</f>
        <v>-4688041</v>
      </c>
      <c r="M27" s="256">
        <f>-3615000-6429501.53</f>
        <v>-10044501.530000001</v>
      </c>
      <c r="N27" s="256">
        <f>-19909473.57</f>
        <v>-19909473.57</v>
      </c>
      <c r="O27" s="256">
        <f>-8977222.42</f>
        <v>-8977222.4199999999</v>
      </c>
      <c r="P27" s="256">
        <f>-10127350.57*0.9</f>
        <v>-9114615.5130000003</v>
      </c>
      <c r="Q27" s="256">
        <f>-(58593172+SUM($L$27:P27))</f>
        <v>-5859317.9669999927</v>
      </c>
      <c r="R27" s="256">
        <f>-1500000</f>
        <v>-1500000</v>
      </c>
      <c r="S27" s="256">
        <f>-(Businessplan_prodej!$F$31)/8</f>
        <v>-2922237.5</v>
      </c>
      <c r="T27" s="256">
        <f>-(Businessplan_prodej!$F$31)/8</f>
        <v>-2922237.5</v>
      </c>
      <c r="U27" s="256">
        <f>-(Businessplan_prodej!$F$31)/8</f>
        <v>-2922237.5</v>
      </c>
      <c r="V27" s="256">
        <f>-(Businessplan_prodej!$F$31)/8</f>
        <v>-2922237.5</v>
      </c>
      <c r="W27" s="256">
        <f>-(Businessplan_prodej!$F$31)/8</f>
        <v>-2922237.5</v>
      </c>
      <c r="X27" s="256">
        <f>-(Businessplan_prodej!$F$31)/8</f>
        <v>-2922237.5</v>
      </c>
      <c r="Y27" s="256">
        <f>-(Businessplan_prodej!$F$31)/8</f>
        <v>-2922237.5</v>
      </c>
      <c r="Z27" s="256">
        <f>-(Businessplan_prodej!$F$31)/8</f>
        <v>-2922237.5</v>
      </c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64"/>
      <c r="BY27" s="265">
        <f t="shared" ref="BY27:BY33" si="11">SUM(E27:BX27)</f>
        <v>-83471072</v>
      </c>
      <c r="BZ27" s="771"/>
      <c r="CA27" s="226"/>
      <c r="CB27" s="252"/>
      <c r="CC27" s="771"/>
      <c r="CD27" s="226"/>
      <c r="CE27" s="226"/>
    </row>
    <row r="28" spans="1:83" ht="16" outlineLevel="1">
      <c r="A28" s="603"/>
      <c r="B28" s="787"/>
      <c r="C28" s="253" t="s">
        <v>280</v>
      </c>
      <c r="D28" s="254" t="s">
        <v>270</v>
      </c>
      <c r="E28" s="255"/>
      <c r="F28" s="255"/>
      <c r="G28" s="255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66">
        <f t="shared" si="11"/>
        <v>0</v>
      </c>
      <c r="BZ28" s="771"/>
      <c r="CA28" s="226"/>
      <c r="CB28" s="252"/>
      <c r="CC28" s="771"/>
      <c r="CD28" s="226"/>
      <c r="CE28" s="226"/>
    </row>
    <row r="29" spans="1:83" ht="16" outlineLevel="1">
      <c r="A29" s="603"/>
      <c r="B29" s="787"/>
      <c r="C29" s="253" t="s">
        <v>281</v>
      </c>
      <c r="D29" s="254" t="s">
        <v>270</v>
      </c>
      <c r="E29" s="255"/>
      <c r="F29" s="255"/>
      <c r="G29" s="255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66">
        <f t="shared" si="11"/>
        <v>0</v>
      </c>
      <c r="BZ29" s="771"/>
      <c r="CA29" s="226"/>
      <c r="CB29" s="252"/>
      <c r="CC29" s="771"/>
      <c r="CD29" s="226"/>
      <c r="CE29" s="226"/>
    </row>
    <row r="30" spans="1:83" ht="16" outlineLevel="1">
      <c r="A30" s="603"/>
      <c r="B30" s="787"/>
      <c r="C30" s="253" t="s">
        <v>282</v>
      </c>
      <c r="D30" s="254" t="s">
        <v>270</v>
      </c>
      <c r="E30" s="255"/>
      <c r="F30" s="255"/>
      <c r="G30" s="255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>
        <f>-Businessplan_prodej!$F$37*0.5</f>
        <v>0</v>
      </c>
      <c r="S30" s="256">
        <f>-Businessplan_prodej!$F$37*0.3</f>
        <v>0</v>
      </c>
      <c r="T30" s="256">
        <f>-Businessplan_prodej!$F$37*0.2</f>
        <v>0</v>
      </c>
      <c r="U30" s="255"/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66">
        <f t="shared" si="11"/>
        <v>0</v>
      </c>
      <c r="BZ30" s="771"/>
      <c r="CA30" s="226"/>
      <c r="CB30" s="252"/>
      <c r="CC30" s="771"/>
      <c r="CD30" s="226"/>
      <c r="CE30" s="226"/>
    </row>
    <row r="31" spans="1:83" ht="16" outlineLevel="1">
      <c r="A31" s="603"/>
      <c r="B31" s="787"/>
      <c r="C31" s="253" t="s">
        <v>283</v>
      </c>
      <c r="D31" s="254" t="s">
        <v>270</v>
      </c>
      <c r="E31" s="255"/>
      <c r="F31" s="255"/>
      <c r="G31" s="255"/>
      <c r="H31" s="256">
        <f>-2420</f>
        <v>-2420</v>
      </c>
      <c r="I31" s="256"/>
      <c r="J31" s="256"/>
      <c r="K31" s="256"/>
      <c r="L31" s="256"/>
      <c r="M31" s="256"/>
      <c r="N31" s="256">
        <f>-500-9107</f>
        <v>-9607</v>
      </c>
      <c r="O31" s="256">
        <f>-18750-2420-2470</f>
        <v>-23640</v>
      </c>
      <c r="P31" s="256"/>
      <c r="Q31" s="256"/>
      <c r="R31" s="256"/>
      <c r="S31" s="256">
        <f>-Businessplan_prodej!$F$38/8</f>
        <v>0</v>
      </c>
      <c r="T31" s="256">
        <f>-Businessplan_prodej!$F$38/8</f>
        <v>0</v>
      </c>
      <c r="U31" s="256">
        <f>-Businessplan_prodej!$F$38/8</f>
        <v>0</v>
      </c>
      <c r="V31" s="256">
        <f>-Businessplan_prodej!$F$38/8</f>
        <v>0</v>
      </c>
      <c r="W31" s="256">
        <f>-Businessplan_prodej!$F$38/8</f>
        <v>0</v>
      </c>
      <c r="X31" s="256">
        <f>-Businessplan_prodej!$F$38/8</f>
        <v>0</v>
      </c>
      <c r="Y31" s="256">
        <f>-Businessplan_prodej!$F$38/8</f>
        <v>0</v>
      </c>
      <c r="Z31" s="256">
        <f>-Businessplan_prodej!$F$38/8</f>
        <v>0</v>
      </c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66">
        <f t="shared" si="11"/>
        <v>-35667</v>
      </c>
      <c r="BZ31" s="771"/>
      <c r="CA31" s="226"/>
      <c r="CB31" s="252"/>
      <c r="CC31" s="771"/>
      <c r="CD31" s="226"/>
      <c r="CE31" s="226"/>
    </row>
    <row r="32" spans="1:83" ht="16" outlineLevel="1">
      <c r="A32" s="603"/>
      <c r="B32" s="787"/>
      <c r="C32" s="267" t="s">
        <v>284</v>
      </c>
      <c r="D32" s="254" t="s">
        <v>270</v>
      </c>
      <c r="E32" s="255"/>
      <c r="F32" s="255"/>
      <c r="G32" s="255"/>
      <c r="H32" s="256"/>
      <c r="I32" s="256">
        <f>-1081909</f>
        <v>-1081909</v>
      </c>
      <c r="J32" s="256"/>
      <c r="K32" s="256"/>
      <c r="L32" s="256"/>
      <c r="M32" s="256"/>
      <c r="N32" s="256"/>
      <c r="O32" s="256"/>
      <c r="P32" s="256"/>
      <c r="Q32" s="256">
        <f>-868500</f>
        <v>-868500</v>
      </c>
      <c r="R32" s="256"/>
      <c r="S32" s="256"/>
      <c r="T32" s="256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66">
        <f t="shared" si="11"/>
        <v>-1950409</v>
      </c>
      <c r="BZ32" s="771"/>
      <c r="CA32" s="226"/>
      <c r="CB32" s="252"/>
      <c r="CC32" s="771"/>
      <c r="CD32" s="226"/>
      <c r="CE32" s="226"/>
    </row>
    <row r="33" spans="1:81" ht="16" outlineLevel="1">
      <c r="A33" s="603"/>
      <c r="B33" s="787"/>
      <c r="C33" s="253" t="s">
        <v>285</v>
      </c>
      <c r="D33" s="258" t="s">
        <v>270</v>
      </c>
      <c r="E33" s="255"/>
      <c r="F33" s="255"/>
      <c r="G33" s="255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>
        <f>-Businessplan_prodej!$F$41/8</f>
        <v>-292223.75</v>
      </c>
      <c r="T33" s="256">
        <f>-Businessplan_prodej!$F$41/8</f>
        <v>-292223.75</v>
      </c>
      <c r="U33" s="256">
        <f>-Businessplan_prodej!$F$41/8</f>
        <v>-292223.75</v>
      </c>
      <c r="V33" s="256">
        <f>-Businessplan_prodej!$F$41/8</f>
        <v>-292223.75</v>
      </c>
      <c r="W33" s="256">
        <f>-Businessplan_prodej!$F$41/8</f>
        <v>-292223.75</v>
      </c>
      <c r="X33" s="256">
        <f>-Businessplan_prodej!$F$41/8</f>
        <v>-292223.75</v>
      </c>
      <c r="Y33" s="256">
        <f>-Businessplan_prodej!$F$41/8</f>
        <v>-292223.75</v>
      </c>
      <c r="Z33" s="256">
        <f>-Businessplan_prodej!$F$41/8</f>
        <v>-292223.75</v>
      </c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68">
        <f t="shared" si="11"/>
        <v>-2337790</v>
      </c>
      <c r="BZ33" s="771"/>
      <c r="CA33" s="226"/>
      <c r="CB33" s="252"/>
      <c r="CC33" s="771"/>
    </row>
    <row r="34" spans="1:81" ht="16" collapsed="1">
      <c r="A34" s="603"/>
      <c r="B34" s="787"/>
      <c r="C34" s="248" t="s">
        <v>286</v>
      </c>
      <c r="D34" s="249"/>
      <c r="E34" s="250">
        <f t="shared" ref="E34:BX34" si="12">SUM(E35:E36)</f>
        <v>0</v>
      </c>
      <c r="F34" s="250">
        <f t="shared" si="12"/>
        <v>0</v>
      </c>
      <c r="G34" s="250">
        <f t="shared" si="12"/>
        <v>0</v>
      </c>
      <c r="H34" s="250">
        <f t="shared" si="12"/>
        <v>0</v>
      </c>
      <c r="I34" s="250">
        <f t="shared" si="12"/>
        <v>0</v>
      </c>
      <c r="J34" s="250">
        <f t="shared" si="12"/>
        <v>0</v>
      </c>
      <c r="K34" s="250">
        <f t="shared" si="12"/>
        <v>0</v>
      </c>
      <c r="L34" s="250">
        <f t="shared" si="12"/>
        <v>0</v>
      </c>
      <c r="M34" s="250">
        <f t="shared" si="12"/>
        <v>0</v>
      </c>
      <c r="N34" s="250">
        <f t="shared" si="12"/>
        <v>0</v>
      </c>
      <c r="O34" s="250">
        <f t="shared" si="12"/>
        <v>0</v>
      </c>
      <c r="P34" s="250">
        <f t="shared" si="12"/>
        <v>0</v>
      </c>
      <c r="Q34" s="250">
        <f t="shared" si="12"/>
        <v>0</v>
      </c>
      <c r="R34" s="250">
        <f t="shared" si="12"/>
        <v>0</v>
      </c>
      <c r="S34" s="250">
        <f t="shared" si="12"/>
        <v>-577762.5</v>
      </c>
      <c r="T34" s="250">
        <f t="shared" si="12"/>
        <v>-577762.5</v>
      </c>
      <c r="U34" s="250">
        <f t="shared" si="12"/>
        <v>-577762.5</v>
      </c>
      <c r="V34" s="250">
        <f t="shared" si="12"/>
        <v>-577762.5</v>
      </c>
      <c r="W34" s="250">
        <f t="shared" si="12"/>
        <v>-577762.5</v>
      </c>
      <c r="X34" s="250">
        <f t="shared" si="12"/>
        <v>-577762.5</v>
      </c>
      <c r="Y34" s="250">
        <f t="shared" si="12"/>
        <v>-577762.5</v>
      </c>
      <c r="Z34" s="250">
        <f t="shared" si="12"/>
        <v>-577762.5</v>
      </c>
      <c r="AA34" s="250">
        <f t="shared" si="12"/>
        <v>0</v>
      </c>
      <c r="AB34" s="250">
        <f t="shared" si="12"/>
        <v>0</v>
      </c>
      <c r="AC34" s="250">
        <f t="shared" si="12"/>
        <v>0</v>
      </c>
      <c r="AD34" s="250">
        <f t="shared" si="12"/>
        <v>0</v>
      </c>
      <c r="AE34" s="250">
        <f t="shared" si="12"/>
        <v>0</v>
      </c>
      <c r="AF34" s="250">
        <f t="shared" si="12"/>
        <v>0</v>
      </c>
      <c r="AG34" s="250">
        <f t="shared" si="12"/>
        <v>0</v>
      </c>
      <c r="AH34" s="250">
        <f t="shared" si="12"/>
        <v>0</v>
      </c>
      <c r="AI34" s="250">
        <f t="shared" si="12"/>
        <v>0</v>
      </c>
      <c r="AJ34" s="250">
        <f t="shared" si="12"/>
        <v>0</v>
      </c>
      <c r="AK34" s="250">
        <f t="shared" si="12"/>
        <v>0</v>
      </c>
      <c r="AL34" s="250">
        <f t="shared" si="12"/>
        <v>0</v>
      </c>
      <c r="AM34" s="250">
        <f t="shared" si="12"/>
        <v>0</v>
      </c>
      <c r="AN34" s="250">
        <f t="shared" si="12"/>
        <v>0</v>
      </c>
      <c r="AO34" s="250">
        <f t="shared" si="12"/>
        <v>0</v>
      </c>
      <c r="AP34" s="250">
        <f t="shared" si="12"/>
        <v>0</v>
      </c>
      <c r="AQ34" s="250">
        <f t="shared" si="12"/>
        <v>0</v>
      </c>
      <c r="AR34" s="250">
        <f t="shared" si="12"/>
        <v>0</v>
      </c>
      <c r="AS34" s="250">
        <f t="shared" si="12"/>
        <v>0</v>
      </c>
      <c r="AT34" s="250">
        <f t="shared" si="12"/>
        <v>0</v>
      </c>
      <c r="AU34" s="250">
        <f t="shared" si="12"/>
        <v>0</v>
      </c>
      <c r="AV34" s="250">
        <f t="shared" si="12"/>
        <v>0</v>
      </c>
      <c r="AW34" s="250">
        <f t="shared" si="12"/>
        <v>0</v>
      </c>
      <c r="AX34" s="250">
        <f t="shared" si="12"/>
        <v>0</v>
      </c>
      <c r="AY34" s="250">
        <f t="shared" si="12"/>
        <v>0</v>
      </c>
      <c r="AZ34" s="250">
        <f t="shared" si="12"/>
        <v>0</v>
      </c>
      <c r="BA34" s="250">
        <f t="shared" si="12"/>
        <v>0</v>
      </c>
      <c r="BB34" s="250">
        <f t="shared" si="12"/>
        <v>0</v>
      </c>
      <c r="BC34" s="250">
        <f t="shared" si="12"/>
        <v>0</v>
      </c>
      <c r="BD34" s="250">
        <f t="shared" si="12"/>
        <v>0</v>
      </c>
      <c r="BE34" s="250">
        <f t="shared" si="12"/>
        <v>0</v>
      </c>
      <c r="BF34" s="250">
        <f t="shared" si="12"/>
        <v>0</v>
      </c>
      <c r="BG34" s="250">
        <f t="shared" si="12"/>
        <v>0</v>
      </c>
      <c r="BH34" s="250">
        <f t="shared" si="12"/>
        <v>0</v>
      </c>
      <c r="BI34" s="250">
        <f t="shared" si="12"/>
        <v>0</v>
      </c>
      <c r="BJ34" s="250">
        <f t="shared" si="12"/>
        <v>0</v>
      </c>
      <c r="BK34" s="250">
        <f t="shared" si="12"/>
        <v>0</v>
      </c>
      <c r="BL34" s="250">
        <f t="shared" si="12"/>
        <v>0</v>
      </c>
      <c r="BM34" s="250">
        <f t="shared" si="12"/>
        <v>0</v>
      </c>
      <c r="BN34" s="250">
        <f t="shared" si="12"/>
        <v>0</v>
      </c>
      <c r="BO34" s="250">
        <f t="shared" si="12"/>
        <v>0</v>
      </c>
      <c r="BP34" s="250">
        <f t="shared" si="12"/>
        <v>0</v>
      </c>
      <c r="BQ34" s="250">
        <f t="shared" si="12"/>
        <v>0</v>
      </c>
      <c r="BR34" s="250">
        <f t="shared" si="12"/>
        <v>0</v>
      </c>
      <c r="BS34" s="250">
        <f t="shared" si="12"/>
        <v>0</v>
      </c>
      <c r="BT34" s="250">
        <f t="shared" si="12"/>
        <v>0</v>
      </c>
      <c r="BU34" s="250">
        <f t="shared" si="12"/>
        <v>0</v>
      </c>
      <c r="BV34" s="250">
        <f t="shared" si="12"/>
        <v>0</v>
      </c>
      <c r="BW34" s="250">
        <f t="shared" si="12"/>
        <v>0</v>
      </c>
      <c r="BX34" s="250">
        <f t="shared" si="12"/>
        <v>0</v>
      </c>
      <c r="BY34" s="252">
        <f>SUM(BY35:BY36)</f>
        <v>-4622100</v>
      </c>
      <c r="BZ34" s="771"/>
      <c r="CA34" s="226"/>
      <c r="CB34" s="252"/>
      <c r="CC34" s="771"/>
    </row>
    <row r="35" spans="1:81" ht="16" hidden="1" outlineLevel="1">
      <c r="A35" s="603"/>
      <c r="B35" s="787"/>
      <c r="C35" s="253" t="s">
        <v>287</v>
      </c>
      <c r="D35" s="254" t="s">
        <v>270</v>
      </c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70">
        <f>-Businessplan_prodej!$C$51/8</f>
        <v>-577762.5</v>
      </c>
      <c r="T35" s="270">
        <f>-Businessplan_prodej!$C$51/8</f>
        <v>-577762.5</v>
      </c>
      <c r="U35" s="270">
        <f>-Businessplan_prodej!$C$51/8</f>
        <v>-577762.5</v>
      </c>
      <c r="V35" s="270">
        <f>-Businessplan_prodej!$C$51/8</f>
        <v>-577762.5</v>
      </c>
      <c r="W35" s="270">
        <f>-Businessplan_prodej!$C$51/8</f>
        <v>-577762.5</v>
      </c>
      <c r="X35" s="270">
        <f>-Businessplan_prodej!$C$51/8</f>
        <v>-577762.5</v>
      </c>
      <c r="Y35" s="270">
        <f>-Businessplan_prodej!$C$51/8</f>
        <v>-577762.5</v>
      </c>
      <c r="Z35" s="270">
        <f>-Businessplan_prodej!$C$51/8</f>
        <v>-577762.5</v>
      </c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64"/>
      <c r="BY35" s="265">
        <f t="shared" ref="BY35:BY36" si="13">SUM(E35:BX35)</f>
        <v>-4622100</v>
      </c>
      <c r="BZ35" s="771"/>
      <c r="CA35" s="226"/>
      <c r="CB35" s="252"/>
      <c r="CC35" s="771"/>
    </row>
    <row r="36" spans="1:81" ht="16" hidden="1" outlineLevel="1">
      <c r="A36" s="603"/>
      <c r="B36" s="787"/>
      <c r="C36" s="253" t="s">
        <v>288</v>
      </c>
      <c r="D36" s="258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70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68">
        <f t="shared" si="13"/>
        <v>0</v>
      </c>
      <c r="BZ36" s="771"/>
      <c r="CA36" s="226"/>
      <c r="CB36" s="252"/>
      <c r="CC36" s="771"/>
    </row>
    <row r="37" spans="1:81" ht="16">
      <c r="A37" s="603"/>
      <c r="B37" s="787"/>
      <c r="C37" s="248" t="s">
        <v>289</v>
      </c>
      <c r="D37" s="249"/>
      <c r="E37" s="250">
        <f t="shared" ref="E37:G37" si="14">SUM(E38:E48)</f>
        <v>0</v>
      </c>
      <c r="F37" s="250">
        <f t="shared" si="14"/>
        <v>0</v>
      </c>
      <c r="G37" s="250">
        <f t="shared" si="14"/>
        <v>0</v>
      </c>
      <c r="H37" s="250">
        <f t="shared" ref="H37:BM37" si="15">SUM(H38:H41,H42,H45,H46:H48)</f>
        <v>-113225.2</v>
      </c>
      <c r="I37" s="250">
        <f t="shared" si="15"/>
        <v>-414970</v>
      </c>
      <c r="J37" s="250">
        <f t="shared" si="15"/>
        <v>-1007845.81</v>
      </c>
      <c r="K37" s="250">
        <f t="shared" si="15"/>
        <v>-901583.60700000008</v>
      </c>
      <c r="L37" s="250">
        <f t="shared" si="15"/>
        <v>-332396.81</v>
      </c>
      <c r="M37" s="250">
        <f t="shared" si="15"/>
        <v>-666968.62</v>
      </c>
      <c r="N37" s="250">
        <f t="shared" si="15"/>
        <v>-25339</v>
      </c>
      <c r="O37" s="250">
        <f t="shared" si="15"/>
        <v>-744252.62</v>
      </c>
      <c r="P37" s="250">
        <f t="shared" si="15"/>
        <v>-343445.64333333331</v>
      </c>
      <c r="Q37" s="250">
        <f t="shared" si="15"/>
        <v>-211291.37475000002</v>
      </c>
      <c r="R37" s="250">
        <f t="shared" si="15"/>
        <v>-619526.47375</v>
      </c>
      <c r="S37" s="250">
        <f t="shared" si="15"/>
        <v>-722445.66016249987</v>
      </c>
      <c r="T37" s="250">
        <f t="shared" si="15"/>
        <v>-293782.23975000001</v>
      </c>
      <c r="U37" s="250">
        <f t="shared" si="15"/>
        <v>-264335.31475000002</v>
      </c>
      <c r="V37" s="250">
        <f t="shared" si="15"/>
        <v>-264335.31475000002</v>
      </c>
      <c r="W37" s="250">
        <f t="shared" si="15"/>
        <v>-264335.31475000002</v>
      </c>
      <c r="X37" s="250">
        <f t="shared" si="15"/>
        <v>-264335.31475000002</v>
      </c>
      <c r="Y37" s="250">
        <f t="shared" si="15"/>
        <v>-264335.31475000002</v>
      </c>
      <c r="Z37" s="250">
        <f t="shared" si="15"/>
        <v>-851892.58516249992</v>
      </c>
      <c r="AA37" s="250">
        <f t="shared" si="15"/>
        <v>-14235</v>
      </c>
      <c r="AB37" s="250">
        <f t="shared" si="15"/>
        <v>0</v>
      </c>
      <c r="AC37" s="250">
        <f t="shared" si="15"/>
        <v>0</v>
      </c>
      <c r="AD37" s="250">
        <f t="shared" si="15"/>
        <v>0</v>
      </c>
      <c r="AE37" s="250">
        <f t="shared" si="15"/>
        <v>0</v>
      </c>
      <c r="AF37" s="250">
        <f t="shared" si="15"/>
        <v>0</v>
      </c>
      <c r="AG37" s="250">
        <f t="shared" si="15"/>
        <v>0</v>
      </c>
      <c r="AH37" s="250">
        <f t="shared" si="15"/>
        <v>0</v>
      </c>
      <c r="AI37" s="250">
        <f t="shared" si="15"/>
        <v>0</v>
      </c>
      <c r="AJ37" s="250">
        <f t="shared" si="15"/>
        <v>0</v>
      </c>
      <c r="AK37" s="250">
        <f t="shared" si="15"/>
        <v>0</v>
      </c>
      <c r="AL37" s="250">
        <f t="shared" si="15"/>
        <v>0</v>
      </c>
      <c r="AM37" s="250">
        <f t="shared" si="15"/>
        <v>0</v>
      </c>
      <c r="AN37" s="250">
        <f t="shared" si="15"/>
        <v>0</v>
      </c>
      <c r="AO37" s="250">
        <f t="shared" si="15"/>
        <v>0</v>
      </c>
      <c r="AP37" s="250">
        <f t="shared" si="15"/>
        <v>0</v>
      </c>
      <c r="AQ37" s="250">
        <f t="shared" si="15"/>
        <v>0</v>
      </c>
      <c r="AR37" s="250">
        <f t="shared" si="15"/>
        <v>0</v>
      </c>
      <c r="AS37" s="250">
        <f t="shared" si="15"/>
        <v>0</v>
      </c>
      <c r="AT37" s="250">
        <f t="shared" si="15"/>
        <v>0</v>
      </c>
      <c r="AU37" s="250">
        <f t="shared" si="15"/>
        <v>0</v>
      </c>
      <c r="AV37" s="250">
        <f t="shared" si="15"/>
        <v>0</v>
      </c>
      <c r="AW37" s="250">
        <f t="shared" si="15"/>
        <v>0</v>
      </c>
      <c r="AX37" s="250">
        <f t="shared" si="15"/>
        <v>0</v>
      </c>
      <c r="AY37" s="250">
        <f t="shared" si="15"/>
        <v>0</v>
      </c>
      <c r="AZ37" s="250">
        <f t="shared" si="15"/>
        <v>0</v>
      </c>
      <c r="BA37" s="250">
        <f t="shared" si="15"/>
        <v>0</v>
      </c>
      <c r="BB37" s="250">
        <f t="shared" si="15"/>
        <v>0</v>
      </c>
      <c r="BC37" s="250">
        <f t="shared" si="15"/>
        <v>0</v>
      </c>
      <c r="BD37" s="250">
        <f t="shared" si="15"/>
        <v>0</v>
      </c>
      <c r="BE37" s="250">
        <f t="shared" si="15"/>
        <v>0</v>
      </c>
      <c r="BF37" s="250">
        <f t="shared" si="15"/>
        <v>0</v>
      </c>
      <c r="BG37" s="250">
        <f t="shared" si="15"/>
        <v>0</v>
      </c>
      <c r="BH37" s="250">
        <f t="shared" si="15"/>
        <v>0</v>
      </c>
      <c r="BI37" s="250">
        <f t="shared" si="15"/>
        <v>0</v>
      </c>
      <c r="BJ37" s="250">
        <f t="shared" si="15"/>
        <v>0</v>
      </c>
      <c r="BK37" s="250">
        <f t="shared" si="15"/>
        <v>0</v>
      </c>
      <c r="BL37" s="250">
        <f t="shared" si="15"/>
        <v>0</v>
      </c>
      <c r="BM37" s="250">
        <f t="shared" si="15"/>
        <v>0</v>
      </c>
      <c r="BN37" s="250">
        <f t="shared" ref="BN37:BX37" si="16">SUM(BN38:BN48)</f>
        <v>0</v>
      </c>
      <c r="BO37" s="250">
        <f t="shared" si="16"/>
        <v>0</v>
      </c>
      <c r="BP37" s="250">
        <f t="shared" si="16"/>
        <v>0</v>
      </c>
      <c r="BQ37" s="250">
        <f t="shared" si="16"/>
        <v>0</v>
      </c>
      <c r="BR37" s="250">
        <f t="shared" si="16"/>
        <v>0</v>
      </c>
      <c r="BS37" s="250">
        <f t="shared" si="16"/>
        <v>0</v>
      </c>
      <c r="BT37" s="250">
        <f t="shared" si="16"/>
        <v>0</v>
      </c>
      <c r="BU37" s="250">
        <f t="shared" si="16"/>
        <v>0</v>
      </c>
      <c r="BV37" s="250">
        <f t="shared" si="16"/>
        <v>0</v>
      </c>
      <c r="BW37" s="250">
        <f t="shared" si="16"/>
        <v>0</v>
      </c>
      <c r="BX37" s="250">
        <f t="shared" si="16"/>
        <v>0</v>
      </c>
      <c r="BY37" s="252">
        <f>SUM(BY38:BY48)</f>
        <v>-9047863.2176583335</v>
      </c>
      <c r="BZ37" s="771"/>
      <c r="CA37" s="226"/>
      <c r="CB37" s="252"/>
      <c r="CC37" s="771"/>
    </row>
    <row r="38" spans="1:81" ht="16" outlineLevel="1">
      <c r="A38" s="603"/>
      <c r="B38" s="787"/>
      <c r="C38" s="267" t="s">
        <v>216</v>
      </c>
      <c r="D38" s="254" t="s">
        <v>270</v>
      </c>
      <c r="E38" s="259"/>
      <c r="F38" s="259"/>
      <c r="G38" s="259"/>
      <c r="H38" s="260"/>
      <c r="I38" s="260">
        <f>-400000</f>
        <v>-400000</v>
      </c>
      <c r="J38" s="260">
        <f>-661353-(23520+28160+192281+20000)*1.21</f>
        <v>-980745.81</v>
      </c>
      <c r="K38" s="260"/>
      <c r="L38" s="260">
        <f>-(23520+28160+192281+20000)*1.21</f>
        <v>-319392.81</v>
      </c>
      <c r="M38" s="260">
        <f>-(23520+28160+192281+20000)*1.21-(23520+28160+192281+20000)*1.21</f>
        <v>-638785.62</v>
      </c>
      <c r="N38" s="260"/>
      <c r="O38" s="260">
        <f>-(23520+28160+192281+20000)*1.21*2</f>
        <v>-638785.62</v>
      </c>
      <c r="P38" s="260">
        <f>-(23520+28160+192281+20000)*1.21</f>
        <v>-319392.81</v>
      </c>
      <c r="Q38" s="260">
        <f>-Businessplan_prodej!$F$78/10*1.21</f>
        <v>-91620.564750000005</v>
      </c>
      <c r="R38" s="260">
        <f>-Businessplan_prodej!$F$78/10*1.21</f>
        <v>-91620.564750000005</v>
      </c>
      <c r="S38" s="260">
        <f>-Businessplan_prodej!$F$78/10*1.21</f>
        <v>-91620.564750000005</v>
      </c>
      <c r="T38" s="260">
        <f>-Businessplan_prodej!$F$78/10*1.21</f>
        <v>-91620.564750000005</v>
      </c>
      <c r="U38" s="260">
        <f>-Businessplan_prodej!$F$78/10*1.21</f>
        <v>-91620.564750000005</v>
      </c>
      <c r="V38" s="260">
        <f>-Businessplan_prodej!$F$78/10*1.21</f>
        <v>-91620.564750000005</v>
      </c>
      <c r="W38" s="260">
        <f>-Businessplan_prodej!$F$78/10*1.21</f>
        <v>-91620.564750000005</v>
      </c>
      <c r="X38" s="260">
        <f>-Businessplan_prodej!$F$78/10*1.21</f>
        <v>-91620.564750000005</v>
      </c>
      <c r="Y38" s="260">
        <f>-Businessplan_prodej!$F$78/10*1.21</f>
        <v>-91620.564750000005</v>
      </c>
      <c r="Z38" s="260">
        <f>-Businessplan_prodej!$F$78/10*1.21</f>
        <v>-91620.564750000005</v>
      </c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71"/>
      <c r="BY38" s="265">
        <f t="shared" ref="BY38:BY48" si="17">SUM(E38:BX38)</f>
        <v>-4213308.3174999999</v>
      </c>
      <c r="BZ38" s="771"/>
      <c r="CA38" s="226"/>
      <c r="CB38" s="252"/>
      <c r="CC38" s="771"/>
    </row>
    <row r="39" spans="1:81" ht="16" outlineLevel="1">
      <c r="A39" s="603"/>
      <c r="B39" s="787"/>
      <c r="C39" s="267" t="s">
        <v>217</v>
      </c>
      <c r="D39" s="254" t="s">
        <v>270</v>
      </c>
      <c r="E39" s="259"/>
      <c r="F39" s="259"/>
      <c r="G39" s="259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>
        <f>-100000*1.21</f>
        <v>-121000</v>
      </c>
      <c r="S39" s="260">
        <f>-Businessplan_prodej!$F$82/8*1.21</f>
        <v>-139119.75</v>
      </c>
      <c r="T39" s="260">
        <f>-Businessplan_prodej!$F$82/8*1.21</f>
        <v>-139119.75</v>
      </c>
      <c r="U39" s="260">
        <f>-Businessplan_prodej!$F$82/8*1.21</f>
        <v>-139119.75</v>
      </c>
      <c r="V39" s="260">
        <f>-Businessplan_prodej!$F$82/8*1.21</f>
        <v>-139119.75</v>
      </c>
      <c r="W39" s="260">
        <f>-Businessplan_prodej!$F$82/8*1.21</f>
        <v>-139119.75</v>
      </c>
      <c r="X39" s="260">
        <f>-Businessplan_prodej!$F$82/8*1.21</f>
        <v>-139119.75</v>
      </c>
      <c r="Y39" s="260">
        <f>-Businessplan_prodej!$F$82/8*1.21</f>
        <v>-139119.75</v>
      </c>
      <c r="Z39" s="260">
        <f>-Businessplan_prodej!$F$82/8*1.21</f>
        <v>-139119.75</v>
      </c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66">
        <f t="shared" si="17"/>
        <v>-1233958</v>
      </c>
      <c r="BZ39" s="771"/>
      <c r="CA39" s="226"/>
      <c r="CB39" s="252"/>
      <c r="CC39" s="771"/>
    </row>
    <row r="40" spans="1:81" ht="16" outlineLevel="1">
      <c r="A40" s="603"/>
      <c r="B40" s="787"/>
      <c r="C40" s="267" t="s">
        <v>218</v>
      </c>
      <c r="D40" s="254" t="s">
        <v>270</v>
      </c>
      <c r="E40" s="259"/>
      <c r="F40" s="259"/>
      <c r="G40" s="259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72"/>
      <c r="T40" s="260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66">
        <f t="shared" si="17"/>
        <v>0</v>
      </c>
      <c r="BZ40" s="771"/>
      <c r="CA40" s="226"/>
      <c r="CB40" s="252"/>
      <c r="CC40" s="771"/>
    </row>
    <row r="41" spans="1:81" ht="16" outlineLevel="1">
      <c r="A41" s="603"/>
      <c r="B41" s="787"/>
      <c r="C41" s="267" t="s">
        <v>222</v>
      </c>
      <c r="D41" s="254" t="s">
        <v>270</v>
      </c>
      <c r="E41" s="259"/>
      <c r="F41" s="259"/>
      <c r="G41" s="259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72">
        <f>-Businessplan_prodej!$F$87/9*1.21</f>
        <v>0</v>
      </c>
      <c r="S41" s="272">
        <f>-Businessplan_prodej!$F$87/9*1.21</f>
        <v>0</v>
      </c>
      <c r="T41" s="272">
        <f>-Businessplan_prodej!$F$87/9*1.21</f>
        <v>0</v>
      </c>
      <c r="U41" s="272">
        <f>-Businessplan_prodej!$F$87/9*1.21</f>
        <v>0</v>
      </c>
      <c r="V41" s="272">
        <f>-Businessplan_prodej!$F$87/9*1.21</f>
        <v>0</v>
      </c>
      <c r="W41" s="272">
        <f>-Businessplan_prodej!$F$87/9*1.21</f>
        <v>0</v>
      </c>
      <c r="X41" s="272">
        <f>-Businessplan_prodej!$F$87/9*1.21</f>
        <v>0</v>
      </c>
      <c r="Y41" s="272">
        <f>-Businessplan_prodej!$F$87/9*1.21</f>
        <v>0</v>
      </c>
      <c r="Z41" s="272">
        <f>-Businessplan_prodej!$F$87/9*1.21</f>
        <v>0</v>
      </c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66">
        <f t="shared" si="17"/>
        <v>0</v>
      </c>
      <c r="BZ41" s="771"/>
      <c r="CA41" s="226"/>
      <c r="CB41" s="252"/>
      <c r="CC41" s="771"/>
    </row>
    <row r="42" spans="1:81" ht="16" outlineLevel="1">
      <c r="A42" s="603"/>
      <c r="B42" s="787"/>
      <c r="C42" s="253" t="s">
        <v>223</v>
      </c>
      <c r="D42" s="273" t="s">
        <v>270</v>
      </c>
      <c r="E42" s="274"/>
      <c r="F42" s="275"/>
      <c r="G42" s="275"/>
      <c r="H42" s="275">
        <f t="shared" ref="H42:AA42" si="18">SUM(H43:H44)</f>
        <v>-36364</v>
      </c>
      <c r="I42" s="275">
        <f t="shared" si="18"/>
        <v>-8194</v>
      </c>
      <c r="J42" s="275">
        <f t="shared" si="18"/>
        <v>-27000</v>
      </c>
      <c r="K42" s="275">
        <f t="shared" si="18"/>
        <v>-7113</v>
      </c>
      <c r="L42" s="275">
        <f t="shared" si="18"/>
        <v>-5262</v>
      </c>
      <c r="M42" s="275">
        <f t="shared" si="18"/>
        <v>-3613</v>
      </c>
      <c r="N42" s="275">
        <f t="shared" si="18"/>
        <v>-3999</v>
      </c>
      <c r="O42" s="275">
        <f t="shared" si="18"/>
        <v>-6441</v>
      </c>
      <c r="P42" s="275">
        <f t="shared" si="18"/>
        <v>-5000</v>
      </c>
      <c r="Q42" s="275">
        <f t="shared" si="18"/>
        <v>-85000</v>
      </c>
      <c r="R42" s="275">
        <f t="shared" si="18"/>
        <v>-85000</v>
      </c>
      <c r="S42" s="275">
        <f t="shared" si="18"/>
        <v>-10000</v>
      </c>
      <c r="T42" s="275">
        <f t="shared" si="18"/>
        <v>-10000</v>
      </c>
      <c r="U42" s="275">
        <f t="shared" si="18"/>
        <v>-10000</v>
      </c>
      <c r="V42" s="275">
        <f t="shared" si="18"/>
        <v>-10000</v>
      </c>
      <c r="W42" s="275">
        <f t="shared" si="18"/>
        <v>-10000</v>
      </c>
      <c r="X42" s="275">
        <f t="shared" si="18"/>
        <v>-10000</v>
      </c>
      <c r="Y42" s="275">
        <f t="shared" si="18"/>
        <v>-10000</v>
      </c>
      <c r="Z42" s="275">
        <f t="shared" si="18"/>
        <v>-110000</v>
      </c>
      <c r="AA42" s="275">
        <f t="shared" si="18"/>
        <v>-10000</v>
      </c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6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64"/>
      <c r="BY42" s="266">
        <f t="shared" si="17"/>
        <v>-462986</v>
      </c>
      <c r="BZ42" s="771"/>
      <c r="CA42" s="226"/>
      <c r="CB42" s="252"/>
      <c r="CC42" s="771"/>
    </row>
    <row r="43" spans="1:81" ht="16" outlineLevel="2">
      <c r="A43" s="603"/>
      <c r="B43" s="787"/>
      <c r="C43" s="277" t="s">
        <v>290</v>
      </c>
      <c r="D43" s="254" t="s">
        <v>270</v>
      </c>
      <c r="E43" s="255"/>
      <c r="F43" s="255"/>
      <c r="G43" s="255"/>
      <c r="H43" s="278">
        <f>-11364</f>
        <v>-11364</v>
      </c>
      <c r="I43" s="278">
        <f>-8194</f>
        <v>-8194</v>
      </c>
      <c r="J43" s="278"/>
      <c r="K43" s="278">
        <f>-3219-3894</f>
        <v>-7113</v>
      </c>
      <c r="L43" s="278">
        <f>-5262</f>
        <v>-5262</v>
      </c>
      <c r="M43" s="278">
        <f>-3613</f>
        <v>-3613</v>
      </c>
      <c r="N43" s="278">
        <f>-3999</f>
        <v>-3999</v>
      </c>
      <c r="O43" s="278">
        <f>-6441</f>
        <v>-6441</v>
      </c>
      <c r="P43" s="278">
        <f>-5000</f>
        <v>-5000</v>
      </c>
      <c r="Q43" s="278">
        <f>-(Businessplan_prodej!$F$88-3000*25)/11</f>
        <v>-10000</v>
      </c>
      <c r="R43" s="278">
        <f>-(Businessplan_prodej!$F$88-3000*25)/11</f>
        <v>-10000</v>
      </c>
      <c r="S43" s="278">
        <f>-(Businessplan_prodej!$F$88-3000*25)/11</f>
        <v>-10000</v>
      </c>
      <c r="T43" s="278">
        <f>-(Businessplan_prodej!$F$88-3000*25)/11</f>
        <v>-10000</v>
      </c>
      <c r="U43" s="278">
        <f>-(Businessplan_prodej!$F$88-3000*25)/11</f>
        <v>-10000</v>
      </c>
      <c r="V43" s="278">
        <f>-(Businessplan_prodej!$F$88-3000*25)/11</f>
        <v>-10000</v>
      </c>
      <c r="W43" s="278">
        <f>-(Businessplan_prodej!$F$88-3000*25)/11</f>
        <v>-10000</v>
      </c>
      <c r="X43" s="278">
        <f>-(Businessplan_prodej!$F$88-3000*25)/11</f>
        <v>-10000</v>
      </c>
      <c r="Y43" s="278">
        <f>-(Businessplan_prodej!$F$88-3000*25)/11</f>
        <v>-10000</v>
      </c>
      <c r="Z43" s="278">
        <f>-(Businessplan_prodej!$F$88-3000*25)/11</f>
        <v>-10000</v>
      </c>
      <c r="AA43" s="278">
        <f>-(Businessplan_prodej!$F$88-3000*25)/11</f>
        <v>-10000</v>
      </c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66">
        <f t="shared" si="17"/>
        <v>-160986</v>
      </c>
      <c r="BZ43" s="771"/>
      <c r="CA43" s="226"/>
      <c r="CB43" s="252"/>
      <c r="CC43" s="771"/>
    </row>
    <row r="44" spans="1:81" ht="16" outlineLevel="2">
      <c r="A44" s="603"/>
      <c r="B44" s="787"/>
      <c r="C44" s="277" t="s">
        <v>291</v>
      </c>
      <c r="D44" s="254" t="s">
        <v>270</v>
      </c>
      <c r="E44" s="255"/>
      <c r="F44" s="255"/>
      <c r="G44" s="255"/>
      <c r="H44" s="278">
        <f>-25000</f>
        <v>-25000</v>
      </c>
      <c r="I44" s="278"/>
      <c r="J44" s="278">
        <f>-27000</f>
        <v>-27000</v>
      </c>
      <c r="K44" s="278"/>
      <c r="L44" s="278"/>
      <c r="M44" s="278"/>
      <c r="N44" s="278"/>
      <c r="O44" s="278"/>
      <c r="P44" s="278"/>
      <c r="Q44" s="278">
        <f t="shared" ref="Q44:R44" si="19">-3000*25</f>
        <v>-75000</v>
      </c>
      <c r="R44" s="278">
        <f t="shared" si="19"/>
        <v>-75000</v>
      </c>
      <c r="S44" s="278"/>
      <c r="T44" s="278"/>
      <c r="U44" s="278"/>
      <c r="V44" s="278"/>
      <c r="W44" s="278"/>
      <c r="X44" s="278"/>
      <c r="Y44" s="278"/>
      <c r="Z44" s="278">
        <f>-50000*2</f>
        <v>-100000</v>
      </c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278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66">
        <f t="shared" si="17"/>
        <v>-302000</v>
      </c>
      <c r="BZ44" s="771"/>
      <c r="CA44" s="226"/>
      <c r="CB44" s="252"/>
      <c r="CC44" s="771"/>
    </row>
    <row r="45" spans="1:81" ht="16" outlineLevel="1">
      <c r="A45" s="603"/>
      <c r="B45" s="787"/>
      <c r="C45" s="253" t="s">
        <v>224</v>
      </c>
      <c r="D45" s="254" t="s">
        <v>270</v>
      </c>
      <c r="E45" s="255"/>
      <c r="F45" s="255"/>
      <c r="G45" s="255"/>
      <c r="H45" s="256">
        <f>-1000</f>
        <v>-1000</v>
      </c>
      <c r="I45" s="256"/>
      <c r="J45" s="256">
        <f>-100</f>
        <v>-100</v>
      </c>
      <c r="K45" s="256">
        <f>-7230</f>
        <v>-7230</v>
      </c>
      <c r="L45" s="256">
        <f>-1000-6742</f>
        <v>-7742</v>
      </c>
      <c r="M45" s="256">
        <f>-2000-20570-2000</f>
        <v>-24570</v>
      </c>
      <c r="N45" s="256">
        <f>-19360-1980</f>
        <v>-21340</v>
      </c>
      <c r="O45" s="256">
        <f>-7865-7000-19360-21780-43021</f>
        <v>-99026</v>
      </c>
      <c r="P45" s="256">
        <f>-Businessplan_prodej!$F$68/12*1.21</f>
        <v>-19052.833333333336</v>
      </c>
      <c r="Q45" s="256">
        <f t="shared" ref="Q45:R45" si="20">-3500*1.21</f>
        <v>-4235</v>
      </c>
      <c r="R45" s="256">
        <f t="shared" si="20"/>
        <v>-4235</v>
      </c>
      <c r="S45" s="256">
        <f t="shared" ref="S45:Z45" si="21">-3500*1.21-19360</f>
        <v>-23595</v>
      </c>
      <c r="T45" s="256">
        <f t="shared" si="21"/>
        <v>-23595</v>
      </c>
      <c r="U45" s="256">
        <f t="shared" si="21"/>
        <v>-23595</v>
      </c>
      <c r="V45" s="256">
        <f t="shared" si="21"/>
        <v>-23595</v>
      </c>
      <c r="W45" s="256">
        <f t="shared" si="21"/>
        <v>-23595</v>
      </c>
      <c r="X45" s="256">
        <f t="shared" si="21"/>
        <v>-23595</v>
      </c>
      <c r="Y45" s="256">
        <f t="shared" si="21"/>
        <v>-23595</v>
      </c>
      <c r="Z45" s="256">
        <f t="shared" si="21"/>
        <v>-23595</v>
      </c>
      <c r="AA45" s="256">
        <f>-3500*1.21</f>
        <v>-4235</v>
      </c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66">
        <f t="shared" si="17"/>
        <v>-381525.83333333337</v>
      </c>
      <c r="BZ45" s="771"/>
      <c r="CA45" s="226"/>
      <c r="CB45" s="252"/>
      <c r="CC45" s="771"/>
    </row>
    <row r="46" spans="1:81" ht="14.25" customHeight="1" outlineLevel="1">
      <c r="A46" s="603"/>
      <c r="B46" s="787"/>
      <c r="C46" s="253" t="s">
        <v>225</v>
      </c>
      <c r="D46" s="254" t="s">
        <v>270</v>
      </c>
      <c r="E46" s="255"/>
      <c r="F46" s="255"/>
      <c r="G46" s="255"/>
      <c r="H46" s="256">
        <f>-10188.2-65673</f>
        <v>-75861.2</v>
      </c>
      <c r="I46" s="256">
        <f>-6776</f>
        <v>-6776</v>
      </c>
      <c r="J46" s="256"/>
      <c r="K46" s="256">
        <f>-4900.5</f>
        <v>-4900.5</v>
      </c>
      <c r="L46" s="256"/>
      <c r="M46" s="256"/>
      <c r="N46" s="256"/>
      <c r="O46" s="256"/>
      <c r="P46" s="256"/>
      <c r="Q46" s="256">
        <f>-Businessplan_prodej!$F$69*0.3*1.21-$K$46</f>
        <v>-30435.809999999998</v>
      </c>
      <c r="R46" s="256">
        <f>-Businessplan_prodej!$F$69*0.2*1.21</f>
        <v>-23557.54</v>
      </c>
      <c r="S46" s="256"/>
      <c r="T46" s="256">
        <f>-Businessplan_prodej!$F$69*0.25*1.21</f>
        <v>-29446.924999999999</v>
      </c>
      <c r="U46" s="255"/>
      <c r="V46" s="255"/>
      <c r="W46" s="255"/>
      <c r="X46" s="255"/>
      <c r="Y46" s="255"/>
      <c r="Z46" s="256">
        <f>-Businessplan_prodej!$F$69*0.25*1.21</f>
        <v>-29446.924999999999</v>
      </c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66">
        <f t="shared" si="17"/>
        <v>-200424.89999999997</v>
      </c>
      <c r="BZ46" s="771"/>
      <c r="CA46" s="226"/>
      <c r="CB46" s="252"/>
      <c r="CC46" s="771"/>
    </row>
    <row r="47" spans="1:81" ht="14.25" customHeight="1" outlineLevel="1">
      <c r="A47" s="603"/>
      <c r="B47" s="787"/>
      <c r="C47" s="253" t="s">
        <v>226</v>
      </c>
      <c r="D47" s="254" t="s">
        <v>270</v>
      </c>
      <c r="E47" s="255"/>
      <c r="F47" s="255"/>
      <c r="G47" s="255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>
        <f>-Businessplan_prodej!$F$91*0.2*1.21</f>
        <v>0</v>
      </c>
      <c r="T47" s="256"/>
      <c r="U47" s="255"/>
      <c r="V47" s="255"/>
      <c r="W47" s="256">
        <f>-Businessplan_prodej!$F$91*0.3*1.21</f>
        <v>0</v>
      </c>
      <c r="X47" s="255"/>
      <c r="Y47" s="256">
        <f>-Businessplan_prodej!$F$91*0.5*1.21</f>
        <v>0</v>
      </c>
      <c r="Z47" s="256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5"/>
      <c r="BS47" s="255"/>
      <c r="BT47" s="255"/>
      <c r="BU47" s="255"/>
      <c r="BV47" s="255"/>
      <c r="BW47" s="255"/>
      <c r="BX47" s="264"/>
      <c r="BY47" s="266">
        <f t="shared" si="17"/>
        <v>0</v>
      </c>
      <c r="BZ47" s="771"/>
      <c r="CA47" s="226"/>
      <c r="CB47" s="252"/>
      <c r="CC47" s="771"/>
    </row>
    <row r="48" spans="1:81" ht="14.25" customHeight="1" outlineLevel="1">
      <c r="A48" s="603"/>
      <c r="B48" s="787"/>
      <c r="C48" s="253" t="s">
        <v>227</v>
      </c>
      <c r="D48" s="258" t="s">
        <v>270</v>
      </c>
      <c r="E48" s="255"/>
      <c r="F48" s="255"/>
      <c r="G48" s="255"/>
      <c r="H48" s="256"/>
      <c r="I48" s="256"/>
      <c r="J48" s="256"/>
      <c r="K48" s="256">
        <f>-((17529*2*25.2+44407*2)*1.21)*75%</f>
        <v>-882340.10700000008</v>
      </c>
      <c r="L48" s="256"/>
      <c r="M48" s="256"/>
      <c r="N48" s="256"/>
      <c r="O48" s="256"/>
      <c r="P48" s="256"/>
      <c r="Q48" s="256"/>
      <c r="R48" s="256">
        <f>-((17529*2*25.2+44407*2)*1.21)*25%</f>
        <v>-294113.36900000001</v>
      </c>
      <c r="S48" s="256">
        <f>-Businessplan_prodej!$F$92*0.5*1.21</f>
        <v>-458110.34541249991</v>
      </c>
      <c r="T48" s="256"/>
      <c r="U48" s="255"/>
      <c r="V48" s="255"/>
      <c r="W48" s="255"/>
      <c r="X48" s="255"/>
      <c r="Y48" s="255"/>
      <c r="Z48" s="256">
        <f>-Businessplan_prodej!$F$92*0.5*1.21</f>
        <v>-458110.34541249991</v>
      </c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66">
        <f t="shared" si="17"/>
        <v>-2092674.166825</v>
      </c>
      <c r="BZ48" s="771"/>
      <c r="CA48" s="226"/>
      <c r="CB48" s="252"/>
      <c r="CC48" s="771"/>
    </row>
    <row r="49" spans="1:87" ht="16" collapsed="1">
      <c r="A49" s="603"/>
      <c r="B49" s="787"/>
      <c r="C49" s="248" t="s">
        <v>292</v>
      </c>
      <c r="D49" s="249"/>
      <c r="E49" s="250">
        <f t="shared" ref="E49:BX49" si="22">SUM(E50:E54)</f>
        <v>0</v>
      </c>
      <c r="F49" s="250">
        <f t="shared" si="22"/>
        <v>0</v>
      </c>
      <c r="G49" s="250">
        <f t="shared" si="22"/>
        <v>0</v>
      </c>
      <c r="H49" s="250">
        <f t="shared" si="22"/>
        <v>-1442.155</v>
      </c>
      <c r="I49" s="250">
        <f t="shared" si="22"/>
        <v>-4792.1949999999997</v>
      </c>
      <c r="J49" s="250">
        <f t="shared" si="22"/>
        <v>-1444.855</v>
      </c>
      <c r="K49" s="250">
        <f t="shared" si="22"/>
        <v>-1290.27</v>
      </c>
      <c r="L49" s="250">
        <f t="shared" si="22"/>
        <v>-1842.35</v>
      </c>
      <c r="M49" s="250">
        <f t="shared" si="22"/>
        <v>-1088.2900000000002</v>
      </c>
      <c r="N49" s="250">
        <f t="shared" si="22"/>
        <v>-1844.5900000000001</v>
      </c>
      <c r="O49" s="250">
        <f t="shared" si="22"/>
        <v>-3360</v>
      </c>
      <c r="P49" s="250">
        <f t="shared" si="22"/>
        <v>-1290.27</v>
      </c>
      <c r="Q49" s="250">
        <f t="shared" si="22"/>
        <v>-1290.27</v>
      </c>
      <c r="R49" s="250">
        <f t="shared" si="22"/>
        <v>-1290.27</v>
      </c>
      <c r="S49" s="250">
        <f t="shared" si="22"/>
        <v>-1290.27</v>
      </c>
      <c r="T49" s="250">
        <f t="shared" si="22"/>
        <v>-1290.27</v>
      </c>
      <c r="U49" s="250">
        <f t="shared" si="22"/>
        <v>-1290.27</v>
      </c>
      <c r="V49" s="250">
        <f t="shared" si="22"/>
        <v>-1290.27</v>
      </c>
      <c r="W49" s="250">
        <f t="shared" si="22"/>
        <v>-1290.27</v>
      </c>
      <c r="X49" s="250">
        <f t="shared" si="22"/>
        <v>-1290.27</v>
      </c>
      <c r="Y49" s="250">
        <f t="shared" si="22"/>
        <v>-1290.27</v>
      </c>
      <c r="Z49" s="250">
        <f t="shared" si="22"/>
        <v>-1290.27</v>
      </c>
      <c r="AA49" s="250">
        <f t="shared" si="22"/>
        <v>-1290.27</v>
      </c>
      <c r="AB49" s="250">
        <f t="shared" si="22"/>
        <v>0</v>
      </c>
      <c r="AC49" s="250">
        <f t="shared" si="22"/>
        <v>0</v>
      </c>
      <c r="AD49" s="250">
        <f t="shared" si="22"/>
        <v>0</v>
      </c>
      <c r="AE49" s="250">
        <f t="shared" si="22"/>
        <v>0</v>
      </c>
      <c r="AF49" s="250">
        <f t="shared" si="22"/>
        <v>0</v>
      </c>
      <c r="AG49" s="250">
        <f t="shared" si="22"/>
        <v>0</v>
      </c>
      <c r="AH49" s="250">
        <f t="shared" si="22"/>
        <v>0</v>
      </c>
      <c r="AI49" s="250">
        <f t="shared" si="22"/>
        <v>0</v>
      </c>
      <c r="AJ49" s="250">
        <f t="shared" si="22"/>
        <v>0</v>
      </c>
      <c r="AK49" s="250">
        <f t="shared" si="22"/>
        <v>0</v>
      </c>
      <c r="AL49" s="250">
        <f t="shared" si="22"/>
        <v>0</v>
      </c>
      <c r="AM49" s="250">
        <f t="shared" si="22"/>
        <v>0</v>
      </c>
      <c r="AN49" s="250">
        <f t="shared" si="22"/>
        <v>0</v>
      </c>
      <c r="AO49" s="250">
        <f t="shared" si="22"/>
        <v>0</v>
      </c>
      <c r="AP49" s="250">
        <f t="shared" si="22"/>
        <v>0</v>
      </c>
      <c r="AQ49" s="250">
        <f t="shared" si="22"/>
        <v>0</v>
      </c>
      <c r="AR49" s="250">
        <f t="shared" si="22"/>
        <v>0</v>
      </c>
      <c r="AS49" s="250">
        <f t="shared" si="22"/>
        <v>0</v>
      </c>
      <c r="AT49" s="250">
        <f t="shared" si="22"/>
        <v>0</v>
      </c>
      <c r="AU49" s="250">
        <f t="shared" si="22"/>
        <v>0</v>
      </c>
      <c r="AV49" s="250">
        <f t="shared" si="22"/>
        <v>0</v>
      </c>
      <c r="AW49" s="250">
        <f t="shared" si="22"/>
        <v>0</v>
      </c>
      <c r="AX49" s="250">
        <f t="shared" si="22"/>
        <v>0</v>
      </c>
      <c r="AY49" s="250">
        <f t="shared" si="22"/>
        <v>0</v>
      </c>
      <c r="AZ49" s="250">
        <f t="shared" si="22"/>
        <v>0</v>
      </c>
      <c r="BA49" s="250">
        <f t="shared" si="22"/>
        <v>0</v>
      </c>
      <c r="BB49" s="250">
        <f t="shared" si="22"/>
        <v>0</v>
      </c>
      <c r="BC49" s="250">
        <f t="shared" si="22"/>
        <v>0</v>
      </c>
      <c r="BD49" s="250">
        <f t="shared" si="22"/>
        <v>0</v>
      </c>
      <c r="BE49" s="250">
        <f t="shared" si="22"/>
        <v>0</v>
      </c>
      <c r="BF49" s="250">
        <f t="shared" si="22"/>
        <v>0</v>
      </c>
      <c r="BG49" s="250">
        <f t="shared" si="22"/>
        <v>0</v>
      </c>
      <c r="BH49" s="250">
        <f t="shared" si="22"/>
        <v>0</v>
      </c>
      <c r="BI49" s="250">
        <f t="shared" si="22"/>
        <v>0</v>
      </c>
      <c r="BJ49" s="250">
        <f t="shared" si="22"/>
        <v>0</v>
      </c>
      <c r="BK49" s="250">
        <f t="shared" si="22"/>
        <v>0</v>
      </c>
      <c r="BL49" s="250">
        <f t="shared" si="22"/>
        <v>0</v>
      </c>
      <c r="BM49" s="250">
        <f t="shared" si="22"/>
        <v>0</v>
      </c>
      <c r="BN49" s="250">
        <f t="shared" si="22"/>
        <v>0</v>
      </c>
      <c r="BO49" s="250">
        <f t="shared" si="22"/>
        <v>0</v>
      </c>
      <c r="BP49" s="250">
        <f t="shared" si="22"/>
        <v>0</v>
      </c>
      <c r="BQ49" s="250">
        <f t="shared" si="22"/>
        <v>0</v>
      </c>
      <c r="BR49" s="250">
        <f t="shared" si="22"/>
        <v>0</v>
      </c>
      <c r="BS49" s="250">
        <f t="shared" si="22"/>
        <v>0</v>
      </c>
      <c r="BT49" s="250">
        <f t="shared" si="22"/>
        <v>0</v>
      </c>
      <c r="BU49" s="250">
        <f t="shared" si="22"/>
        <v>0</v>
      </c>
      <c r="BV49" s="250">
        <f t="shared" si="22"/>
        <v>0</v>
      </c>
      <c r="BW49" s="250">
        <f t="shared" si="22"/>
        <v>0</v>
      </c>
      <c r="BX49" s="250">
        <f t="shared" si="22"/>
        <v>0</v>
      </c>
      <c r="BY49" s="252">
        <f>SUM(BY50:BY54)</f>
        <v>-32587.945000000007</v>
      </c>
      <c r="BZ49" s="771"/>
      <c r="CA49" s="226"/>
      <c r="CB49" s="252"/>
      <c r="CC49" s="771"/>
      <c r="CD49" s="226"/>
      <c r="CE49" s="226"/>
      <c r="CF49" s="226"/>
      <c r="CG49" s="226"/>
      <c r="CH49" s="226"/>
      <c r="CI49" s="226"/>
    </row>
    <row r="50" spans="1:87" ht="16" hidden="1" outlineLevel="1">
      <c r="A50" s="603"/>
      <c r="B50" s="787"/>
      <c r="C50" s="253" t="s">
        <v>229</v>
      </c>
      <c r="D50" s="254" t="s">
        <v>270</v>
      </c>
      <c r="E50" s="255"/>
      <c r="F50" s="255"/>
      <c r="G50" s="255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64"/>
      <c r="BY50" s="265">
        <f t="shared" ref="BY50:BY54" si="23">SUM(E50:BX50)</f>
        <v>0</v>
      </c>
      <c r="BZ50" s="771"/>
      <c r="CA50" s="226"/>
      <c r="CB50" s="252"/>
      <c r="CC50" s="771"/>
      <c r="CD50" s="226"/>
      <c r="CE50" s="226"/>
      <c r="CF50" s="226"/>
      <c r="CG50" s="226"/>
      <c r="CH50" s="226"/>
      <c r="CI50" s="226"/>
    </row>
    <row r="51" spans="1:87" ht="16" hidden="1" outlineLevel="1">
      <c r="A51" s="603"/>
      <c r="B51" s="787"/>
      <c r="C51" s="253" t="s">
        <v>293</v>
      </c>
      <c r="D51" s="254" t="s">
        <v>270</v>
      </c>
      <c r="E51" s="255"/>
      <c r="F51" s="255"/>
      <c r="G51" s="255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65">
        <f t="shared" si="23"/>
        <v>0</v>
      </c>
      <c r="BZ51" s="771"/>
      <c r="CA51" s="226"/>
      <c r="CB51" s="252"/>
      <c r="CC51" s="771"/>
      <c r="CD51" s="226"/>
      <c r="CE51" s="226"/>
      <c r="CF51" s="226"/>
      <c r="CG51" s="226"/>
      <c r="CH51" s="226"/>
      <c r="CI51" s="226"/>
    </row>
    <row r="52" spans="1:87" ht="16" hidden="1" outlineLevel="1">
      <c r="A52" s="603"/>
      <c r="B52" s="787"/>
      <c r="C52" s="253" t="s">
        <v>294</v>
      </c>
      <c r="D52" s="254" t="s">
        <v>270</v>
      </c>
      <c r="E52" s="255"/>
      <c r="F52" s="255"/>
      <c r="G52" s="255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65">
        <f t="shared" si="23"/>
        <v>0</v>
      </c>
      <c r="BZ52" s="771"/>
      <c r="CA52" s="226"/>
      <c r="CB52" s="252"/>
      <c r="CC52" s="771"/>
      <c r="CD52" s="226"/>
      <c r="CE52" s="226"/>
      <c r="CF52" s="226"/>
      <c r="CG52" s="226"/>
      <c r="CH52" s="226"/>
      <c r="CI52" s="226"/>
    </row>
    <row r="53" spans="1:87" ht="16" hidden="1" outlineLevel="1">
      <c r="A53" s="603"/>
      <c r="B53" s="787"/>
      <c r="C53" s="253" t="s">
        <v>236</v>
      </c>
      <c r="D53" s="254" t="s">
        <v>270</v>
      </c>
      <c r="E53" s="255"/>
      <c r="F53" s="255"/>
      <c r="G53" s="255"/>
      <c r="H53" s="256">
        <f>-3-12-5-200-2-12-400-36-(0.02+0.09+0.21+17.06)*22-15.91*24.5</f>
        <v>-1442.155</v>
      </c>
      <c r="I53" s="256">
        <f>-6-5-200-12-400-24-2-16.19*24.5-17.57*22</f>
        <v>-1432.1949999999999</v>
      </c>
      <c r="J53" s="256">
        <f>-3-32-5-6-200-15-400-2-(0.01+0.08+15.98+0.2)*24.5-(0.02+0.09+0.21+17.1)*22</f>
        <v>-1444.855</v>
      </c>
      <c r="K53" s="256">
        <f>-20-12-3-200-2-400-10-2-10.9*24.5-17.01*22</f>
        <v>-1290.27</v>
      </c>
      <c r="L53" s="256">
        <f>-12-4-6-200-15-400-24-400-15.98*24.5-17.72*22</f>
        <v>-1842.35</v>
      </c>
      <c r="M53" s="256">
        <f>-40-200-15-2-12-400-10-2-400.11-(0.01+0.08+0.2+15.89)*25-(0.03-0.09-17.78-0.22)*22</f>
        <v>-1088.2900000000002</v>
      </c>
      <c r="N53" s="256">
        <f>-9-9-5-200-400-24-3-399.88-15.79*25-18.18*22</f>
        <v>-1844.5900000000001</v>
      </c>
      <c r="O53" s="256"/>
      <c r="P53" s="256">
        <f t="shared" ref="P53:AA53" si="24">-20-12-3-200-2-400-10-2-10.9*24.5-17.01*22</f>
        <v>-1290.27</v>
      </c>
      <c r="Q53" s="256">
        <f t="shared" si="24"/>
        <v>-1290.27</v>
      </c>
      <c r="R53" s="256">
        <f t="shared" si="24"/>
        <v>-1290.27</v>
      </c>
      <c r="S53" s="256">
        <f t="shared" si="24"/>
        <v>-1290.27</v>
      </c>
      <c r="T53" s="256">
        <f t="shared" si="24"/>
        <v>-1290.27</v>
      </c>
      <c r="U53" s="256">
        <f t="shared" si="24"/>
        <v>-1290.27</v>
      </c>
      <c r="V53" s="256">
        <f t="shared" si="24"/>
        <v>-1290.27</v>
      </c>
      <c r="W53" s="256">
        <f t="shared" si="24"/>
        <v>-1290.27</v>
      </c>
      <c r="X53" s="256">
        <f t="shared" si="24"/>
        <v>-1290.27</v>
      </c>
      <c r="Y53" s="256">
        <f t="shared" si="24"/>
        <v>-1290.27</v>
      </c>
      <c r="Z53" s="256">
        <f t="shared" si="24"/>
        <v>-1290.27</v>
      </c>
      <c r="AA53" s="256">
        <f t="shared" si="24"/>
        <v>-1290.27</v>
      </c>
      <c r="AB53" s="255"/>
      <c r="AC53" s="255"/>
      <c r="AD53" s="255"/>
      <c r="AE53" s="255"/>
      <c r="AF53" s="255"/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  <c r="AT53" s="255"/>
      <c r="AU53" s="255"/>
      <c r="AV53" s="255"/>
      <c r="AW53" s="255"/>
      <c r="AX53" s="255"/>
      <c r="AY53" s="255"/>
      <c r="AZ53" s="255"/>
      <c r="BA53" s="255"/>
      <c r="BB53" s="255"/>
      <c r="BC53" s="255"/>
      <c r="BD53" s="255"/>
      <c r="BE53" s="255"/>
      <c r="BF53" s="255"/>
      <c r="BG53" s="255"/>
      <c r="BH53" s="255"/>
      <c r="BI53" s="255"/>
      <c r="BJ53" s="255"/>
      <c r="BK53" s="255"/>
      <c r="BL53" s="255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64"/>
      <c r="BY53" s="266">
        <f t="shared" si="23"/>
        <v>-25867.945000000007</v>
      </c>
      <c r="BZ53" s="771"/>
      <c r="CA53" s="226"/>
      <c r="CB53" s="252"/>
      <c r="CC53" s="771"/>
      <c r="CD53" s="226"/>
      <c r="CE53" s="226"/>
      <c r="CF53" s="226"/>
      <c r="CG53" s="226"/>
      <c r="CH53" s="226"/>
      <c r="CI53" s="226"/>
    </row>
    <row r="54" spans="1:87" ht="16" hidden="1" outlineLevel="1">
      <c r="A54" s="603"/>
      <c r="B54" s="787"/>
      <c r="C54" s="253" t="s">
        <v>237</v>
      </c>
      <c r="D54" s="258" t="s">
        <v>270</v>
      </c>
      <c r="E54" s="259"/>
      <c r="F54" s="259"/>
      <c r="G54" s="255"/>
      <c r="H54" s="256"/>
      <c r="I54" s="256">
        <f>-3360</f>
        <v>-3360</v>
      </c>
      <c r="J54" s="256"/>
      <c r="K54" s="256"/>
      <c r="L54" s="256"/>
      <c r="M54" s="256"/>
      <c r="N54" s="256"/>
      <c r="O54" s="256">
        <f>-3360</f>
        <v>-3360</v>
      </c>
      <c r="P54" s="256"/>
      <c r="Q54" s="256"/>
      <c r="R54" s="256"/>
      <c r="S54" s="256"/>
      <c r="T54" s="256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55"/>
      <c r="BN54" s="255"/>
      <c r="BO54" s="255"/>
      <c r="BP54" s="255"/>
      <c r="BQ54" s="255"/>
      <c r="BR54" s="255"/>
      <c r="BS54" s="255"/>
      <c r="BT54" s="255"/>
      <c r="BU54" s="255"/>
      <c r="BV54" s="255"/>
      <c r="BW54" s="255"/>
      <c r="BX54" s="264"/>
      <c r="BY54" s="268">
        <f t="shared" si="23"/>
        <v>-6720</v>
      </c>
      <c r="BZ54" s="771"/>
      <c r="CA54" s="226"/>
      <c r="CB54" s="252"/>
      <c r="CC54" s="771"/>
      <c r="CD54" s="226"/>
      <c r="CE54" s="226"/>
      <c r="CF54" s="226"/>
      <c r="CG54" s="226"/>
      <c r="CH54" s="226"/>
      <c r="CI54" s="226"/>
    </row>
    <row r="55" spans="1:87" ht="16">
      <c r="A55" s="603"/>
      <c r="B55" s="787"/>
      <c r="C55" s="248" t="s">
        <v>295</v>
      </c>
      <c r="D55" s="249"/>
      <c r="E55" s="250">
        <f t="shared" ref="E55:BX55" si="25">SUM(E56:E62)</f>
        <v>0</v>
      </c>
      <c r="F55" s="250">
        <f t="shared" si="25"/>
        <v>0</v>
      </c>
      <c r="G55" s="250">
        <f t="shared" si="25"/>
        <v>0</v>
      </c>
      <c r="H55" s="250">
        <f t="shared" si="25"/>
        <v>0</v>
      </c>
      <c r="I55" s="250">
        <f t="shared" si="25"/>
        <v>0</v>
      </c>
      <c r="J55" s="250">
        <f t="shared" si="25"/>
        <v>0</v>
      </c>
      <c r="K55" s="250">
        <f t="shared" si="25"/>
        <v>0</v>
      </c>
      <c r="L55" s="250">
        <f t="shared" si="25"/>
        <v>0</v>
      </c>
      <c r="M55" s="250">
        <f t="shared" si="25"/>
        <v>-48944.520000000004</v>
      </c>
      <c r="N55" s="250">
        <f t="shared" si="25"/>
        <v>-123582.04</v>
      </c>
      <c r="O55" s="250">
        <f t="shared" si="25"/>
        <v>-10395.44</v>
      </c>
      <c r="P55" s="250">
        <f t="shared" si="25"/>
        <v>-280000.00000000006</v>
      </c>
      <c r="Q55" s="250">
        <f t="shared" si="25"/>
        <v>-300416.6666666668</v>
      </c>
      <c r="R55" s="250">
        <f t="shared" si="25"/>
        <v>-300416.6666666668</v>
      </c>
      <c r="S55" s="250">
        <f t="shared" si="25"/>
        <v>-259583.33333333346</v>
      </c>
      <c r="T55" s="250">
        <f t="shared" si="25"/>
        <v>-259583.33333333346</v>
      </c>
      <c r="U55" s="250">
        <f t="shared" si="25"/>
        <v>-259583.33333333346</v>
      </c>
      <c r="V55" s="250">
        <f t="shared" si="25"/>
        <v>-284471.33333333349</v>
      </c>
      <c r="W55" s="250">
        <f t="shared" si="25"/>
        <v>-309359.33333333349</v>
      </c>
      <c r="X55" s="250">
        <f t="shared" si="25"/>
        <v>-334247.33333333349</v>
      </c>
      <c r="Y55" s="250">
        <f t="shared" si="25"/>
        <v>-359135.33333333349</v>
      </c>
      <c r="Z55" s="250">
        <f t="shared" si="25"/>
        <v>-384023.33333333349</v>
      </c>
      <c r="AA55" s="250">
        <f t="shared" si="25"/>
        <v>-2919935.8333333335</v>
      </c>
      <c r="AB55" s="250">
        <f t="shared" si="25"/>
        <v>0</v>
      </c>
      <c r="AC55" s="250">
        <f t="shared" si="25"/>
        <v>0</v>
      </c>
      <c r="AD55" s="250">
        <f t="shared" si="25"/>
        <v>0</v>
      </c>
      <c r="AE55" s="250">
        <f t="shared" si="25"/>
        <v>0</v>
      </c>
      <c r="AF55" s="250">
        <f t="shared" si="25"/>
        <v>0</v>
      </c>
      <c r="AG55" s="250">
        <f t="shared" si="25"/>
        <v>0</v>
      </c>
      <c r="AH55" s="250">
        <f t="shared" si="25"/>
        <v>0</v>
      </c>
      <c r="AI55" s="250">
        <f t="shared" si="25"/>
        <v>0</v>
      </c>
      <c r="AJ55" s="250">
        <f t="shared" si="25"/>
        <v>0</v>
      </c>
      <c r="AK55" s="250">
        <f t="shared" si="25"/>
        <v>0</v>
      </c>
      <c r="AL55" s="250">
        <f t="shared" si="25"/>
        <v>0</v>
      </c>
      <c r="AM55" s="250">
        <f t="shared" si="25"/>
        <v>0</v>
      </c>
      <c r="AN55" s="250">
        <f t="shared" si="25"/>
        <v>0</v>
      </c>
      <c r="AO55" s="250">
        <f t="shared" si="25"/>
        <v>0</v>
      </c>
      <c r="AP55" s="250">
        <f t="shared" si="25"/>
        <v>0</v>
      </c>
      <c r="AQ55" s="250">
        <f t="shared" si="25"/>
        <v>0</v>
      </c>
      <c r="AR55" s="250">
        <f t="shared" si="25"/>
        <v>0</v>
      </c>
      <c r="AS55" s="250">
        <f t="shared" si="25"/>
        <v>0</v>
      </c>
      <c r="AT55" s="250">
        <f t="shared" si="25"/>
        <v>0</v>
      </c>
      <c r="AU55" s="250">
        <f t="shared" si="25"/>
        <v>0</v>
      </c>
      <c r="AV55" s="250">
        <f t="shared" si="25"/>
        <v>0</v>
      </c>
      <c r="AW55" s="250">
        <f t="shared" si="25"/>
        <v>0</v>
      </c>
      <c r="AX55" s="250">
        <f t="shared" si="25"/>
        <v>0</v>
      </c>
      <c r="AY55" s="250">
        <f t="shared" si="25"/>
        <v>0</v>
      </c>
      <c r="AZ55" s="250">
        <f t="shared" si="25"/>
        <v>0</v>
      </c>
      <c r="BA55" s="250">
        <f t="shared" si="25"/>
        <v>0</v>
      </c>
      <c r="BB55" s="250">
        <f t="shared" si="25"/>
        <v>0</v>
      </c>
      <c r="BC55" s="250">
        <f t="shared" si="25"/>
        <v>0</v>
      </c>
      <c r="BD55" s="250">
        <f t="shared" si="25"/>
        <v>0</v>
      </c>
      <c r="BE55" s="250">
        <f t="shared" si="25"/>
        <v>0</v>
      </c>
      <c r="BF55" s="250">
        <f t="shared" si="25"/>
        <v>0</v>
      </c>
      <c r="BG55" s="250">
        <f t="shared" si="25"/>
        <v>0</v>
      </c>
      <c r="BH55" s="250">
        <f t="shared" si="25"/>
        <v>0</v>
      </c>
      <c r="BI55" s="250">
        <f t="shared" si="25"/>
        <v>0</v>
      </c>
      <c r="BJ55" s="250">
        <f t="shared" si="25"/>
        <v>0</v>
      </c>
      <c r="BK55" s="250">
        <f t="shared" si="25"/>
        <v>0</v>
      </c>
      <c r="BL55" s="250">
        <f t="shared" si="25"/>
        <v>0</v>
      </c>
      <c r="BM55" s="250">
        <f t="shared" si="25"/>
        <v>0</v>
      </c>
      <c r="BN55" s="250">
        <f t="shared" si="25"/>
        <v>0</v>
      </c>
      <c r="BO55" s="250">
        <f t="shared" si="25"/>
        <v>0</v>
      </c>
      <c r="BP55" s="250">
        <f t="shared" si="25"/>
        <v>0</v>
      </c>
      <c r="BQ55" s="250">
        <f t="shared" si="25"/>
        <v>0</v>
      </c>
      <c r="BR55" s="250">
        <f t="shared" si="25"/>
        <v>0</v>
      </c>
      <c r="BS55" s="250">
        <f t="shared" si="25"/>
        <v>0</v>
      </c>
      <c r="BT55" s="250">
        <f t="shared" si="25"/>
        <v>0</v>
      </c>
      <c r="BU55" s="250">
        <f t="shared" si="25"/>
        <v>0</v>
      </c>
      <c r="BV55" s="250">
        <f t="shared" si="25"/>
        <v>0</v>
      </c>
      <c r="BW55" s="250">
        <f t="shared" si="25"/>
        <v>0</v>
      </c>
      <c r="BX55" s="250">
        <f t="shared" si="25"/>
        <v>0</v>
      </c>
      <c r="BY55" s="252">
        <f>SUM(BY56:BY62)</f>
        <v>-6433677.8333333349</v>
      </c>
      <c r="BZ55" s="771"/>
      <c r="CA55" s="226"/>
      <c r="CB55" s="252"/>
      <c r="CC55" s="771"/>
      <c r="CD55" s="226"/>
      <c r="CE55" s="226"/>
      <c r="CF55" s="226"/>
      <c r="CG55" s="226"/>
      <c r="CH55" s="226"/>
      <c r="CI55" s="226"/>
    </row>
    <row r="56" spans="1:87" ht="16" outlineLevel="1">
      <c r="A56" s="603"/>
      <c r="B56" s="787"/>
      <c r="C56" s="253" t="s">
        <v>296</v>
      </c>
      <c r="D56" s="279">
        <v>0</v>
      </c>
      <c r="E56" s="255"/>
      <c r="F56" s="255"/>
      <c r="G56" s="255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5"/>
      <c r="V56" s="255"/>
      <c r="W56" s="255"/>
      <c r="X56" s="255"/>
      <c r="Y56" s="255"/>
      <c r="Z56" s="255"/>
      <c r="AA56" s="269">
        <f>-SUM(' Interest Calc Cash-flow Plan v'!E8:E23)-' Interest Calc Cash-flow Plan v'!E23</f>
        <v>-2535912.5</v>
      </c>
      <c r="AB56" s="255"/>
      <c r="AC56" s="255"/>
      <c r="AD56" s="255"/>
      <c r="AE56" s="255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80">
        <f t="shared" ref="BY56:BY62" si="26">SUM(E56:BX56)</f>
        <v>-2535912.5</v>
      </c>
      <c r="BZ56" s="771"/>
      <c r="CA56" s="226"/>
      <c r="CB56" s="252"/>
      <c r="CC56" s="771"/>
      <c r="CD56" s="226"/>
      <c r="CE56" s="226"/>
      <c r="CF56" s="226"/>
      <c r="CG56" s="226"/>
      <c r="CH56" s="226"/>
      <c r="CI56" s="226"/>
    </row>
    <row r="57" spans="1:87" ht="16" outlineLevel="1">
      <c r="A57" s="603"/>
      <c r="B57" s="787"/>
      <c r="C57" s="253" t="s">
        <v>297</v>
      </c>
      <c r="D57" s="279">
        <v>0.11</v>
      </c>
      <c r="E57" s="255"/>
      <c r="F57" s="255"/>
      <c r="G57" s="255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5"/>
      <c r="V57" s="255"/>
      <c r="W57" s="255"/>
      <c r="X57" s="255"/>
      <c r="Y57" s="255"/>
      <c r="Z57" s="255"/>
      <c r="AA57" s="269"/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80">
        <f t="shared" si="26"/>
        <v>0</v>
      </c>
      <c r="BZ57" s="771"/>
      <c r="CA57" s="226"/>
      <c r="CB57" s="252"/>
      <c r="CC57" s="771"/>
      <c r="CD57" s="226"/>
      <c r="CE57" s="226"/>
      <c r="CF57" s="226"/>
      <c r="CG57" s="226"/>
      <c r="CH57" s="226"/>
      <c r="CI57" s="226"/>
    </row>
    <row r="58" spans="1:87" ht="16" outlineLevel="1">
      <c r="A58" s="603"/>
      <c r="B58" s="787"/>
      <c r="C58" s="253" t="s">
        <v>298</v>
      </c>
      <c r="D58" s="279">
        <v>0.11</v>
      </c>
      <c r="E58" s="255"/>
      <c r="F58" s="255"/>
      <c r="G58" s="255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80">
        <f t="shared" si="26"/>
        <v>0</v>
      </c>
      <c r="BZ58" s="771"/>
      <c r="CA58" s="226"/>
      <c r="CB58" s="252"/>
      <c r="CC58" s="771"/>
      <c r="CD58" s="226"/>
      <c r="CE58" s="226"/>
      <c r="CF58" s="226"/>
      <c r="CG58" s="226"/>
      <c r="CH58" s="226"/>
      <c r="CI58" s="226"/>
    </row>
    <row r="59" spans="1:87" ht="16" outlineLevel="1">
      <c r="A59" s="603"/>
      <c r="B59" s="787"/>
      <c r="C59" s="253" t="s">
        <v>299</v>
      </c>
      <c r="D59" s="279">
        <v>0.105</v>
      </c>
      <c r="E59" s="255"/>
      <c r="F59" s="255"/>
      <c r="G59" s="255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81">
        <f t="shared" si="26"/>
        <v>0</v>
      </c>
      <c r="BZ59" s="771"/>
      <c r="CA59" s="226"/>
      <c r="CB59" s="252"/>
      <c r="CC59" s="771"/>
      <c r="CD59" s="226"/>
      <c r="CE59" s="226"/>
      <c r="CF59" s="226"/>
      <c r="CG59" s="226"/>
      <c r="CH59" s="226"/>
      <c r="CI59" s="226"/>
    </row>
    <row r="60" spans="1:87" ht="16" outlineLevel="1">
      <c r="A60" s="603"/>
      <c r="B60" s="787"/>
      <c r="C60" s="253" t="s">
        <v>300</v>
      </c>
      <c r="D60" s="279">
        <v>0.15</v>
      </c>
      <c r="E60" s="255"/>
      <c r="F60" s="255"/>
      <c r="G60" s="255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5"/>
      <c r="AL60" s="255"/>
      <c r="AM60" s="255"/>
      <c r="AN60" s="255"/>
      <c r="AO60" s="255"/>
      <c r="AP60" s="255"/>
      <c r="AQ60" s="255"/>
      <c r="AR60" s="255"/>
      <c r="AS60" s="255"/>
      <c r="AT60" s="255"/>
      <c r="AU60" s="255"/>
      <c r="AV60" s="255"/>
      <c r="AW60" s="255"/>
      <c r="AX60" s="255"/>
      <c r="AY60" s="255"/>
      <c r="AZ60" s="255"/>
      <c r="BA60" s="255"/>
      <c r="BB60" s="255"/>
      <c r="BC60" s="255"/>
      <c r="BD60" s="255"/>
      <c r="BE60" s="255"/>
      <c r="BF60" s="255"/>
      <c r="BG60" s="255"/>
      <c r="BH60" s="255"/>
      <c r="BI60" s="255"/>
      <c r="BJ60" s="255"/>
      <c r="BK60" s="255"/>
      <c r="BL60" s="255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82">
        <f t="shared" si="26"/>
        <v>0</v>
      </c>
      <c r="BZ60" s="771"/>
      <c r="CA60" s="226"/>
      <c r="CB60" s="252"/>
      <c r="CC60" s="771"/>
      <c r="CD60" s="226"/>
      <c r="CE60" s="226"/>
      <c r="CF60" s="226"/>
      <c r="CG60" s="226"/>
      <c r="CH60" s="226"/>
      <c r="CI60" s="226"/>
    </row>
    <row r="61" spans="1:87" ht="16" outlineLevel="1">
      <c r="A61" s="603"/>
      <c r="B61" s="787"/>
      <c r="C61" s="253" t="s">
        <v>301</v>
      </c>
      <c r="D61" s="283">
        <v>6.1199999999999997E-2</v>
      </c>
      <c r="E61" s="259"/>
      <c r="F61" s="259"/>
      <c r="G61" s="259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>
        <f>-U10*D61/12</f>
        <v>0</v>
      </c>
      <c r="V61" s="260">
        <f t="shared" ref="V61:AA61" si="27">-SUM($U$10:V10)*$D$61/12</f>
        <v>-24888</v>
      </c>
      <c r="W61" s="260">
        <f t="shared" si="27"/>
        <v>-49776</v>
      </c>
      <c r="X61" s="260">
        <f t="shared" si="27"/>
        <v>-74664</v>
      </c>
      <c r="Y61" s="260">
        <f t="shared" si="27"/>
        <v>-99552</v>
      </c>
      <c r="Z61" s="260">
        <f t="shared" si="27"/>
        <v>-124440</v>
      </c>
      <c r="AA61" s="260">
        <f t="shared" si="27"/>
        <v>-124440</v>
      </c>
      <c r="AB61" s="259"/>
      <c r="AC61" s="259"/>
      <c r="AD61" s="259"/>
      <c r="AE61" s="259"/>
      <c r="AF61" s="259"/>
      <c r="AG61" s="259"/>
      <c r="AH61" s="259"/>
      <c r="AI61" s="259"/>
      <c r="AJ61" s="259"/>
      <c r="AK61" s="259"/>
      <c r="AL61" s="259"/>
      <c r="AM61" s="259"/>
      <c r="AN61" s="259"/>
      <c r="AO61" s="259"/>
      <c r="AP61" s="259"/>
      <c r="AQ61" s="259"/>
      <c r="AR61" s="259"/>
      <c r="AS61" s="259"/>
      <c r="AT61" s="259"/>
      <c r="AU61" s="259"/>
      <c r="AV61" s="259"/>
      <c r="AW61" s="259"/>
      <c r="AX61" s="259"/>
      <c r="AY61" s="259"/>
      <c r="AZ61" s="259"/>
      <c r="BA61" s="259"/>
      <c r="BB61" s="259"/>
      <c r="BC61" s="259"/>
      <c r="BD61" s="259"/>
      <c r="BE61" s="259"/>
      <c r="BF61" s="259"/>
      <c r="BG61" s="259"/>
      <c r="BH61" s="259"/>
      <c r="BI61" s="259"/>
      <c r="BJ61" s="259"/>
      <c r="BK61" s="259"/>
      <c r="BL61" s="255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82">
        <f t="shared" si="26"/>
        <v>-497760</v>
      </c>
      <c r="BZ61" s="771"/>
      <c r="CA61" s="226"/>
      <c r="CB61" s="252"/>
      <c r="CC61" s="771"/>
      <c r="CD61" s="226"/>
      <c r="CE61" s="226"/>
      <c r="CF61" s="226"/>
      <c r="CG61" s="226"/>
      <c r="CH61" s="226"/>
      <c r="CI61" s="226"/>
    </row>
    <row r="62" spans="1:87" ht="16" outlineLevel="1">
      <c r="A62" s="603"/>
      <c r="B62" s="787"/>
      <c r="C62" s="284" t="s">
        <v>302</v>
      </c>
      <c r="D62" s="285">
        <v>7.0000000000000007E-2</v>
      </c>
      <c r="E62" s="286"/>
      <c r="F62" s="286"/>
      <c r="G62" s="286"/>
      <c r="H62" s="287"/>
      <c r="I62" s="287"/>
      <c r="J62" s="287"/>
      <c r="K62" s="287"/>
      <c r="L62" s="287"/>
      <c r="M62" s="287">
        <f>-500-3013.89-17009.89-28420.74</f>
        <v>-48944.520000000004</v>
      </c>
      <c r="N62" s="459">
        <f>-500-3013.89-9715.85-35542.84-269.74-74539.72</f>
        <v>-123582.04</v>
      </c>
      <c r="O62" s="287">
        <f>-10395.44</f>
        <v>-10395.44</v>
      </c>
      <c r="P62" s="287">
        <v>-280000.00000000006</v>
      </c>
      <c r="Q62" s="287">
        <f t="shared" ref="Q62:R62" si="28">-SUM($K$11:Q11)*$D$62/12</f>
        <v>-300416.6666666668</v>
      </c>
      <c r="R62" s="287">
        <f t="shared" si="28"/>
        <v>-300416.6666666668</v>
      </c>
      <c r="S62" s="287">
        <f t="shared" ref="S62:AA62" si="29">(-SUM($K$11:S11)+7000000)*$D$62/12</f>
        <v>-259583.33333333346</v>
      </c>
      <c r="T62" s="287">
        <f t="shared" si="29"/>
        <v>-259583.33333333346</v>
      </c>
      <c r="U62" s="287">
        <f t="shared" si="29"/>
        <v>-259583.33333333346</v>
      </c>
      <c r="V62" s="287">
        <f t="shared" si="29"/>
        <v>-259583.33333333346</v>
      </c>
      <c r="W62" s="287">
        <f t="shared" si="29"/>
        <v>-259583.33333333346</v>
      </c>
      <c r="X62" s="287">
        <f t="shared" si="29"/>
        <v>-259583.33333333346</v>
      </c>
      <c r="Y62" s="287">
        <f t="shared" si="29"/>
        <v>-259583.33333333346</v>
      </c>
      <c r="Z62" s="287">
        <f t="shared" si="29"/>
        <v>-259583.33333333346</v>
      </c>
      <c r="AA62" s="287">
        <f t="shared" si="29"/>
        <v>-259583.33333333346</v>
      </c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8"/>
      <c r="BN62" s="288"/>
      <c r="BO62" s="288"/>
      <c r="BP62" s="288"/>
      <c r="BQ62" s="288"/>
      <c r="BR62" s="288"/>
      <c r="BS62" s="288"/>
      <c r="BT62" s="288"/>
      <c r="BU62" s="288"/>
      <c r="BV62" s="288"/>
      <c r="BW62" s="288"/>
      <c r="BX62" s="288"/>
      <c r="BY62" s="289">
        <f t="shared" si="26"/>
        <v>-3400005.3333333349</v>
      </c>
      <c r="BZ62" s="771"/>
      <c r="CA62" s="226"/>
      <c r="CB62" s="252"/>
      <c r="CC62" s="771"/>
      <c r="CD62" s="226"/>
      <c r="CE62" s="226"/>
      <c r="CF62" s="226"/>
      <c r="CG62" s="226"/>
      <c r="CH62" s="226"/>
      <c r="CI62" s="226"/>
    </row>
    <row r="63" spans="1:87" ht="16" collapsed="1">
      <c r="A63" s="603"/>
      <c r="B63" s="787"/>
      <c r="C63" s="248" t="s">
        <v>303</v>
      </c>
      <c r="D63" s="249"/>
      <c r="E63" s="250">
        <f t="shared" ref="E63:BY63" si="30">SUM(E64:E86)</f>
        <v>0</v>
      </c>
      <c r="F63" s="250">
        <f t="shared" si="30"/>
        <v>0</v>
      </c>
      <c r="G63" s="250">
        <f t="shared" si="30"/>
        <v>0</v>
      </c>
      <c r="H63" s="250">
        <f t="shared" si="30"/>
        <v>0</v>
      </c>
      <c r="I63" s="250">
        <f t="shared" si="30"/>
        <v>0</v>
      </c>
      <c r="J63" s="250">
        <f t="shared" si="30"/>
        <v>0</v>
      </c>
      <c r="K63" s="250">
        <f t="shared" si="30"/>
        <v>0</v>
      </c>
      <c r="L63" s="250">
        <f t="shared" si="30"/>
        <v>0</v>
      </c>
      <c r="M63" s="250">
        <f t="shared" si="30"/>
        <v>0</v>
      </c>
      <c r="N63" s="250">
        <f t="shared" si="30"/>
        <v>0</v>
      </c>
      <c r="O63" s="250">
        <f t="shared" si="30"/>
        <v>0</v>
      </c>
      <c r="P63" s="250">
        <f t="shared" si="30"/>
        <v>0</v>
      </c>
      <c r="Q63" s="250">
        <f t="shared" si="30"/>
        <v>0</v>
      </c>
      <c r="R63" s="250">
        <f t="shared" si="30"/>
        <v>0</v>
      </c>
      <c r="S63" s="250">
        <f t="shared" si="30"/>
        <v>0</v>
      </c>
      <c r="T63" s="250">
        <f t="shared" si="30"/>
        <v>0</v>
      </c>
      <c r="U63" s="250">
        <f t="shared" si="30"/>
        <v>0</v>
      </c>
      <c r="V63" s="250">
        <f t="shared" si="30"/>
        <v>0</v>
      </c>
      <c r="W63" s="250">
        <f t="shared" si="30"/>
        <v>0</v>
      </c>
      <c r="X63" s="250">
        <f t="shared" si="30"/>
        <v>0</v>
      </c>
      <c r="Y63" s="250">
        <f t="shared" si="30"/>
        <v>0</v>
      </c>
      <c r="Z63" s="250">
        <f t="shared" si="30"/>
        <v>0</v>
      </c>
      <c r="AA63" s="250">
        <f t="shared" si="30"/>
        <v>-768858.19642857125</v>
      </c>
      <c r="AB63" s="250">
        <f t="shared" si="30"/>
        <v>0</v>
      </c>
      <c r="AC63" s="250">
        <f t="shared" si="30"/>
        <v>0</v>
      </c>
      <c r="AD63" s="250">
        <f t="shared" si="30"/>
        <v>0</v>
      </c>
      <c r="AE63" s="250">
        <f t="shared" si="30"/>
        <v>0</v>
      </c>
      <c r="AF63" s="250">
        <f t="shared" si="30"/>
        <v>0</v>
      </c>
      <c r="AG63" s="250">
        <f t="shared" si="30"/>
        <v>0</v>
      </c>
      <c r="AH63" s="250">
        <f t="shared" si="30"/>
        <v>0</v>
      </c>
      <c r="AI63" s="250">
        <f t="shared" si="30"/>
        <v>0</v>
      </c>
      <c r="AJ63" s="250">
        <f t="shared" si="30"/>
        <v>0</v>
      </c>
      <c r="AK63" s="250">
        <f t="shared" si="30"/>
        <v>0</v>
      </c>
      <c r="AL63" s="250">
        <f t="shared" si="30"/>
        <v>0</v>
      </c>
      <c r="AM63" s="250">
        <f t="shared" si="30"/>
        <v>0</v>
      </c>
      <c r="AN63" s="250">
        <f t="shared" si="30"/>
        <v>0</v>
      </c>
      <c r="AO63" s="250">
        <f t="shared" si="30"/>
        <v>0</v>
      </c>
      <c r="AP63" s="250">
        <f t="shared" si="30"/>
        <v>0</v>
      </c>
      <c r="AQ63" s="250">
        <f t="shared" si="30"/>
        <v>0</v>
      </c>
      <c r="AR63" s="250">
        <f t="shared" si="30"/>
        <v>0</v>
      </c>
      <c r="AS63" s="250">
        <f t="shared" si="30"/>
        <v>0</v>
      </c>
      <c r="AT63" s="250">
        <f t="shared" si="30"/>
        <v>0</v>
      </c>
      <c r="AU63" s="250">
        <f t="shared" si="30"/>
        <v>0</v>
      </c>
      <c r="AV63" s="250">
        <f t="shared" si="30"/>
        <v>0</v>
      </c>
      <c r="AW63" s="250">
        <f t="shared" si="30"/>
        <v>0</v>
      </c>
      <c r="AX63" s="250">
        <f t="shared" si="30"/>
        <v>0</v>
      </c>
      <c r="AY63" s="250">
        <f t="shared" si="30"/>
        <v>0</v>
      </c>
      <c r="AZ63" s="250">
        <f t="shared" si="30"/>
        <v>0</v>
      </c>
      <c r="BA63" s="250">
        <f t="shared" si="30"/>
        <v>0</v>
      </c>
      <c r="BB63" s="250">
        <f t="shared" si="30"/>
        <v>0</v>
      </c>
      <c r="BC63" s="250">
        <f t="shared" si="30"/>
        <v>0</v>
      </c>
      <c r="BD63" s="250">
        <f t="shared" si="30"/>
        <v>0</v>
      </c>
      <c r="BE63" s="250">
        <f t="shared" si="30"/>
        <v>0</v>
      </c>
      <c r="BF63" s="250">
        <f t="shared" si="30"/>
        <v>0</v>
      </c>
      <c r="BG63" s="250">
        <f t="shared" si="30"/>
        <v>0</v>
      </c>
      <c r="BH63" s="250">
        <f t="shared" si="30"/>
        <v>0</v>
      </c>
      <c r="BI63" s="250">
        <f t="shared" si="30"/>
        <v>0</v>
      </c>
      <c r="BJ63" s="250">
        <f t="shared" si="30"/>
        <v>0</v>
      </c>
      <c r="BK63" s="250">
        <f t="shared" si="30"/>
        <v>0</v>
      </c>
      <c r="BL63" s="250">
        <f t="shared" si="30"/>
        <v>0</v>
      </c>
      <c r="BM63" s="250">
        <f t="shared" si="30"/>
        <v>0</v>
      </c>
      <c r="BN63" s="250">
        <f t="shared" si="30"/>
        <v>0</v>
      </c>
      <c r="BO63" s="250">
        <f t="shared" si="30"/>
        <v>0</v>
      </c>
      <c r="BP63" s="250">
        <f t="shared" si="30"/>
        <v>0</v>
      </c>
      <c r="BQ63" s="250">
        <f t="shared" si="30"/>
        <v>0</v>
      </c>
      <c r="BR63" s="250">
        <f t="shared" si="30"/>
        <v>0</v>
      </c>
      <c r="BS63" s="250">
        <f t="shared" si="30"/>
        <v>0</v>
      </c>
      <c r="BT63" s="250">
        <f t="shared" si="30"/>
        <v>0</v>
      </c>
      <c r="BU63" s="250">
        <f t="shared" si="30"/>
        <v>0</v>
      </c>
      <c r="BV63" s="250">
        <f t="shared" si="30"/>
        <v>0</v>
      </c>
      <c r="BW63" s="250">
        <f t="shared" si="30"/>
        <v>0</v>
      </c>
      <c r="BX63" s="250">
        <f t="shared" si="30"/>
        <v>0</v>
      </c>
      <c r="BY63" s="251">
        <f t="shared" si="30"/>
        <v>-768858.19642857125</v>
      </c>
      <c r="BZ63" s="771"/>
      <c r="CA63" s="226"/>
      <c r="CB63" s="252"/>
      <c r="CC63" s="771"/>
      <c r="CD63" s="226"/>
      <c r="CE63" s="226">
        <v>-165083.33333333334</v>
      </c>
      <c r="CF63" s="226">
        <v>-215833.33333333337</v>
      </c>
      <c r="CG63" s="226">
        <v>-271833.33333333337</v>
      </c>
      <c r="CH63" s="226">
        <v>-280000.00000000006</v>
      </c>
      <c r="CI63" s="226">
        <v>-165083.33333333334</v>
      </c>
    </row>
    <row r="64" spans="1:87" ht="16" hidden="1" outlineLevel="1">
      <c r="A64" s="603"/>
      <c r="B64" s="787"/>
      <c r="C64" s="290" t="s">
        <v>304</v>
      </c>
      <c r="D64" s="254" t="s">
        <v>270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  <c r="AN64" s="256"/>
      <c r="AO64" s="256"/>
      <c r="AP64" s="256"/>
      <c r="AQ64" s="256"/>
      <c r="AR64" s="256"/>
      <c r="AS64" s="256"/>
      <c r="AT64" s="256"/>
      <c r="AU64" s="256"/>
      <c r="AV64" s="256"/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91">
        <f t="shared" ref="BY64:BY86" si="31">SUM(E64:BX64)</f>
        <v>0</v>
      </c>
      <c r="BZ64" s="771"/>
      <c r="CA64" s="226"/>
      <c r="CB64" s="252"/>
      <c r="CC64" s="771"/>
      <c r="CD64" s="226"/>
      <c r="CE64" s="226"/>
      <c r="CF64" s="226"/>
      <c r="CG64" s="226"/>
      <c r="CH64" s="226"/>
      <c r="CI64" s="226"/>
    </row>
    <row r="65" spans="1:81" ht="16" hidden="1" outlineLevel="1">
      <c r="A65" s="603"/>
      <c r="B65" s="787"/>
      <c r="C65" s="292" t="s">
        <v>305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91">
        <f t="shared" si="31"/>
        <v>0</v>
      </c>
      <c r="BZ65" s="771"/>
      <c r="CA65" s="226"/>
      <c r="CB65" s="252"/>
      <c r="CC65" s="771"/>
    </row>
    <row r="66" spans="1:81" ht="16" hidden="1" outlineLevel="1">
      <c r="A66" s="603"/>
      <c r="B66" s="787"/>
      <c r="C66" s="292" t="s">
        <v>306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91">
        <f t="shared" si="31"/>
        <v>0</v>
      </c>
      <c r="BZ66" s="771"/>
      <c r="CA66" s="226"/>
      <c r="CB66" s="252"/>
      <c r="CC66" s="771"/>
    </row>
    <row r="67" spans="1:81" ht="16" hidden="1" outlineLevel="1">
      <c r="A67" s="603"/>
      <c r="B67" s="787"/>
      <c r="C67" s="292" t="s">
        <v>307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91">
        <f t="shared" si="31"/>
        <v>0</v>
      </c>
      <c r="BZ67" s="771"/>
      <c r="CA67" s="226"/>
      <c r="CB67" s="252"/>
      <c r="CC67" s="771"/>
    </row>
    <row r="68" spans="1:81" ht="16" hidden="1" outlineLevel="1">
      <c r="A68" s="603"/>
      <c r="B68" s="787"/>
      <c r="C68" s="292" t="s">
        <v>308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91">
        <f t="shared" si="31"/>
        <v>0</v>
      </c>
      <c r="BZ68" s="771"/>
      <c r="CA68" s="226"/>
      <c r="CB68" s="252"/>
      <c r="CC68" s="771"/>
    </row>
    <row r="69" spans="1:81" ht="16" hidden="1" outlineLevel="1">
      <c r="A69" s="603"/>
      <c r="B69" s="787"/>
      <c r="C69" s="292" t="s">
        <v>309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91">
        <f t="shared" si="31"/>
        <v>0</v>
      </c>
      <c r="BZ69" s="771"/>
      <c r="CA69" s="226"/>
      <c r="CB69" s="252"/>
      <c r="CC69" s="771"/>
    </row>
    <row r="70" spans="1:81" ht="16" hidden="1" outlineLevel="1">
      <c r="A70" s="603"/>
      <c r="B70" s="787"/>
      <c r="C70" s="292" t="s">
        <v>310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91">
        <f t="shared" si="31"/>
        <v>0</v>
      </c>
      <c r="BZ70" s="771"/>
      <c r="CA70" s="226"/>
      <c r="CB70" s="252"/>
      <c r="CC70" s="771"/>
    </row>
    <row r="71" spans="1:81" ht="16" hidden="1" outlineLevel="1">
      <c r="A71" s="603"/>
      <c r="B71" s="787"/>
      <c r="C71" s="292" t="s">
        <v>311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91">
        <f t="shared" si="31"/>
        <v>0</v>
      </c>
      <c r="BZ71" s="771"/>
      <c r="CA71" s="226"/>
      <c r="CB71" s="252"/>
      <c r="CC71" s="771"/>
    </row>
    <row r="72" spans="1:81" ht="16" hidden="1" outlineLevel="1">
      <c r="A72" s="603"/>
      <c r="B72" s="787"/>
      <c r="C72" s="292" t="s">
        <v>312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91">
        <f t="shared" si="31"/>
        <v>0</v>
      </c>
      <c r="BZ72" s="771"/>
      <c r="CA72" s="226"/>
      <c r="CB72" s="252"/>
      <c r="CC72" s="771"/>
    </row>
    <row r="73" spans="1:81" ht="16" hidden="1" outlineLevel="1">
      <c r="A73" s="603"/>
      <c r="B73" s="787"/>
      <c r="C73" s="292" t="s">
        <v>313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91">
        <f t="shared" si="31"/>
        <v>0</v>
      </c>
      <c r="BZ73" s="771"/>
      <c r="CA73" s="226"/>
      <c r="CB73" s="252"/>
      <c r="CC73" s="771"/>
    </row>
    <row r="74" spans="1:81" ht="16" hidden="1" outlineLevel="1">
      <c r="A74" s="603"/>
      <c r="B74" s="787"/>
      <c r="C74" s="292" t="s">
        <v>314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91">
        <f t="shared" si="31"/>
        <v>0</v>
      </c>
      <c r="BZ74" s="771"/>
      <c r="CA74" s="226"/>
      <c r="CB74" s="252"/>
      <c r="CC74" s="771"/>
    </row>
    <row r="75" spans="1:81" ht="16" hidden="1" outlineLevel="1">
      <c r="A75" s="603"/>
      <c r="B75" s="787"/>
      <c r="C75" s="292" t="s">
        <v>315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91">
        <f t="shared" si="31"/>
        <v>0</v>
      </c>
      <c r="BZ75" s="771"/>
      <c r="CA75" s="226"/>
      <c r="CB75" s="252"/>
      <c r="CC75" s="771"/>
    </row>
    <row r="76" spans="1:81" ht="16" hidden="1" outlineLevel="1">
      <c r="A76" s="603"/>
      <c r="B76" s="787"/>
      <c r="C76" s="292" t="s">
        <v>316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91">
        <f t="shared" si="31"/>
        <v>0</v>
      </c>
      <c r="BZ76" s="771"/>
      <c r="CA76" s="226"/>
      <c r="CB76" s="252"/>
      <c r="CC76" s="771"/>
    </row>
    <row r="77" spans="1:81" ht="16" hidden="1" outlineLevel="1">
      <c r="A77" s="603"/>
      <c r="B77" s="787"/>
      <c r="C77" s="292" t="s">
        <v>317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91">
        <f t="shared" si="31"/>
        <v>0</v>
      </c>
      <c r="BZ77" s="771"/>
      <c r="CA77" s="226"/>
      <c r="CB77" s="252"/>
      <c r="CC77" s="771"/>
    </row>
    <row r="78" spans="1:81" ht="16" hidden="1" outlineLevel="1">
      <c r="A78" s="603"/>
      <c r="B78" s="787"/>
      <c r="C78" s="292" t="s">
        <v>318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91">
        <f t="shared" si="31"/>
        <v>0</v>
      </c>
      <c r="BZ78" s="771"/>
      <c r="CA78" s="226"/>
      <c r="CB78" s="252"/>
      <c r="CC78" s="771"/>
    </row>
    <row r="79" spans="1:81" ht="16" hidden="1" outlineLevel="1">
      <c r="A79" s="603"/>
      <c r="B79" s="787"/>
      <c r="C79" s="292" t="s">
        <v>319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91">
        <f t="shared" si="31"/>
        <v>0</v>
      </c>
      <c r="BZ79" s="771"/>
      <c r="CA79" s="226"/>
      <c r="CB79" s="252"/>
      <c r="CC79" s="771"/>
    </row>
    <row r="80" spans="1:81" ht="16" hidden="1" outlineLevel="1">
      <c r="A80" s="603"/>
      <c r="B80" s="787"/>
      <c r="C80" s="292" t="s">
        <v>320</v>
      </c>
      <c r="D80" s="254" t="s">
        <v>270</v>
      </c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  <c r="BX80" s="256"/>
      <c r="BY80" s="291">
        <f t="shared" si="31"/>
        <v>0</v>
      </c>
      <c r="BZ80" s="771"/>
      <c r="CA80" s="226"/>
      <c r="CB80" s="252"/>
      <c r="CC80" s="771"/>
    </row>
    <row r="81" spans="1:81" ht="16" hidden="1" outlineLevel="1">
      <c r="A81" s="603"/>
      <c r="B81" s="787"/>
      <c r="C81" s="292" t="s">
        <v>321</v>
      </c>
      <c r="D81" s="254" t="s">
        <v>270</v>
      </c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/>
      <c r="AP81" s="256"/>
      <c r="AQ81" s="256"/>
      <c r="AR81" s="256"/>
      <c r="AS81" s="256"/>
      <c r="AT81" s="256"/>
      <c r="AU81" s="256"/>
      <c r="AV81" s="256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6"/>
      <c r="BR81" s="256"/>
      <c r="BS81" s="256"/>
      <c r="BT81" s="256"/>
      <c r="BU81" s="256"/>
      <c r="BV81" s="256"/>
      <c r="BW81" s="256"/>
      <c r="BX81" s="256"/>
      <c r="BY81" s="291">
        <f t="shared" si="31"/>
        <v>0</v>
      </c>
      <c r="BZ81" s="771"/>
      <c r="CA81" s="226"/>
      <c r="CB81" s="252"/>
      <c r="CC81" s="771"/>
    </row>
    <row r="82" spans="1:81" ht="16" hidden="1" outlineLevel="1">
      <c r="A82" s="603"/>
      <c r="B82" s="787"/>
      <c r="C82" s="293" t="s">
        <v>224</v>
      </c>
      <c r="D82" s="254" t="s">
        <v>270</v>
      </c>
      <c r="E82" s="256"/>
      <c r="F82" s="255"/>
      <c r="G82" s="255"/>
      <c r="H82" s="256"/>
      <c r="I82" s="256"/>
      <c r="J82" s="256"/>
      <c r="K82" s="256"/>
      <c r="L82" s="256"/>
      <c r="M82" s="256"/>
      <c r="N82" s="256"/>
      <c r="O82" s="256"/>
      <c r="P82" s="256"/>
      <c r="Q82" s="256">
        <f>-Businessplan_prodej!$N$19/12*1.21*Businessplan_prodej!$J$27</f>
        <v>0</v>
      </c>
      <c r="R82" s="256">
        <f>-Businessplan_prodej!$N$19/12*1.21*Businessplan_prodej!$J$27</f>
        <v>0</v>
      </c>
      <c r="S82" s="256">
        <f>-Businessplan_prodej!$N$19/12*1.21*Businessplan_prodej!$J$27</f>
        <v>0</v>
      </c>
      <c r="T82" s="256">
        <f>-Businessplan_prodej!$N$19/12*1.21*Businessplan_prodej!$J$27</f>
        <v>0</v>
      </c>
      <c r="U82" s="256">
        <f>-Businessplan_prodej!$N$19/12*1.21*Businessplan_prodej!$J$27</f>
        <v>0</v>
      </c>
      <c r="V82" s="256">
        <f>-Businessplan_prodej!$N$19/12*1.21*Businessplan_prodej!$J$27</f>
        <v>0</v>
      </c>
      <c r="W82" s="256">
        <f>-Businessplan_prodej!$N$19/12*1.21*Businessplan_prodej!$J$27</f>
        <v>0</v>
      </c>
      <c r="X82" s="256">
        <f>-Businessplan_prodej!$N$19/12*1.21*Businessplan_prodej!$J$27</f>
        <v>0</v>
      </c>
      <c r="Y82" s="256">
        <f>-Businessplan_prodej!$N$19/12*1.21*Businessplan_prodej!$J$27</f>
        <v>0</v>
      </c>
      <c r="Z82" s="256">
        <f>-Businessplan_prodej!$N$19/12*1.21*Businessplan_prodej!$J$27</f>
        <v>0</v>
      </c>
      <c r="AA82" s="256">
        <f>-Businessplan_prodej!$N$19/12*1.21</f>
        <v>-97718.69249999999</v>
      </c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91">
        <f t="shared" si="31"/>
        <v>-97718.69249999999</v>
      </c>
      <c r="BZ82" s="771"/>
      <c r="CA82" s="226"/>
      <c r="CB82" s="252"/>
      <c r="CC82" s="771"/>
    </row>
    <row r="83" spans="1:81" ht="16" hidden="1" outlineLevel="1">
      <c r="A83" s="603"/>
      <c r="B83" s="787"/>
      <c r="C83" s="292" t="s">
        <v>225</v>
      </c>
      <c r="D83" s="254" t="s">
        <v>270</v>
      </c>
      <c r="E83" s="256"/>
      <c r="F83" s="255"/>
      <c r="G83" s="255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5"/>
      <c r="V83" s="255"/>
      <c r="W83" s="255"/>
      <c r="X83" s="255"/>
      <c r="Y83" s="255"/>
      <c r="Z83" s="255"/>
      <c r="AA83" s="255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91">
        <f t="shared" si="31"/>
        <v>0</v>
      </c>
      <c r="BZ83" s="771"/>
      <c r="CA83" s="226"/>
      <c r="CB83" s="252"/>
      <c r="CC83" s="771"/>
    </row>
    <row r="84" spans="1:81" ht="16" hidden="1" outlineLevel="1">
      <c r="A84" s="603"/>
      <c r="B84" s="787"/>
      <c r="C84" s="292" t="s">
        <v>236</v>
      </c>
      <c r="D84" s="254" t="s">
        <v>270</v>
      </c>
      <c r="E84" s="256"/>
      <c r="F84" s="255"/>
      <c r="G84" s="255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5"/>
      <c r="V84" s="255"/>
      <c r="W84" s="255"/>
      <c r="X84" s="255"/>
      <c r="Y84" s="255"/>
      <c r="Z84" s="255"/>
      <c r="AA84" s="255"/>
      <c r="AB84" s="255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5"/>
      <c r="BD84" s="255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91">
        <f t="shared" si="31"/>
        <v>0</v>
      </c>
      <c r="BZ84" s="771"/>
      <c r="CA84" s="226"/>
      <c r="CB84" s="252"/>
      <c r="CC84" s="771"/>
    </row>
    <row r="85" spans="1:81" ht="16" hidden="1" outlineLevel="1">
      <c r="A85" s="603"/>
      <c r="B85" s="787"/>
      <c r="C85" s="292" t="s">
        <v>237</v>
      </c>
      <c r="D85" s="254" t="s">
        <v>270</v>
      </c>
      <c r="E85" s="256"/>
      <c r="F85" s="255"/>
      <c r="G85" s="255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P85" s="255"/>
      <c r="AQ85" s="255"/>
      <c r="AR85" s="255"/>
      <c r="AS85" s="255"/>
      <c r="AT85" s="255"/>
      <c r="AU85" s="255"/>
      <c r="AV85" s="255"/>
      <c r="AW85" s="255"/>
      <c r="AX85" s="255"/>
      <c r="AY85" s="255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91">
        <f t="shared" si="31"/>
        <v>0</v>
      </c>
      <c r="BZ85" s="771"/>
      <c r="CA85" s="226"/>
      <c r="CB85" s="252"/>
      <c r="CC85" s="771"/>
    </row>
    <row r="86" spans="1:81" ht="16" hidden="1" outlineLevel="1">
      <c r="A86" s="603"/>
      <c r="B86" s="787"/>
      <c r="C86" s="294" t="s">
        <v>322</v>
      </c>
      <c r="D86" s="258" t="s">
        <v>270</v>
      </c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>
        <f>Businessplan_prodej!N21</f>
        <v>-671139.50392857124</v>
      </c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5"/>
      <c r="BQ86" s="295"/>
      <c r="BR86" s="295"/>
      <c r="BS86" s="295"/>
      <c r="BT86" s="295"/>
      <c r="BU86" s="295"/>
      <c r="BV86" s="295"/>
      <c r="BW86" s="295"/>
      <c r="BX86" s="295"/>
      <c r="BY86" s="291">
        <f t="shared" si="31"/>
        <v>-671139.50392857124</v>
      </c>
      <c r="BZ86" s="771"/>
      <c r="CA86" s="226"/>
      <c r="CB86" s="252"/>
      <c r="CC86" s="771"/>
    </row>
    <row r="87" spans="1:81" ht="16" collapsed="1">
      <c r="A87" s="603"/>
      <c r="B87" s="787"/>
      <c r="C87" s="248" t="s">
        <v>323</v>
      </c>
      <c r="D87" s="249"/>
      <c r="E87" s="250">
        <f t="shared" ref="E87:BY87" si="32">SUM(E88:E89)</f>
        <v>0</v>
      </c>
      <c r="F87" s="250">
        <f t="shared" si="32"/>
        <v>0</v>
      </c>
      <c r="G87" s="250">
        <f t="shared" si="32"/>
        <v>0</v>
      </c>
      <c r="H87" s="250">
        <f t="shared" si="32"/>
        <v>0</v>
      </c>
      <c r="I87" s="250">
        <f t="shared" si="32"/>
        <v>0</v>
      </c>
      <c r="J87" s="250">
        <f t="shared" si="32"/>
        <v>0</v>
      </c>
      <c r="K87" s="250">
        <f t="shared" si="32"/>
        <v>0</v>
      </c>
      <c r="L87" s="250">
        <f t="shared" si="32"/>
        <v>0</v>
      </c>
      <c r="M87" s="250">
        <f t="shared" si="32"/>
        <v>0</v>
      </c>
      <c r="N87" s="250">
        <f t="shared" si="32"/>
        <v>0</v>
      </c>
      <c r="O87" s="250">
        <f t="shared" si="32"/>
        <v>0</v>
      </c>
      <c r="P87" s="250">
        <f t="shared" si="32"/>
        <v>0</v>
      </c>
      <c r="Q87" s="250">
        <f t="shared" si="32"/>
        <v>0</v>
      </c>
      <c r="R87" s="250">
        <f t="shared" si="32"/>
        <v>0</v>
      </c>
      <c r="S87" s="250">
        <f t="shared" si="32"/>
        <v>0</v>
      </c>
      <c r="T87" s="250">
        <f t="shared" si="32"/>
        <v>0</v>
      </c>
      <c r="U87" s="250">
        <f t="shared" si="32"/>
        <v>0</v>
      </c>
      <c r="V87" s="250">
        <f t="shared" si="32"/>
        <v>0</v>
      </c>
      <c r="W87" s="250">
        <f t="shared" si="32"/>
        <v>0</v>
      </c>
      <c r="X87" s="250">
        <f t="shared" si="32"/>
        <v>0</v>
      </c>
      <c r="Y87" s="250">
        <f t="shared" si="32"/>
        <v>0</v>
      </c>
      <c r="Z87" s="250">
        <f t="shared" si="32"/>
        <v>0</v>
      </c>
      <c r="AA87" s="250">
        <f t="shared" si="32"/>
        <v>0</v>
      </c>
      <c r="AB87" s="250">
        <f t="shared" si="32"/>
        <v>0</v>
      </c>
      <c r="AC87" s="250">
        <f t="shared" si="32"/>
        <v>0</v>
      </c>
      <c r="AD87" s="250">
        <f t="shared" si="32"/>
        <v>0</v>
      </c>
      <c r="AE87" s="250">
        <f t="shared" si="32"/>
        <v>0</v>
      </c>
      <c r="AF87" s="250">
        <f t="shared" si="32"/>
        <v>0</v>
      </c>
      <c r="AG87" s="250">
        <f t="shared" si="32"/>
        <v>0</v>
      </c>
      <c r="AH87" s="250">
        <f t="shared" si="32"/>
        <v>0</v>
      </c>
      <c r="AI87" s="250">
        <f t="shared" si="32"/>
        <v>0</v>
      </c>
      <c r="AJ87" s="250">
        <f t="shared" si="32"/>
        <v>0</v>
      </c>
      <c r="AK87" s="250">
        <f t="shared" si="32"/>
        <v>0</v>
      </c>
      <c r="AL87" s="250">
        <f t="shared" si="32"/>
        <v>0</v>
      </c>
      <c r="AM87" s="250">
        <f t="shared" si="32"/>
        <v>0</v>
      </c>
      <c r="AN87" s="250">
        <f t="shared" si="32"/>
        <v>0</v>
      </c>
      <c r="AO87" s="250">
        <f t="shared" si="32"/>
        <v>0</v>
      </c>
      <c r="AP87" s="250">
        <f t="shared" si="32"/>
        <v>0</v>
      </c>
      <c r="AQ87" s="250">
        <f t="shared" si="32"/>
        <v>0</v>
      </c>
      <c r="AR87" s="250">
        <f t="shared" si="32"/>
        <v>0</v>
      </c>
      <c r="AS87" s="250">
        <f t="shared" si="32"/>
        <v>0</v>
      </c>
      <c r="AT87" s="250">
        <f t="shared" si="32"/>
        <v>0</v>
      </c>
      <c r="AU87" s="250">
        <f t="shared" si="32"/>
        <v>0</v>
      </c>
      <c r="AV87" s="250">
        <f t="shared" si="32"/>
        <v>0</v>
      </c>
      <c r="AW87" s="250">
        <f t="shared" si="32"/>
        <v>0</v>
      </c>
      <c r="AX87" s="250">
        <f t="shared" si="32"/>
        <v>0</v>
      </c>
      <c r="AY87" s="250">
        <f t="shared" si="32"/>
        <v>0</v>
      </c>
      <c r="AZ87" s="250">
        <f t="shared" si="32"/>
        <v>0</v>
      </c>
      <c r="BA87" s="250">
        <f t="shared" si="32"/>
        <v>0</v>
      </c>
      <c r="BB87" s="250">
        <f t="shared" si="32"/>
        <v>0</v>
      </c>
      <c r="BC87" s="250">
        <f t="shared" si="32"/>
        <v>0</v>
      </c>
      <c r="BD87" s="250">
        <f t="shared" si="32"/>
        <v>0</v>
      </c>
      <c r="BE87" s="250">
        <f t="shared" si="32"/>
        <v>0</v>
      </c>
      <c r="BF87" s="250">
        <f t="shared" si="32"/>
        <v>0</v>
      </c>
      <c r="BG87" s="250">
        <f t="shared" si="32"/>
        <v>0</v>
      </c>
      <c r="BH87" s="250">
        <f t="shared" si="32"/>
        <v>0</v>
      </c>
      <c r="BI87" s="250">
        <f t="shared" si="32"/>
        <v>0</v>
      </c>
      <c r="BJ87" s="250">
        <f t="shared" si="32"/>
        <v>0</v>
      </c>
      <c r="BK87" s="250">
        <f t="shared" si="32"/>
        <v>0</v>
      </c>
      <c r="BL87" s="250">
        <f t="shared" si="32"/>
        <v>0</v>
      </c>
      <c r="BM87" s="250">
        <f t="shared" si="32"/>
        <v>0</v>
      </c>
      <c r="BN87" s="250">
        <f t="shared" si="32"/>
        <v>0</v>
      </c>
      <c r="BO87" s="250">
        <f t="shared" si="32"/>
        <v>0</v>
      </c>
      <c r="BP87" s="250">
        <f t="shared" si="32"/>
        <v>0</v>
      </c>
      <c r="BQ87" s="250">
        <f t="shared" si="32"/>
        <v>0</v>
      </c>
      <c r="BR87" s="250">
        <f t="shared" si="32"/>
        <v>0</v>
      </c>
      <c r="BS87" s="250">
        <f t="shared" si="32"/>
        <v>0</v>
      </c>
      <c r="BT87" s="250">
        <f t="shared" si="32"/>
        <v>0</v>
      </c>
      <c r="BU87" s="250">
        <f t="shared" si="32"/>
        <v>0</v>
      </c>
      <c r="BV87" s="250">
        <f t="shared" si="32"/>
        <v>0</v>
      </c>
      <c r="BW87" s="250">
        <f t="shared" si="32"/>
        <v>0</v>
      </c>
      <c r="BX87" s="250">
        <f t="shared" si="32"/>
        <v>0</v>
      </c>
      <c r="BY87" s="251">
        <f t="shared" si="32"/>
        <v>0</v>
      </c>
      <c r="BZ87" s="771"/>
      <c r="CA87" s="226"/>
      <c r="CB87" s="252"/>
      <c r="CC87" s="771"/>
    </row>
    <row r="88" spans="1:81" ht="16" hidden="1" outlineLevel="1">
      <c r="A88" s="603"/>
      <c r="B88" s="787"/>
      <c r="C88" s="290" t="s">
        <v>324</v>
      </c>
      <c r="D88" s="254" t="s">
        <v>270</v>
      </c>
      <c r="E88" s="260"/>
      <c r="F88" s="260"/>
      <c r="G88" s="260"/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0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60"/>
      <c r="AV88" s="260"/>
      <c r="AW88" s="260"/>
      <c r="AX88" s="260"/>
      <c r="AY88" s="260"/>
      <c r="AZ88" s="260"/>
      <c r="BA88" s="260"/>
      <c r="BB88" s="260"/>
      <c r="BC88" s="260"/>
      <c r="BD88" s="260"/>
      <c r="BE88" s="260"/>
      <c r="BF88" s="260"/>
      <c r="BG88" s="260"/>
      <c r="BH88" s="260"/>
      <c r="BI88" s="260"/>
      <c r="BJ88" s="260"/>
      <c r="BK88" s="260"/>
      <c r="BL88" s="260"/>
      <c r="BM88" s="260"/>
      <c r="BN88" s="260"/>
      <c r="BO88" s="260"/>
      <c r="BP88" s="260"/>
      <c r="BQ88" s="260"/>
      <c r="BR88" s="260"/>
      <c r="BS88" s="260"/>
      <c r="BT88" s="260"/>
      <c r="BU88" s="260"/>
      <c r="BV88" s="260"/>
      <c r="BW88" s="260"/>
      <c r="BX88" s="260"/>
      <c r="BY88" s="296">
        <f t="shared" ref="BY88:BY89" si="33">SUM(E88:BX88)</f>
        <v>0</v>
      </c>
      <c r="BZ88" s="771"/>
      <c r="CA88" s="226"/>
      <c r="CB88" s="252"/>
      <c r="CC88" s="771"/>
    </row>
    <row r="89" spans="1:81" ht="16" hidden="1" outlineLevel="1">
      <c r="A89" s="603"/>
      <c r="B89" s="787"/>
      <c r="C89" s="294" t="s">
        <v>325</v>
      </c>
      <c r="D89" s="258" t="s">
        <v>270</v>
      </c>
      <c r="E89" s="287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97">
        <f t="shared" si="33"/>
        <v>0</v>
      </c>
      <c r="BZ89" s="774"/>
      <c r="CA89" s="226"/>
      <c r="CB89" s="252"/>
      <c r="CC89" s="774"/>
    </row>
    <row r="90" spans="1:81" collapsed="1">
      <c r="A90" s="603"/>
      <c r="B90" s="787"/>
      <c r="C90" s="248" t="s">
        <v>326</v>
      </c>
      <c r="D90" s="249"/>
      <c r="E90" s="250">
        <f t="shared" ref="E90:BX90" si="34">SUM(E91:E97)</f>
        <v>0</v>
      </c>
      <c r="F90" s="250">
        <f t="shared" si="34"/>
        <v>0</v>
      </c>
      <c r="G90" s="250">
        <f t="shared" si="34"/>
        <v>0</v>
      </c>
      <c r="H90" s="250">
        <f t="shared" si="34"/>
        <v>0</v>
      </c>
      <c r="I90" s="250">
        <f t="shared" si="34"/>
        <v>0</v>
      </c>
      <c r="J90" s="250">
        <f t="shared" si="34"/>
        <v>0</v>
      </c>
      <c r="K90" s="250">
        <f t="shared" si="34"/>
        <v>0</v>
      </c>
      <c r="L90" s="250">
        <f t="shared" si="34"/>
        <v>0</v>
      </c>
      <c r="M90" s="250">
        <f t="shared" si="34"/>
        <v>0</v>
      </c>
      <c r="N90" s="250">
        <f t="shared" si="34"/>
        <v>0</v>
      </c>
      <c r="O90" s="250">
        <f t="shared" si="34"/>
        <v>0</v>
      </c>
      <c r="P90" s="250">
        <f t="shared" si="34"/>
        <v>0</v>
      </c>
      <c r="Q90" s="250">
        <f t="shared" si="34"/>
        <v>0</v>
      </c>
      <c r="R90" s="250">
        <f t="shared" si="34"/>
        <v>-7063574.6199300056</v>
      </c>
      <c r="S90" s="250">
        <f t="shared" si="34"/>
        <v>-54933.409454082459</v>
      </c>
      <c r="T90" s="250">
        <f t="shared" si="34"/>
        <v>-54933.409454082459</v>
      </c>
      <c r="U90" s="250">
        <f t="shared" si="34"/>
        <v>-54933.409454082459</v>
      </c>
      <c r="V90" s="250">
        <f t="shared" si="34"/>
        <v>-54933.409454082459</v>
      </c>
      <c r="W90" s="250">
        <f t="shared" si="34"/>
        <v>-54933.409454082459</v>
      </c>
      <c r="X90" s="250">
        <f t="shared" si="34"/>
        <v>-54933.409454082459</v>
      </c>
      <c r="Y90" s="250">
        <f t="shared" si="34"/>
        <v>-54933.409454082459</v>
      </c>
      <c r="Z90" s="250">
        <f t="shared" si="34"/>
        <v>-54933.409454082459</v>
      </c>
      <c r="AA90" s="250">
        <f t="shared" si="34"/>
        <v>-111640280.10443735</v>
      </c>
      <c r="AB90" s="250">
        <f t="shared" si="34"/>
        <v>0</v>
      </c>
      <c r="AC90" s="250">
        <f t="shared" si="34"/>
        <v>0</v>
      </c>
      <c r="AD90" s="250">
        <f t="shared" si="34"/>
        <v>0</v>
      </c>
      <c r="AE90" s="250">
        <f t="shared" si="34"/>
        <v>0</v>
      </c>
      <c r="AF90" s="250">
        <f t="shared" si="34"/>
        <v>0</v>
      </c>
      <c r="AG90" s="250">
        <f t="shared" si="34"/>
        <v>0</v>
      </c>
      <c r="AH90" s="250">
        <f t="shared" si="34"/>
        <v>0</v>
      </c>
      <c r="AI90" s="250">
        <f t="shared" si="34"/>
        <v>0</v>
      </c>
      <c r="AJ90" s="250">
        <f t="shared" si="34"/>
        <v>0</v>
      </c>
      <c r="AK90" s="250">
        <f t="shared" si="34"/>
        <v>0</v>
      </c>
      <c r="AL90" s="250">
        <f t="shared" si="34"/>
        <v>0</v>
      </c>
      <c r="AM90" s="250">
        <f t="shared" si="34"/>
        <v>0</v>
      </c>
      <c r="AN90" s="250">
        <f t="shared" si="34"/>
        <v>0</v>
      </c>
      <c r="AO90" s="250">
        <f t="shared" si="34"/>
        <v>0</v>
      </c>
      <c r="AP90" s="250">
        <f t="shared" si="34"/>
        <v>0</v>
      </c>
      <c r="AQ90" s="250">
        <f t="shared" si="34"/>
        <v>0</v>
      </c>
      <c r="AR90" s="250">
        <f t="shared" si="34"/>
        <v>0</v>
      </c>
      <c r="AS90" s="250">
        <f t="shared" si="34"/>
        <v>0</v>
      </c>
      <c r="AT90" s="250">
        <f t="shared" si="34"/>
        <v>0</v>
      </c>
      <c r="AU90" s="250">
        <f t="shared" si="34"/>
        <v>0</v>
      </c>
      <c r="AV90" s="250">
        <f t="shared" si="34"/>
        <v>0</v>
      </c>
      <c r="AW90" s="250">
        <f t="shared" si="34"/>
        <v>0</v>
      </c>
      <c r="AX90" s="250">
        <f t="shared" si="34"/>
        <v>0</v>
      </c>
      <c r="AY90" s="250">
        <f t="shared" si="34"/>
        <v>0</v>
      </c>
      <c r="AZ90" s="250">
        <f t="shared" si="34"/>
        <v>0</v>
      </c>
      <c r="BA90" s="250">
        <f t="shared" si="34"/>
        <v>0</v>
      </c>
      <c r="BB90" s="250">
        <f t="shared" si="34"/>
        <v>0</v>
      </c>
      <c r="BC90" s="250">
        <f t="shared" si="34"/>
        <v>0</v>
      </c>
      <c r="BD90" s="250">
        <f t="shared" si="34"/>
        <v>0</v>
      </c>
      <c r="BE90" s="250">
        <f t="shared" si="34"/>
        <v>0</v>
      </c>
      <c r="BF90" s="250">
        <f t="shared" si="34"/>
        <v>0</v>
      </c>
      <c r="BG90" s="250">
        <f t="shared" si="34"/>
        <v>0</v>
      </c>
      <c r="BH90" s="250">
        <f t="shared" si="34"/>
        <v>0</v>
      </c>
      <c r="BI90" s="250">
        <f t="shared" si="34"/>
        <v>0</v>
      </c>
      <c r="BJ90" s="250">
        <f t="shared" si="34"/>
        <v>0</v>
      </c>
      <c r="BK90" s="250">
        <f t="shared" si="34"/>
        <v>0</v>
      </c>
      <c r="BL90" s="250">
        <f t="shared" si="34"/>
        <v>0</v>
      </c>
      <c r="BM90" s="250">
        <f t="shared" si="34"/>
        <v>0</v>
      </c>
      <c r="BN90" s="250">
        <f t="shared" si="34"/>
        <v>0</v>
      </c>
      <c r="BO90" s="250">
        <f t="shared" si="34"/>
        <v>0</v>
      </c>
      <c r="BP90" s="250">
        <f t="shared" si="34"/>
        <v>0</v>
      </c>
      <c r="BQ90" s="250">
        <f t="shared" si="34"/>
        <v>0</v>
      </c>
      <c r="BR90" s="250">
        <f t="shared" si="34"/>
        <v>0</v>
      </c>
      <c r="BS90" s="250">
        <f t="shared" si="34"/>
        <v>0</v>
      </c>
      <c r="BT90" s="250">
        <f t="shared" si="34"/>
        <v>0</v>
      </c>
      <c r="BU90" s="250">
        <f t="shared" si="34"/>
        <v>0</v>
      </c>
      <c r="BV90" s="250">
        <f t="shared" si="34"/>
        <v>0</v>
      </c>
      <c r="BW90" s="250">
        <f t="shared" si="34"/>
        <v>0</v>
      </c>
      <c r="BX90" s="250">
        <f t="shared" si="34"/>
        <v>0</v>
      </c>
      <c r="BY90" s="779">
        <f>BZ17</f>
        <v>-122020844.69242023</v>
      </c>
      <c r="BZ90" s="768"/>
      <c r="CA90" s="226"/>
      <c r="CB90" s="226"/>
      <c r="CC90" s="226"/>
    </row>
    <row r="91" spans="1:81" hidden="1" outlineLevel="1">
      <c r="A91" s="603"/>
      <c r="B91" s="787"/>
      <c r="C91" s="253" t="s">
        <v>327</v>
      </c>
      <c r="D91" s="254" t="s">
        <v>270</v>
      </c>
      <c r="E91" s="255"/>
      <c r="F91" s="255"/>
      <c r="G91" s="255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5"/>
      <c r="V91" s="255"/>
      <c r="W91" s="255"/>
      <c r="X91" s="255"/>
      <c r="Y91" s="255"/>
      <c r="Z91" s="255"/>
      <c r="AA91" s="256">
        <f>-BY5-SUM(L91:Z91)</f>
        <v>-16365002</v>
      </c>
      <c r="AB91" s="255"/>
      <c r="AC91" s="255"/>
      <c r="AD91" s="255"/>
      <c r="AE91" s="255"/>
      <c r="AF91" s="255"/>
      <c r="AG91" s="255"/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6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64"/>
      <c r="BY91" s="296">
        <f t="shared" ref="BY91:BY97" si="35">SUM(E91:BX91)</f>
        <v>-16365002</v>
      </c>
      <c r="BZ91" s="777">
        <f>SUM(BY91:BY97)</f>
        <v>-119143322.00000001</v>
      </c>
      <c r="CA91" s="226"/>
      <c r="CB91" s="226"/>
      <c r="CC91" s="226"/>
    </row>
    <row r="92" spans="1:81" hidden="1" outlineLevel="1">
      <c r="A92" s="253" t="s">
        <v>328</v>
      </c>
      <c r="B92" s="787"/>
      <c r="C92" s="253" t="s">
        <v>329</v>
      </c>
      <c r="D92" s="254" t="s">
        <v>270</v>
      </c>
      <c r="E92" s="255"/>
      <c r="F92" s="255"/>
      <c r="G92" s="255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5"/>
      <c r="V92" s="255"/>
      <c r="W92" s="255"/>
      <c r="X92" s="255"/>
      <c r="Y92" s="255"/>
      <c r="Z92" s="255"/>
      <c r="AA92" s="256">
        <f>-BY6-SUM(E92:Z92)</f>
        <v>-26505000</v>
      </c>
      <c r="AB92" s="255"/>
      <c r="AC92" s="255"/>
      <c r="AD92" s="255"/>
      <c r="AE92" s="255"/>
      <c r="AF92" s="255"/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91">
        <f t="shared" si="35"/>
        <v>-26505000</v>
      </c>
      <c r="BZ92" s="771"/>
      <c r="CA92" s="226"/>
      <c r="CB92" s="226"/>
      <c r="CC92" s="226"/>
    </row>
    <row r="93" spans="1:81" hidden="1" outlineLevel="1">
      <c r="A93" s="253" t="s">
        <v>330</v>
      </c>
      <c r="B93" s="787"/>
      <c r="C93" s="293" t="s">
        <v>328</v>
      </c>
      <c r="D93" s="254" t="s">
        <v>270</v>
      </c>
      <c r="E93" s="255"/>
      <c r="F93" s="255"/>
      <c r="G93" s="255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5"/>
      <c r="V93" s="255"/>
      <c r="W93" s="255"/>
      <c r="X93" s="255"/>
      <c r="Y93" s="255"/>
      <c r="Z93" s="255"/>
      <c r="AA93" s="256">
        <f>-CF7</f>
        <v>0</v>
      </c>
      <c r="AB93" s="255"/>
      <c r="AC93" s="255"/>
      <c r="AD93" s="255"/>
      <c r="AE93" s="255"/>
      <c r="AF93" s="255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5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91">
        <f t="shared" si="35"/>
        <v>0</v>
      </c>
      <c r="BZ93" s="771"/>
      <c r="CA93" s="226"/>
      <c r="CB93" s="226"/>
      <c r="CC93" s="226"/>
    </row>
    <row r="94" spans="1:81" hidden="1" outlineLevel="1">
      <c r="A94" s="603"/>
      <c r="B94" s="787"/>
      <c r="C94" s="292" t="s">
        <v>330</v>
      </c>
      <c r="D94" s="254" t="s">
        <v>270</v>
      </c>
      <c r="E94" s="255"/>
      <c r="F94" s="255"/>
      <c r="G94" s="255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91">
        <f t="shared" si="35"/>
        <v>0</v>
      </c>
      <c r="BZ94" s="771"/>
      <c r="CA94" s="226"/>
      <c r="CB94" s="226"/>
      <c r="CC94" s="226"/>
    </row>
    <row r="95" spans="1:81" hidden="1" outlineLevel="1">
      <c r="A95" s="603"/>
      <c r="B95" s="787"/>
      <c r="C95" s="253" t="s">
        <v>331</v>
      </c>
      <c r="D95" s="254" t="s">
        <v>270</v>
      </c>
      <c r="E95" s="255"/>
      <c r="F95" s="255"/>
      <c r="G95" s="255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6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64"/>
      <c r="BY95" s="291">
        <f t="shared" si="35"/>
        <v>0</v>
      </c>
      <c r="BZ95" s="771"/>
      <c r="CA95" s="226"/>
      <c r="CB95" s="226"/>
      <c r="CC95" s="226"/>
    </row>
    <row r="96" spans="1:81" hidden="1" outlineLevel="1">
      <c r="A96" s="603"/>
      <c r="B96" s="787"/>
      <c r="C96" s="253" t="s">
        <v>332</v>
      </c>
      <c r="D96" s="254" t="s">
        <v>270</v>
      </c>
      <c r="E96" s="255"/>
      <c r="F96" s="255"/>
      <c r="G96" s="255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5"/>
      <c r="V96" s="255"/>
      <c r="W96" s="255"/>
      <c r="X96" s="255"/>
      <c r="Y96" s="255"/>
      <c r="Z96" s="255"/>
      <c r="AA96" s="255">
        <f>-BY10-BY9</f>
        <v>-24773320</v>
      </c>
      <c r="AB96" s="255"/>
      <c r="AC96" s="255"/>
      <c r="AD96" s="255"/>
      <c r="AE96" s="255"/>
      <c r="AF96" s="255"/>
      <c r="AG96" s="255"/>
      <c r="AH96" s="255"/>
      <c r="AI96" s="255"/>
      <c r="AJ96" s="255"/>
      <c r="AK96" s="255"/>
      <c r="AL96" s="255"/>
      <c r="AM96" s="255"/>
      <c r="AN96" s="255"/>
      <c r="AO96" s="255"/>
      <c r="AP96" s="255"/>
      <c r="AQ96" s="255"/>
      <c r="AR96" s="255"/>
      <c r="AS96" s="255"/>
      <c r="AT96" s="255"/>
      <c r="AU96" s="255"/>
      <c r="AV96" s="255"/>
      <c r="AW96" s="255"/>
      <c r="AX96" s="255"/>
      <c r="AY96" s="255"/>
      <c r="AZ96" s="255"/>
      <c r="BA96" s="255"/>
      <c r="BB96" s="255"/>
      <c r="BC96" s="256"/>
      <c r="BD96" s="255"/>
      <c r="BE96" s="255"/>
      <c r="BF96" s="255"/>
      <c r="BG96" s="255"/>
      <c r="BH96" s="255"/>
      <c r="BI96" s="255"/>
      <c r="BJ96" s="255"/>
      <c r="BK96" s="255"/>
      <c r="BL96" s="255"/>
      <c r="BM96" s="255"/>
      <c r="BN96" s="255"/>
      <c r="BO96" s="255"/>
      <c r="BP96" s="255"/>
      <c r="BQ96" s="255"/>
      <c r="BR96" s="255"/>
      <c r="BS96" s="255"/>
      <c r="BT96" s="255"/>
      <c r="BU96" s="255"/>
      <c r="BV96" s="255"/>
      <c r="BW96" s="255"/>
      <c r="BX96" s="264"/>
      <c r="BY96" s="298">
        <f t="shared" si="35"/>
        <v>-24773320</v>
      </c>
      <c r="BZ96" s="771"/>
      <c r="CA96" s="226"/>
      <c r="CB96" s="226"/>
      <c r="CC96" s="226"/>
    </row>
    <row r="97" spans="1:81" hidden="1" outlineLevel="1">
      <c r="A97" s="603"/>
      <c r="B97" s="781"/>
      <c r="C97" s="284" t="s">
        <v>333</v>
      </c>
      <c r="D97" s="299" t="s">
        <v>270</v>
      </c>
      <c r="E97" s="286"/>
      <c r="F97" s="286"/>
      <c r="G97" s="286"/>
      <c r="H97" s="287"/>
      <c r="I97" s="287"/>
      <c r="J97" s="287"/>
      <c r="K97" s="287"/>
      <c r="L97" s="287"/>
      <c r="M97" s="287"/>
      <c r="N97" s="287"/>
      <c r="O97" s="287"/>
      <c r="P97" s="287"/>
      <c r="Q97" s="287"/>
      <c r="R97" s="287">
        <f>PMT($D$62/12,25*12,$BY11)-R62-7000000</f>
        <v>-7063574.6199300056</v>
      </c>
      <c r="S97" s="287">
        <f t="shared" ref="S97:Z97" si="36">(PMT($D$62/12,25*12,$BY11-7000000)-S62)</f>
        <v>-54933.409454082459</v>
      </c>
      <c r="T97" s="287">
        <f t="shared" si="36"/>
        <v>-54933.409454082459</v>
      </c>
      <c r="U97" s="287">
        <f t="shared" si="36"/>
        <v>-54933.409454082459</v>
      </c>
      <c r="V97" s="287">
        <f t="shared" si="36"/>
        <v>-54933.409454082459</v>
      </c>
      <c r="W97" s="287">
        <f t="shared" si="36"/>
        <v>-54933.409454082459</v>
      </c>
      <c r="X97" s="287">
        <f t="shared" si="36"/>
        <v>-54933.409454082459</v>
      </c>
      <c r="Y97" s="287">
        <f t="shared" si="36"/>
        <v>-54933.409454082459</v>
      </c>
      <c r="Z97" s="287">
        <f t="shared" si="36"/>
        <v>-54933.409454082459</v>
      </c>
      <c r="AA97" s="287">
        <f>-$BY$11-SUM($P$97:Z97)</f>
        <v>-43996958.104437351</v>
      </c>
      <c r="AB97" s="286"/>
      <c r="AC97" s="286"/>
      <c r="AD97" s="286"/>
      <c r="AE97" s="286"/>
      <c r="AF97" s="286"/>
      <c r="AG97" s="286"/>
      <c r="AH97" s="286"/>
      <c r="AI97" s="286"/>
      <c r="AJ97" s="286"/>
      <c r="AK97" s="286"/>
      <c r="AL97" s="286"/>
      <c r="AM97" s="286"/>
      <c r="AN97" s="286"/>
      <c r="AO97" s="286"/>
      <c r="AP97" s="286"/>
      <c r="AQ97" s="286"/>
      <c r="AR97" s="286"/>
      <c r="AS97" s="286"/>
      <c r="AT97" s="286"/>
      <c r="AU97" s="286"/>
      <c r="AV97" s="286"/>
      <c r="AW97" s="286"/>
      <c r="AX97" s="286"/>
      <c r="AY97" s="286"/>
      <c r="AZ97" s="286"/>
      <c r="BA97" s="286"/>
      <c r="BB97" s="286"/>
      <c r="BC97" s="286"/>
      <c r="BD97" s="286"/>
      <c r="BE97" s="286"/>
      <c r="BF97" s="286"/>
      <c r="BG97" s="286"/>
      <c r="BH97" s="286"/>
      <c r="BI97" s="286"/>
      <c r="BJ97" s="286"/>
      <c r="BK97" s="286"/>
      <c r="BL97" s="286"/>
      <c r="BM97" s="286"/>
      <c r="BN97" s="286"/>
      <c r="BO97" s="286"/>
      <c r="BP97" s="286"/>
      <c r="BQ97" s="286"/>
      <c r="BR97" s="286"/>
      <c r="BS97" s="286"/>
      <c r="BT97" s="286"/>
      <c r="BU97" s="286"/>
      <c r="BV97" s="286"/>
      <c r="BW97" s="286"/>
      <c r="BX97" s="288"/>
      <c r="BY97" s="268">
        <f t="shared" si="35"/>
        <v>-51500000.000000015</v>
      </c>
      <c r="BZ97" s="776"/>
      <c r="CA97" s="226"/>
      <c r="CB97" s="226"/>
      <c r="CC97" s="226"/>
    </row>
    <row r="98" spans="1:81" ht="16">
      <c r="A98" s="603"/>
      <c r="B98" s="790" t="s">
        <v>334</v>
      </c>
      <c r="C98" s="774"/>
      <c r="D98" s="300" t="s">
        <v>270</v>
      </c>
      <c r="E98" s="301">
        <f t="shared" ref="E98:BX98" si="37">(E17+E23+E26+E34+E37+E49+E55+E63+E87+E90)</f>
        <v>0</v>
      </c>
      <c r="F98" s="301">
        <f t="shared" si="37"/>
        <v>0</v>
      </c>
      <c r="G98" s="301">
        <f t="shared" si="37"/>
        <v>0</v>
      </c>
      <c r="H98" s="301">
        <f t="shared" si="37"/>
        <v>-10737799.354999999</v>
      </c>
      <c r="I98" s="301">
        <f t="shared" si="37"/>
        <v>-1867696.1950000001</v>
      </c>
      <c r="J98" s="301">
        <f t="shared" si="37"/>
        <v>-1817623.665</v>
      </c>
      <c r="K98" s="301">
        <f t="shared" si="37"/>
        <v>-902873.87700000009</v>
      </c>
      <c r="L98" s="301">
        <f t="shared" si="37"/>
        <v>-5038194.0799999991</v>
      </c>
      <c r="M98" s="301">
        <f t="shared" si="37"/>
        <v>-10761502.959999999</v>
      </c>
      <c r="N98" s="301">
        <f t="shared" si="37"/>
        <v>-20069846.199999999</v>
      </c>
      <c r="O98" s="301">
        <f t="shared" si="37"/>
        <v>-9758870.4799999986</v>
      </c>
      <c r="P98" s="301">
        <f t="shared" si="37"/>
        <v>-10462687.006333333</v>
      </c>
      <c r="Q98" s="301">
        <f t="shared" si="37"/>
        <v>-7634066.2784166597</v>
      </c>
      <c r="R98" s="301">
        <f t="shared" si="37"/>
        <v>-9878058.030346673</v>
      </c>
      <c r="S98" s="301">
        <f t="shared" si="37"/>
        <v>-4830476.4229499148</v>
      </c>
      <c r="T98" s="301">
        <f t="shared" si="37"/>
        <v>-4401813.0025374154</v>
      </c>
      <c r="U98" s="301">
        <f t="shared" si="37"/>
        <v>-4372366.0775374155</v>
      </c>
      <c r="V98" s="301">
        <f t="shared" si="37"/>
        <v>-4397254.0775374155</v>
      </c>
      <c r="W98" s="301">
        <f t="shared" si="37"/>
        <v>-4422142.0775374155</v>
      </c>
      <c r="X98" s="301">
        <f t="shared" si="37"/>
        <v>-4447030.0775374155</v>
      </c>
      <c r="Y98" s="301">
        <f t="shared" si="37"/>
        <v>-4471918.0775374155</v>
      </c>
      <c r="Z98" s="301">
        <f t="shared" si="37"/>
        <v>-5084363.3479499156</v>
      </c>
      <c r="AA98" s="301">
        <f t="shared" si="37"/>
        <v>-115344599.40419926</v>
      </c>
      <c r="AB98" s="301">
        <f t="shared" si="37"/>
        <v>0</v>
      </c>
      <c r="AC98" s="301">
        <f t="shared" si="37"/>
        <v>0</v>
      </c>
      <c r="AD98" s="301">
        <f t="shared" si="37"/>
        <v>0</v>
      </c>
      <c r="AE98" s="301">
        <f t="shared" si="37"/>
        <v>0</v>
      </c>
      <c r="AF98" s="301">
        <f t="shared" si="37"/>
        <v>0</v>
      </c>
      <c r="AG98" s="301">
        <f t="shared" si="37"/>
        <v>0</v>
      </c>
      <c r="AH98" s="301">
        <f t="shared" si="37"/>
        <v>0</v>
      </c>
      <c r="AI98" s="301">
        <f t="shared" si="37"/>
        <v>0</v>
      </c>
      <c r="AJ98" s="301">
        <f t="shared" si="37"/>
        <v>0</v>
      </c>
      <c r="AK98" s="301">
        <f t="shared" si="37"/>
        <v>0</v>
      </c>
      <c r="AL98" s="301">
        <f t="shared" si="37"/>
        <v>0</v>
      </c>
      <c r="AM98" s="301">
        <f t="shared" si="37"/>
        <v>0</v>
      </c>
      <c r="AN98" s="301">
        <f t="shared" si="37"/>
        <v>0</v>
      </c>
      <c r="AO98" s="301">
        <f t="shared" si="37"/>
        <v>0</v>
      </c>
      <c r="AP98" s="301">
        <f t="shared" si="37"/>
        <v>0</v>
      </c>
      <c r="AQ98" s="301">
        <f t="shared" si="37"/>
        <v>0</v>
      </c>
      <c r="AR98" s="301">
        <f t="shared" si="37"/>
        <v>0</v>
      </c>
      <c r="AS98" s="301">
        <f t="shared" si="37"/>
        <v>0</v>
      </c>
      <c r="AT98" s="301">
        <f t="shared" si="37"/>
        <v>0</v>
      </c>
      <c r="AU98" s="301">
        <f t="shared" si="37"/>
        <v>0</v>
      </c>
      <c r="AV98" s="301">
        <f t="shared" si="37"/>
        <v>0</v>
      </c>
      <c r="AW98" s="301">
        <f t="shared" si="37"/>
        <v>0</v>
      </c>
      <c r="AX98" s="301">
        <f t="shared" si="37"/>
        <v>0</v>
      </c>
      <c r="AY98" s="301">
        <f t="shared" si="37"/>
        <v>0</v>
      </c>
      <c r="AZ98" s="301">
        <f t="shared" si="37"/>
        <v>0</v>
      </c>
      <c r="BA98" s="301">
        <f t="shared" si="37"/>
        <v>0</v>
      </c>
      <c r="BB98" s="301">
        <f t="shared" si="37"/>
        <v>0</v>
      </c>
      <c r="BC98" s="301">
        <f t="shared" si="37"/>
        <v>0</v>
      </c>
      <c r="BD98" s="301">
        <f t="shared" si="37"/>
        <v>0</v>
      </c>
      <c r="BE98" s="301">
        <f t="shared" si="37"/>
        <v>0</v>
      </c>
      <c r="BF98" s="301">
        <f t="shared" si="37"/>
        <v>0</v>
      </c>
      <c r="BG98" s="301">
        <f t="shared" si="37"/>
        <v>0</v>
      </c>
      <c r="BH98" s="301">
        <f t="shared" si="37"/>
        <v>0</v>
      </c>
      <c r="BI98" s="301">
        <f t="shared" si="37"/>
        <v>0</v>
      </c>
      <c r="BJ98" s="301">
        <f t="shared" si="37"/>
        <v>0</v>
      </c>
      <c r="BK98" s="301">
        <f t="shared" si="37"/>
        <v>0</v>
      </c>
      <c r="BL98" s="301">
        <f t="shared" si="37"/>
        <v>0</v>
      </c>
      <c r="BM98" s="301">
        <f t="shared" si="37"/>
        <v>0</v>
      </c>
      <c r="BN98" s="301">
        <f t="shared" si="37"/>
        <v>0</v>
      </c>
      <c r="BO98" s="301">
        <f t="shared" si="37"/>
        <v>0</v>
      </c>
      <c r="BP98" s="301">
        <f t="shared" si="37"/>
        <v>0</v>
      </c>
      <c r="BQ98" s="301">
        <f t="shared" si="37"/>
        <v>0</v>
      </c>
      <c r="BR98" s="301">
        <f t="shared" si="37"/>
        <v>0</v>
      </c>
      <c r="BS98" s="301">
        <f t="shared" si="37"/>
        <v>0</v>
      </c>
      <c r="BT98" s="301">
        <f t="shared" si="37"/>
        <v>0</v>
      </c>
      <c r="BU98" s="301">
        <f t="shared" si="37"/>
        <v>0</v>
      </c>
      <c r="BV98" s="301">
        <f t="shared" si="37"/>
        <v>0</v>
      </c>
      <c r="BW98" s="301">
        <f t="shared" si="37"/>
        <v>0</v>
      </c>
      <c r="BX98" s="301">
        <f t="shared" si="37"/>
        <v>0</v>
      </c>
      <c r="BY98" s="780">
        <f>BZ91</f>
        <v>-119143322.00000001</v>
      </c>
      <c r="BZ98" s="781"/>
      <c r="CA98" s="226"/>
      <c r="CB98" s="226"/>
      <c r="CC98" s="226"/>
    </row>
    <row r="99" spans="1:81" ht="16">
      <c r="A99" s="603"/>
      <c r="B99" s="605"/>
      <c r="C99" s="605"/>
      <c r="D99" s="302"/>
      <c r="E99" s="303"/>
      <c r="F99" s="303"/>
      <c r="G99" s="303"/>
      <c r="H99" s="303">
        <f>H98</f>
        <v>-10737799.354999999</v>
      </c>
      <c r="I99" s="303">
        <f t="shared" ref="I99:N99" si="38">H99+I98</f>
        <v>-12605495.549999999</v>
      </c>
      <c r="J99" s="303">
        <f t="shared" si="38"/>
        <v>-14423119.215</v>
      </c>
      <c r="K99" s="303">
        <f t="shared" si="38"/>
        <v>-15325993.092</v>
      </c>
      <c r="L99" s="303">
        <f t="shared" si="38"/>
        <v>-20364187.171999998</v>
      </c>
      <c r="M99" s="303">
        <f t="shared" si="38"/>
        <v>-31125690.131999999</v>
      </c>
      <c r="N99" s="303">
        <f t="shared" si="38"/>
        <v>-51195536.332000002</v>
      </c>
      <c r="O99" s="304"/>
      <c r="P99" s="304"/>
      <c r="Q99" s="304"/>
      <c r="R99" s="304"/>
      <c r="S99" s="304"/>
      <c r="T99" s="304"/>
      <c r="U99" s="303"/>
      <c r="V99" s="303"/>
      <c r="W99" s="303"/>
      <c r="X99" s="304"/>
      <c r="Y99" s="304"/>
      <c r="Z99" s="304"/>
      <c r="AA99" s="304"/>
      <c r="AB99" s="304"/>
      <c r="AC99" s="303"/>
      <c r="AD99" s="304"/>
      <c r="AE99" s="304"/>
      <c r="AF99" s="304"/>
      <c r="AG99" s="304"/>
      <c r="AH99" s="304"/>
      <c r="AI99" s="304"/>
      <c r="AJ99" s="304"/>
      <c r="AK99" s="304"/>
      <c r="AL99" s="304"/>
      <c r="AM99" s="304"/>
      <c r="AN99" s="304"/>
      <c r="AO99" s="303"/>
      <c r="AP99" s="304"/>
      <c r="AQ99" s="304"/>
      <c r="AR99" s="304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  <c r="BJ99" s="303"/>
      <c r="BK99" s="303"/>
      <c r="BL99" s="305"/>
      <c r="BM99" s="305"/>
      <c r="BN99" s="305"/>
      <c r="BO99" s="305"/>
      <c r="BP99" s="305"/>
      <c r="BQ99" s="305"/>
      <c r="BR99" s="305"/>
      <c r="BS99" s="305"/>
      <c r="BT99" s="305"/>
      <c r="BU99" s="305"/>
      <c r="BV99" s="305"/>
      <c r="BW99" s="305"/>
      <c r="BX99" s="305"/>
      <c r="BY99" s="306"/>
      <c r="BZ99" s="306"/>
      <c r="CA99" s="226"/>
      <c r="CB99" s="226"/>
      <c r="CC99" s="226"/>
    </row>
    <row r="100" spans="1:81" ht="16">
      <c r="A100" s="603"/>
      <c r="B100" s="791" t="s">
        <v>335</v>
      </c>
      <c r="C100" s="774"/>
      <c r="D100" s="307"/>
      <c r="E100" s="303">
        <f t="shared" ref="E100:BX100" si="39">E16+E98</f>
        <v>0</v>
      </c>
      <c r="F100" s="303">
        <f t="shared" si="39"/>
        <v>0</v>
      </c>
      <c r="G100" s="303">
        <f t="shared" si="39"/>
        <v>0</v>
      </c>
      <c r="H100" s="303">
        <f t="shared" si="39"/>
        <v>5627202.6450000014</v>
      </c>
      <c r="I100" s="303">
        <f t="shared" si="39"/>
        <v>-1861469.1950000001</v>
      </c>
      <c r="J100" s="303">
        <f t="shared" si="39"/>
        <v>-1803035.665</v>
      </c>
      <c r="K100" s="303">
        <f t="shared" si="39"/>
        <v>439594.12299999991</v>
      </c>
      <c r="L100" s="303">
        <f t="shared" si="39"/>
        <v>-3040677.0799999991</v>
      </c>
      <c r="M100" s="304">
        <f t="shared" si="39"/>
        <v>57291.090000001714</v>
      </c>
      <c r="N100" s="303">
        <f t="shared" si="39"/>
        <v>-75913.25</v>
      </c>
      <c r="O100" s="304">
        <f t="shared" si="39"/>
        <v>32310.750000001863</v>
      </c>
      <c r="P100" s="304">
        <f t="shared" si="39"/>
        <v>1071747.1583526172</v>
      </c>
      <c r="Q100" s="304">
        <f t="shared" si="39"/>
        <v>12267315.814665988</v>
      </c>
      <c r="R100" s="304">
        <f t="shared" si="39"/>
        <v>-8692914.1816689875</v>
      </c>
      <c r="S100" s="304">
        <f t="shared" si="39"/>
        <v>824443.98093231674</v>
      </c>
      <c r="T100" s="304">
        <f t="shared" si="39"/>
        <v>673958.12100597285</v>
      </c>
      <c r="U100" s="303">
        <f t="shared" si="39"/>
        <v>-3146982.9464348331</v>
      </c>
      <c r="V100" s="303">
        <f t="shared" si="39"/>
        <v>558620.92274977453</v>
      </c>
      <c r="W100" s="303">
        <f t="shared" si="39"/>
        <v>553510.29940266721</v>
      </c>
      <c r="X100" s="304">
        <f t="shared" si="39"/>
        <v>553510.29940266721</v>
      </c>
      <c r="Y100" s="304">
        <f t="shared" si="39"/>
        <v>553510.29940266721</v>
      </c>
      <c r="Z100" s="304">
        <f t="shared" si="39"/>
        <v>-34046.971009832807</v>
      </c>
      <c r="AA100" s="304">
        <f t="shared" si="39"/>
        <v>19974974.99633421</v>
      </c>
      <c r="AB100" s="304">
        <f t="shared" si="39"/>
        <v>0</v>
      </c>
      <c r="AC100" s="303">
        <f t="shared" si="39"/>
        <v>0</v>
      </c>
      <c r="AD100" s="304">
        <f t="shared" si="39"/>
        <v>0</v>
      </c>
      <c r="AE100" s="304">
        <f t="shared" si="39"/>
        <v>0</v>
      </c>
      <c r="AF100" s="304">
        <f t="shared" si="39"/>
        <v>0</v>
      </c>
      <c r="AG100" s="304">
        <f t="shared" si="39"/>
        <v>0</v>
      </c>
      <c r="AH100" s="304">
        <f t="shared" si="39"/>
        <v>0</v>
      </c>
      <c r="AI100" s="304">
        <f t="shared" si="39"/>
        <v>0</v>
      </c>
      <c r="AJ100" s="304">
        <f t="shared" si="39"/>
        <v>0</v>
      </c>
      <c r="AK100" s="304">
        <f t="shared" si="39"/>
        <v>0</v>
      </c>
      <c r="AL100" s="304">
        <f t="shared" si="39"/>
        <v>0</v>
      </c>
      <c r="AM100" s="304">
        <f t="shared" si="39"/>
        <v>0</v>
      </c>
      <c r="AN100" s="304">
        <f t="shared" si="39"/>
        <v>0</v>
      </c>
      <c r="AO100" s="303">
        <f t="shared" si="39"/>
        <v>0</v>
      </c>
      <c r="AP100" s="304">
        <f t="shared" si="39"/>
        <v>0</v>
      </c>
      <c r="AQ100" s="304">
        <f t="shared" si="39"/>
        <v>0</v>
      </c>
      <c r="AR100" s="304">
        <f t="shared" si="39"/>
        <v>0</v>
      </c>
      <c r="AS100" s="303">
        <f t="shared" si="39"/>
        <v>0</v>
      </c>
      <c r="AT100" s="303">
        <f t="shared" si="39"/>
        <v>0</v>
      </c>
      <c r="AU100" s="303">
        <f t="shared" si="39"/>
        <v>0</v>
      </c>
      <c r="AV100" s="303">
        <f t="shared" si="39"/>
        <v>0</v>
      </c>
      <c r="AW100" s="303">
        <f t="shared" si="39"/>
        <v>0</v>
      </c>
      <c r="AX100" s="303">
        <f t="shared" si="39"/>
        <v>0</v>
      </c>
      <c r="AY100" s="303">
        <f t="shared" si="39"/>
        <v>0</v>
      </c>
      <c r="AZ100" s="303">
        <f t="shared" si="39"/>
        <v>0</v>
      </c>
      <c r="BA100" s="303">
        <f t="shared" si="39"/>
        <v>0</v>
      </c>
      <c r="BB100" s="303">
        <f t="shared" si="39"/>
        <v>0</v>
      </c>
      <c r="BC100" s="303">
        <f t="shared" si="39"/>
        <v>0</v>
      </c>
      <c r="BD100" s="303">
        <f t="shared" si="39"/>
        <v>0</v>
      </c>
      <c r="BE100" s="303">
        <f t="shared" si="39"/>
        <v>0</v>
      </c>
      <c r="BF100" s="303">
        <f t="shared" si="39"/>
        <v>0</v>
      </c>
      <c r="BG100" s="303">
        <f t="shared" si="39"/>
        <v>0</v>
      </c>
      <c r="BH100" s="303">
        <f t="shared" si="39"/>
        <v>0</v>
      </c>
      <c r="BI100" s="303">
        <f t="shared" si="39"/>
        <v>0</v>
      </c>
      <c r="BJ100" s="303">
        <f t="shared" si="39"/>
        <v>0</v>
      </c>
      <c r="BK100" s="303">
        <f t="shared" si="39"/>
        <v>0</v>
      </c>
      <c r="BL100" s="308">
        <f t="shared" si="39"/>
        <v>0</v>
      </c>
      <c r="BM100" s="308">
        <f t="shared" si="39"/>
        <v>0</v>
      </c>
      <c r="BN100" s="308">
        <f t="shared" si="39"/>
        <v>0</v>
      </c>
      <c r="BO100" s="308">
        <f t="shared" si="39"/>
        <v>0</v>
      </c>
      <c r="BP100" s="308">
        <f t="shared" si="39"/>
        <v>0</v>
      </c>
      <c r="BQ100" s="308">
        <f t="shared" si="39"/>
        <v>0</v>
      </c>
      <c r="BR100" s="308">
        <f t="shared" si="39"/>
        <v>0</v>
      </c>
      <c r="BS100" s="308">
        <f t="shared" si="39"/>
        <v>0</v>
      </c>
      <c r="BT100" s="308">
        <f t="shared" si="39"/>
        <v>0</v>
      </c>
      <c r="BU100" s="308">
        <f t="shared" si="39"/>
        <v>0</v>
      </c>
      <c r="BV100" s="308">
        <f t="shared" si="39"/>
        <v>0</v>
      </c>
      <c r="BW100" s="308">
        <f t="shared" si="39"/>
        <v>0</v>
      </c>
      <c r="BX100" s="308">
        <f t="shared" si="39"/>
        <v>0</v>
      </c>
      <c r="BY100" s="782">
        <f>BY16+BY90+BY98</f>
        <v>24069965.211135253</v>
      </c>
      <c r="BZ100" s="783"/>
      <c r="CA100" s="226"/>
      <c r="CB100" s="226"/>
      <c r="CC100" s="226"/>
    </row>
    <row r="101" spans="1:81">
      <c r="A101" s="603"/>
      <c r="B101" s="792" t="s">
        <v>336</v>
      </c>
      <c r="C101" s="774"/>
      <c r="D101" s="309"/>
      <c r="E101" s="310">
        <f>E100</f>
        <v>0</v>
      </c>
      <c r="F101" s="310">
        <f>F100+E101</f>
        <v>0</v>
      </c>
      <c r="G101" s="310">
        <f>655760.63+24.98*24.5-16.85*22</f>
        <v>656001.94000000006</v>
      </c>
      <c r="H101" s="310">
        <f>H100+G101-66</f>
        <v>6283138.5850000018</v>
      </c>
      <c r="I101" s="310">
        <f t="shared" ref="I101:BX101" si="40">I100+H101</f>
        <v>4421669.3900000015</v>
      </c>
      <c r="J101" s="310">
        <f t="shared" si="40"/>
        <v>2618633.7250000015</v>
      </c>
      <c r="K101" s="310">
        <f t="shared" si="40"/>
        <v>3058227.8480000012</v>
      </c>
      <c r="L101" s="310">
        <f t="shared" si="40"/>
        <v>17550.768000002019</v>
      </c>
      <c r="M101" s="310">
        <f t="shared" si="40"/>
        <v>74841.858000003733</v>
      </c>
      <c r="N101" s="310">
        <f t="shared" si="40"/>
        <v>-1071.3919999962673</v>
      </c>
      <c r="O101" s="310">
        <f t="shared" si="40"/>
        <v>31239.358000005595</v>
      </c>
      <c r="P101" s="310">
        <f t="shared" si="40"/>
        <v>1102986.5163526228</v>
      </c>
      <c r="Q101" s="310">
        <f t="shared" si="40"/>
        <v>13370302.331018612</v>
      </c>
      <c r="R101" s="310">
        <f t="shared" si="40"/>
        <v>4677388.1493496243</v>
      </c>
      <c r="S101" s="310">
        <f t="shared" si="40"/>
        <v>5501832.130281941</v>
      </c>
      <c r="T101" s="310">
        <f t="shared" si="40"/>
        <v>6175790.2512879139</v>
      </c>
      <c r="U101" s="310">
        <f t="shared" si="40"/>
        <v>3028807.3048530808</v>
      </c>
      <c r="V101" s="310">
        <f t="shared" si="40"/>
        <v>3587428.2276028553</v>
      </c>
      <c r="W101" s="310">
        <f t="shared" si="40"/>
        <v>4140938.5270055225</v>
      </c>
      <c r="X101" s="310">
        <f t="shared" si="40"/>
        <v>4694448.8264081897</v>
      </c>
      <c r="Y101" s="310">
        <f t="shared" si="40"/>
        <v>5247959.1258108569</v>
      </c>
      <c r="Z101" s="310">
        <f t="shared" si="40"/>
        <v>5213912.1548010241</v>
      </c>
      <c r="AA101" s="310">
        <f t="shared" si="40"/>
        <v>25188887.151135236</v>
      </c>
      <c r="AB101" s="310">
        <f t="shared" si="40"/>
        <v>25188887.151135236</v>
      </c>
      <c r="AC101" s="310">
        <f t="shared" si="40"/>
        <v>25188887.151135236</v>
      </c>
      <c r="AD101" s="310">
        <f t="shared" si="40"/>
        <v>25188887.151135236</v>
      </c>
      <c r="AE101" s="310">
        <f t="shared" si="40"/>
        <v>25188887.151135236</v>
      </c>
      <c r="AF101" s="310">
        <f t="shared" si="40"/>
        <v>25188887.151135236</v>
      </c>
      <c r="AG101" s="310">
        <f t="shared" si="40"/>
        <v>25188887.151135236</v>
      </c>
      <c r="AH101" s="310">
        <f t="shared" si="40"/>
        <v>25188887.151135236</v>
      </c>
      <c r="AI101" s="310">
        <f t="shared" si="40"/>
        <v>25188887.151135236</v>
      </c>
      <c r="AJ101" s="310">
        <f t="shared" si="40"/>
        <v>25188887.151135236</v>
      </c>
      <c r="AK101" s="310">
        <f t="shared" si="40"/>
        <v>25188887.151135236</v>
      </c>
      <c r="AL101" s="310">
        <f t="shared" si="40"/>
        <v>25188887.151135236</v>
      </c>
      <c r="AM101" s="310">
        <f t="shared" si="40"/>
        <v>25188887.151135236</v>
      </c>
      <c r="AN101" s="310">
        <f t="shared" si="40"/>
        <v>25188887.151135236</v>
      </c>
      <c r="AO101" s="310">
        <f t="shared" si="40"/>
        <v>25188887.151135236</v>
      </c>
      <c r="AP101" s="310">
        <f t="shared" si="40"/>
        <v>25188887.151135236</v>
      </c>
      <c r="AQ101" s="310">
        <f t="shared" si="40"/>
        <v>25188887.151135236</v>
      </c>
      <c r="AR101" s="310">
        <f t="shared" si="40"/>
        <v>25188887.151135236</v>
      </c>
      <c r="AS101" s="310">
        <f t="shared" si="40"/>
        <v>25188887.151135236</v>
      </c>
      <c r="AT101" s="310">
        <f t="shared" si="40"/>
        <v>25188887.151135236</v>
      </c>
      <c r="AU101" s="310">
        <f t="shared" si="40"/>
        <v>25188887.151135236</v>
      </c>
      <c r="AV101" s="310">
        <f t="shared" si="40"/>
        <v>25188887.151135236</v>
      </c>
      <c r="AW101" s="310">
        <f t="shared" si="40"/>
        <v>25188887.151135236</v>
      </c>
      <c r="AX101" s="310">
        <f t="shared" si="40"/>
        <v>25188887.151135236</v>
      </c>
      <c r="AY101" s="310">
        <f t="shared" si="40"/>
        <v>25188887.151135236</v>
      </c>
      <c r="AZ101" s="310">
        <f t="shared" si="40"/>
        <v>25188887.151135236</v>
      </c>
      <c r="BA101" s="310">
        <f t="shared" si="40"/>
        <v>25188887.151135236</v>
      </c>
      <c r="BB101" s="310">
        <f t="shared" si="40"/>
        <v>25188887.151135236</v>
      </c>
      <c r="BC101" s="310">
        <f t="shared" si="40"/>
        <v>25188887.151135236</v>
      </c>
      <c r="BD101" s="310">
        <f t="shared" si="40"/>
        <v>25188887.151135236</v>
      </c>
      <c r="BE101" s="310">
        <f t="shared" si="40"/>
        <v>25188887.151135236</v>
      </c>
      <c r="BF101" s="310">
        <f t="shared" si="40"/>
        <v>25188887.151135236</v>
      </c>
      <c r="BG101" s="310">
        <f t="shared" si="40"/>
        <v>25188887.151135236</v>
      </c>
      <c r="BH101" s="310">
        <f t="shared" si="40"/>
        <v>25188887.151135236</v>
      </c>
      <c r="BI101" s="310">
        <f t="shared" si="40"/>
        <v>25188887.151135236</v>
      </c>
      <c r="BJ101" s="310">
        <f t="shared" si="40"/>
        <v>25188887.151135236</v>
      </c>
      <c r="BK101" s="310">
        <f t="shared" si="40"/>
        <v>25188887.151135236</v>
      </c>
      <c r="BL101" s="310">
        <f t="shared" si="40"/>
        <v>25188887.151135236</v>
      </c>
      <c r="BM101" s="310">
        <f t="shared" si="40"/>
        <v>25188887.151135236</v>
      </c>
      <c r="BN101" s="310">
        <f t="shared" si="40"/>
        <v>25188887.151135236</v>
      </c>
      <c r="BO101" s="310">
        <f t="shared" si="40"/>
        <v>25188887.151135236</v>
      </c>
      <c r="BP101" s="310">
        <f t="shared" si="40"/>
        <v>25188887.151135236</v>
      </c>
      <c r="BQ101" s="310">
        <f t="shared" si="40"/>
        <v>25188887.151135236</v>
      </c>
      <c r="BR101" s="310">
        <f t="shared" si="40"/>
        <v>25188887.151135236</v>
      </c>
      <c r="BS101" s="310">
        <f t="shared" si="40"/>
        <v>25188887.151135236</v>
      </c>
      <c r="BT101" s="310">
        <f t="shared" si="40"/>
        <v>25188887.151135236</v>
      </c>
      <c r="BU101" s="310">
        <f t="shared" si="40"/>
        <v>25188887.151135236</v>
      </c>
      <c r="BV101" s="310">
        <f t="shared" si="40"/>
        <v>25188887.151135236</v>
      </c>
      <c r="BW101" s="310">
        <f t="shared" si="40"/>
        <v>25188887.151135236</v>
      </c>
      <c r="BX101" s="310">
        <f t="shared" si="40"/>
        <v>25188887.151135236</v>
      </c>
      <c r="BY101" s="226"/>
      <c r="BZ101" s="226"/>
      <c r="CA101" s="226"/>
      <c r="CB101" s="226"/>
      <c r="CC101" s="226"/>
    </row>
    <row r="102" spans="1:81">
      <c r="A102" s="226"/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26"/>
      <c r="AG102" s="226"/>
      <c r="AH102" s="226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6"/>
      <c r="AT102" s="226"/>
      <c r="AU102" s="226"/>
      <c r="AV102" s="226"/>
      <c r="AW102" s="226"/>
      <c r="AX102" s="226"/>
      <c r="AY102" s="226"/>
      <c r="AZ102" s="226"/>
      <c r="BA102" s="226"/>
      <c r="BB102" s="226"/>
      <c r="BC102" s="226"/>
      <c r="BD102" s="226"/>
      <c r="BE102" s="226"/>
      <c r="BF102" s="226"/>
      <c r="BG102" s="226"/>
      <c r="BH102" s="226"/>
      <c r="BI102" s="226"/>
      <c r="BJ102" s="226"/>
      <c r="BK102" s="226"/>
      <c r="BL102" s="226"/>
      <c r="BM102" s="226"/>
      <c r="BN102" s="226"/>
      <c r="BO102" s="226"/>
      <c r="BP102" s="226"/>
      <c r="BQ102" s="226"/>
      <c r="BR102" s="226"/>
      <c r="BS102" s="226"/>
      <c r="BT102" s="226"/>
      <c r="BU102" s="226"/>
      <c r="BV102" s="226"/>
      <c r="BW102" s="226"/>
      <c r="BX102" s="226"/>
      <c r="BY102" s="311"/>
      <c r="BZ102" s="226">
        <f>T101-8333333</f>
        <v>-2157542.7487120861</v>
      </c>
      <c r="CA102" s="226"/>
      <c r="CB102" s="226"/>
      <c r="CC102" s="226"/>
    </row>
    <row r="103" spans="1:81" hidden="1">
      <c r="A103" s="226"/>
      <c r="B103" s="226"/>
      <c r="C103" s="226"/>
      <c r="D103" s="312" t="s">
        <v>337</v>
      </c>
      <c r="E103" s="312"/>
      <c r="F103" s="312"/>
      <c r="G103" s="312"/>
      <c r="H103" s="312"/>
      <c r="I103" s="312"/>
      <c r="J103" s="312"/>
      <c r="K103" s="312"/>
      <c r="L103" s="312"/>
      <c r="M103" s="312"/>
      <c r="N103" s="312"/>
      <c r="O103" s="312"/>
      <c r="P103" s="312"/>
      <c r="Q103" s="312"/>
      <c r="R103" s="312"/>
      <c r="S103" s="312"/>
      <c r="T103" s="312"/>
      <c r="U103" s="312"/>
      <c r="V103" s="313"/>
      <c r="W103" s="313"/>
      <c r="X103" s="313"/>
      <c r="Y103" s="313"/>
      <c r="Z103" s="313"/>
      <c r="AA103" s="313"/>
      <c r="AB103" s="313"/>
      <c r="AC103" s="313"/>
      <c r="AD103" s="313"/>
      <c r="AE103" s="313"/>
      <c r="AF103" s="313"/>
      <c r="AG103" s="313"/>
      <c r="AH103" s="313"/>
      <c r="AI103" s="313"/>
      <c r="AJ103" s="313"/>
      <c r="AK103" s="313"/>
      <c r="AL103" s="313"/>
      <c r="AM103" s="313"/>
      <c r="AN103" s="313"/>
      <c r="AO103" s="313"/>
      <c r="AP103" s="313"/>
      <c r="AQ103" s="313"/>
      <c r="AR103" s="313"/>
      <c r="AS103" s="313"/>
      <c r="AT103" s="313"/>
      <c r="AU103" s="313"/>
      <c r="AV103" s="313"/>
      <c r="AW103" s="313"/>
      <c r="AX103" s="313"/>
      <c r="AY103" s="313"/>
      <c r="AZ103" s="313"/>
      <c r="BA103" s="313"/>
      <c r="BB103" s="313"/>
      <c r="BC103" s="313"/>
      <c r="BD103" s="313"/>
      <c r="BE103" s="313"/>
      <c r="BF103" s="313"/>
      <c r="BG103" s="313"/>
      <c r="BH103" s="313"/>
      <c r="BI103" s="313"/>
      <c r="BJ103" s="313"/>
      <c r="BK103" s="313"/>
      <c r="BL103" s="313"/>
      <c r="BM103" s="313"/>
      <c r="BN103" s="313"/>
      <c r="BO103" s="313"/>
      <c r="BP103" s="313"/>
      <c r="BQ103" s="313"/>
      <c r="BR103" s="313"/>
      <c r="BS103" s="313"/>
      <c r="BT103" s="313"/>
      <c r="BU103" s="313"/>
      <c r="BV103" s="313"/>
      <c r="BW103" s="313"/>
      <c r="BX103" s="313"/>
      <c r="BY103" s="311"/>
      <c r="BZ103" s="226"/>
      <c r="CA103" s="226"/>
      <c r="CB103" s="226"/>
      <c r="CC103" s="226"/>
    </row>
    <row r="104" spans="1:81" hidden="1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6"/>
      <c r="BN104" s="226"/>
      <c r="BO104" s="226"/>
      <c r="BP104" s="226"/>
      <c r="BQ104" s="226"/>
      <c r="BR104" s="226"/>
      <c r="BS104" s="226"/>
      <c r="BT104" s="226"/>
      <c r="BU104" s="226"/>
      <c r="BV104" s="226"/>
      <c r="BW104" s="226"/>
      <c r="BX104" s="226"/>
      <c r="BY104" s="311"/>
      <c r="BZ104" s="226"/>
      <c r="CA104" s="226"/>
      <c r="CB104" s="226"/>
      <c r="CC104" s="226"/>
    </row>
    <row r="105" spans="1:81" hidden="1">
      <c r="A105" s="226"/>
      <c r="B105" s="226"/>
      <c r="C105" s="314" t="s">
        <v>338</v>
      </c>
      <c r="D105" s="315"/>
      <c r="E105" s="316">
        <f>E113+E131+E163+E179</f>
        <v>0</v>
      </c>
      <c r="F105" s="316">
        <f t="shared" ref="F105:BW105" si="41">F113+F179</f>
        <v>0</v>
      </c>
      <c r="G105" s="316">
        <f t="shared" si="41"/>
        <v>0</v>
      </c>
      <c r="H105" s="316">
        <f t="shared" si="41"/>
        <v>-21706207.5</v>
      </c>
      <c r="I105" s="316">
        <f t="shared" si="41"/>
        <v>0</v>
      </c>
      <c r="J105" s="316">
        <f t="shared" si="41"/>
        <v>0</v>
      </c>
      <c r="K105" s="316">
        <f t="shared" si="41"/>
        <v>-885000</v>
      </c>
      <c r="L105" s="316">
        <f t="shared" si="41"/>
        <v>-1940000</v>
      </c>
      <c r="M105" s="316">
        <f t="shared" si="41"/>
        <v>-4260000</v>
      </c>
      <c r="N105" s="316">
        <f t="shared" si="41"/>
        <v>0</v>
      </c>
      <c r="O105" s="316">
        <f t="shared" si="41"/>
        <v>-320000</v>
      </c>
      <c r="P105" s="316">
        <f t="shared" si="41"/>
        <v>-2000000</v>
      </c>
      <c r="Q105" s="316">
        <f t="shared" si="41"/>
        <v>-4550000</v>
      </c>
      <c r="R105" s="316">
        <f t="shared" si="41"/>
        <v>-1000000</v>
      </c>
      <c r="S105" s="316">
        <f t="shared" si="41"/>
        <v>-5550000</v>
      </c>
      <c r="T105" s="316">
        <f t="shared" si="41"/>
        <v>441205.5</v>
      </c>
      <c r="U105" s="316">
        <f t="shared" si="41"/>
        <v>-1100000</v>
      </c>
      <c r="V105" s="316">
        <f t="shared" si="41"/>
        <v>0</v>
      </c>
      <c r="W105" s="316">
        <f t="shared" si="41"/>
        <v>0</v>
      </c>
      <c r="X105" s="316">
        <f t="shared" si="41"/>
        <v>0</v>
      </c>
      <c r="Y105" s="316">
        <f t="shared" si="41"/>
        <v>0</v>
      </c>
      <c r="Z105" s="316">
        <f t="shared" si="41"/>
        <v>0</v>
      </c>
      <c r="AA105" s="316">
        <f t="shared" si="41"/>
        <v>42870002</v>
      </c>
      <c r="AB105" s="316">
        <f t="shared" si="41"/>
        <v>0</v>
      </c>
      <c r="AC105" s="316">
        <f t="shared" si="41"/>
        <v>0</v>
      </c>
      <c r="AD105" s="316">
        <f t="shared" si="41"/>
        <v>0</v>
      </c>
      <c r="AE105" s="316">
        <f t="shared" si="41"/>
        <v>0</v>
      </c>
      <c r="AF105" s="316">
        <f t="shared" si="41"/>
        <v>0</v>
      </c>
      <c r="AG105" s="316">
        <f t="shared" si="41"/>
        <v>0</v>
      </c>
      <c r="AH105" s="316">
        <f t="shared" si="41"/>
        <v>0</v>
      </c>
      <c r="AI105" s="316">
        <f t="shared" si="41"/>
        <v>0</v>
      </c>
      <c r="AJ105" s="316">
        <f t="shared" si="41"/>
        <v>0</v>
      </c>
      <c r="AK105" s="316">
        <f t="shared" si="41"/>
        <v>0</v>
      </c>
      <c r="AL105" s="316">
        <f t="shared" si="41"/>
        <v>0</v>
      </c>
      <c r="AM105" s="316">
        <f t="shared" si="41"/>
        <v>0</v>
      </c>
      <c r="AN105" s="316">
        <f t="shared" si="41"/>
        <v>0</v>
      </c>
      <c r="AO105" s="316">
        <f t="shared" si="41"/>
        <v>0</v>
      </c>
      <c r="AP105" s="316">
        <f t="shared" si="41"/>
        <v>0</v>
      </c>
      <c r="AQ105" s="316">
        <f t="shared" si="41"/>
        <v>0</v>
      </c>
      <c r="AR105" s="316">
        <f t="shared" si="41"/>
        <v>0</v>
      </c>
      <c r="AS105" s="316">
        <f t="shared" si="41"/>
        <v>0</v>
      </c>
      <c r="AT105" s="316">
        <f t="shared" si="41"/>
        <v>0</v>
      </c>
      <c r="AU105" s="316">
        <f t="shared" si="41"/>
        <v>0</v>
      </c>
      <c r="AV105" s="316">
        <f t="shared" si="41"/>
        <v>0</v>
      </c>
      <c r="AW105" s="316">
        <f t="shared" si="41"/>
        <v>0</v>
      </c>
      <c r="AX105" s="316">
        <f t="shared" si="41"/>
        <v>0</v>
      </c>
      <c r="AY105" s="316">
        <f t="shared" si="41"/>
        <v>0</v>
      </c>
      <c r="AZ105" s="316">
        <f t="shared" si="41"/>
        <v>0</v>
      </c>
      <c r="BA105" s="316">
        <f t="shared" si="41"/>
        <v>0</v>
      </c>
      <c r="BB105" s="316">
        <f t="shared" si="41"/>
        <v>0</v>
      </c>
      <c r="BC105" s="316">
        <f t="shared" si="41"/>
        <v>0</v>
      </c>
      <c r="BD105" s="316">
        <f t="shared" si="41"/>
        <v>0</v>
      </c>
      <c r="BE105" s="316">
        <f t="shared" si="41"/>
        <v>0</v>
      </c>
      <c r="BF105" s="316">
        <f t="shared" si="41"/>
        <v>0</v>
      </c>
      <c r="BG105" s="316">
        <f t="shared" si="41"/>
        <v>0</v>
      </c>
      <c r="BH105" s="316">
        <f t="shared" si="41"/>
        <v>0</v>
      </c>
      <c r="BI105" s="316">
        <f t="shared" si="41"/>
        <v>0</v>
      </c>
      <c r="BJ105" s="316">
        <f t="shared" si="41"/>
        <v>0</v>
      </c>
      <c r="BK105" s="316">
        <f t="shared" si="41"/>
        <v>0</v>
      </c>
      <c r="BL105" s="316">
        <f t="shared" si="41"/>
        <v>0</v>
      </c>
      <c r="BM105" s="316">
        <f t="shared" si="41"/>
        <v>0</v>
      </c>
      <c r="BN105" s="316">
        <f t="shared" si="41"/>
        <v>0</v>
      </c>
      <c r="BO105" s="316">
        <f t="shared" si="41"/>
        <v>0</v>
      </c>
      <c r="BP105" s="316">
        <f t="shared" si="41"/>
        <v>0</v>
      </c>
      <c r="BQ105" s="316">
        <f t="shared" si="41"/>
        <v>0</v>
      </c>
      <c r="BR105" s="316">
        <f t="shared" si="41"/>
        <v>0</v>
      </c>
      <c r="BS105" s="316">
        <f t="shared" si="41"/>
        <v>0</v>
      </c>
      <c r="BT105" s="316">
        <f t="shared" si="41"/>
        <v>0</v>
      </c>
      <c r="BU105" s="316">
        <f t="shared" si="41"/>
        <v>0</v>
      </c>
      <c r="BV105" s="316">
        <f t="shared" si="41"/>
        <v>0</v>
      </c>
      <c r="BW105" s="316">
        <f t="shared" si="41"/>
        <v>0</v>
      </c>
      <c r="BX105" s="316">
        <f>BX113+BX179+BX101</f>
        <v>25188887.151135236</v>
      </c>
      <c r="BY105" s="311"/>
      <c r="BZ105" s="226"/>
      <c r="CA105" s="226"/>
      <c r="CB105" s="226"/>
      <c r="CC105" s="226"/>
    </row>
    <row r="106" spans="1:81" hidden="1">
      <c r="A106" s="226"/>
      <c r="B106" s="226"/>
      <c r="C106" s="317" t="s">
        <v>339</v>
      </c>
      <c r="D106" s="793">
        <f>IRR(E105:BX105)*12</f>
        <v>0.19112543688756123</v>
      </c>
      <c r="E106" s="768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AY106" s="226"/>
      <c r="AZ106" s="226"/>
      <c r="BA106" s="226"/>
      <c r="BB106" s="226"/>
      <c r="BC106" s="226"/>
      <c r="BD106" s="226"/>
      <c r="BE106" s="226"/>
      <c r="BF106" s="226"/>
      <c r="BG106" s="226"/>
      <c r="BH106" s="226"/>
      <c r="BI106" s="226"/>
      <c r="BJ106" s="226"/>
      <c r="BK106" s="226"/>
      <c r="BL106" s="226"/>
      <c r="BM106" s="226"/>
      <c r="BN106" s="226"/>
      <c r="BO106" s="226"/>
      <c r="BP106" s="226"/>
      <c r="BQ106" s="226"/>
      <c r="BR106" s="226"/>
      <c r="BS106" s="226"/>
      <c r="BT106" s="226"/>
      <c r="BU106" s="226"/>
      <c r="BV106" s="226"/>
      <c r="BW106" s="226"/>
      <c r="BX106" s="226"/>
      <c r="BY106" s="311"/>
      <c r="BZ106" s="226"/>
      <c r="CA106" s="226"/>
      <c r="CB106" s="226"/>
      <c r="CC106" s="226"/>
    </row>
    <row r="107" spans="1:81" hidden="1">
      <c r="A107" s="226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  <c r="CA107" s="226"/>
      <c r="CB107" s="226"/>
      <c r="CC107" s="226"/>
    </row>
    <row r="108" spans="1:81" hidden="1">
      <c r="A108" s="226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  <c r="AY108" s="226"/>
      <c r="AZ108" s="226"/>
      <c r="BA108" s="226"/>
      <c r="BB108" s="226"/>
      <c r="BC108" s="226"/>
      <c r="BD108" s="226"/>
      <c r="BE108" s="226"/>
      <c r="BF108" s="226"/>
      <c r="BG108" s="226"/>
      <c r="BH108" s="226"/>
      <c r="BI108" s="226"/>
      <c r="BJ108" s="226"/>
      <c r="BK108" s="226"/>
      <c r="BL108" s="226"/>
      <c r="BM108" s="226"/>
      <c r="BN108" s="226"/>
      <c r="BO108" s="226"/>
      <c r="BP108" s="226"/>
      <c r="BQ108" s="226"/>
      <c r="BR108" s="226"/>
      <c r="BS108" s="226"/>
      <c r="BT108" s="226"/>
      <c r="BU108" s="226"/>
      <c r="BV108" s="226"/>
      <c r="BW108" s="226"/>
      <c r="BX108" s="226"/>
      <c r="BY108" s="311"/>
      <c r="BZ108" s="226"/>
      <c r="CA108" s="226"/>
      <c r="CB108" s="226"/>
      <c r="CC108" s="226"/>
    </row>
    <row r="109" spans="1:81" ht="17" hidden="1">
      <c r="A109" s="226"/>
      <c r="B109" s="226"/>
      <c r="C109" s="314" t="s">
        <v>340</v>
      </c>
      <c r="D109" s="794"/>
      <c r="E109" s="767"/>
      <c r="F109" s="767"/>
      <c r="G109" s="767"/>
      <c r="H109" s="767"/>
      <c r="I109" s="767"/>
      <c r="J109" s="767"/>
      <c r="K109" s="767"/>
      <c r="L109" s="767"/>
      <c r="M109" s="767"/>
      <c r="N109" s="767"/>
      <c r="O109" s="767"/>
      <c r="P109" s="767"/>
      <c r="Q109" s="767"/>
      <c r="R109" s="767"/>
      <c r="S109" s="767"/>
      <c r="T109" s="767"/>
      <c r="U109" s="767"/>
      <c r="V109" s="767"/>
      <c r="W109" s="767"/>
      <c r="X109" s="767"/>
      <c r="Y109" s="767"/>
      <c r="Z109" s="767"/>
      <c r="AA109" s="767"/>
      <c r="AB109" s="767"/>
      <c r="AC109" s="767"/>
      <c r="AD109" s="767"/>
      <c r="AE109" s="767"/>
      <c r="AF109" s="767"/>
      <c r="AG109" s="767"/>
      <c r="AH109" s="767"/>
      <c r="AI109" s="767"/>
      <c r="AJ109" s="767"/>
      <c r="AK109" s="767"/>
      <c r="AL109" s="767"/>
      <c r="AM109" s="767"/>
      <c r="AN109" s="767"/>
      <c r="AO109" s="767"/>
      <c r="AP109" s="767"/>
      <c r="AQ109" s="767"/>
      <c r="AR109" s="767"/>
      <c r="AS109" s="767"/>
      <c r="AT109" s="767"/>
      <c r="AU109" s="767"/>
      <c r="AV109" s="767"/>
      <c r="AW109" s="767"/>
      <c r="AX109" s="767"/>
      <c r="AY109" s="767"/>
      <c r="AZ109" s="767"/>
      <c r="BA109" s="767"/>
      <c r="BB109" s="767"/>
      <c r="BC109" s="767"/>
      <c r="BD109" s="767"/>
      <c r="BE109" s="767"/>
      <c r="BF109" s="767"/>
      <c r="BG109" s="767"/>
      <c r="BH109" s="767"/>
      <c r="BI109" s="767"/>
      <c r="BJ109" s="767"/>
      <c r="BK109" s="767"/>
      <c r="BL109" s="767"/>
      <c r="BM109" s="767"/>
      <c r="BN109" s="767"/>
      <c r="BO109" s="767"/>
      <c r="BP109" s="767"/>
      <c r="BQ109" s="767"/>
      <c r="BR109" s="767"/>
      <c r="BS109" s="767"/>
      <c r="BT109" s="767"/>
      <c r="BU109" s="767"/>
      <c r="BV109" s="767"/>
      <c r="BW109" s="768"/>
      <c r="BX109" s="319">
        <f>BX101*C110</f>
        <v>5037777.4302270478</v>
      </c>
      <c r="BY109" s="311"/>
      <c r="BZ109" s="226"/>
      <c r="CA109" s="226"/>
      <c r="CB109" s="226"/>
      <c r="CC109" s="226"/>
    </row>
    <row r="110" spans="1:81" ht="19" hidden="1">
      <c r="A110" s="226"/>
      <c r="B110" s="226"/>
      <c r="C110" s="320">
        <v>0.2</v>
      </c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6"/>
      <c r="BF110" s="226"/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6"/>
      <c r="BQ110" s="226"/>
      <c r="BR110" s="226"/>
      <c r="BS110" s="226"/>
      <c r="BT110" s="226"/>
      <c r="BU110" s="226"/>
      <c r="BV110" s="226"/>
      <c r="BW110" s="226"/>
      <c r="BX110" s="226"/>
      <c r="BY110" s="311"/>
      <c r="BZ110" s="226"/>
      <c r="CA110" s="226"/>
      <c r="CB110" s="226"/>
      <c r="CC110" s="226"/>
    </row>
    <row r="113" spans="3:76">
      <c r="C113" s="314" t="s">
        <v>341</v>
      </c>
      <c r="D113" s="315"/>
      <c r="E113" s="316">
        <f t="shared" ref="E113:BM113" si="42">-(E5+E6+E91+E92)</f>
        <v>0</v>
      </c>
      <c r="F113" s="316">
        <f t="shared" si="42"/>
        <v>0</v>
      </c>
      <c r="G113" s="316">
        <f t="shared" si="42"/>
        <v>0</v>
      </c>
      <c r="H113" s="316">
        <f t="shared" si="42"/>
        <v>-16365002</v>
      </c>
      <c r="I113" s="316">
        <f t="shared" si="42"/>
        <v>0</v>
      </c>
      <c r="J113" s="316">
        <f t="shared" si="42"/>
        <v>0</v>
      </c>
      <c r="K113" s="316">
        <f t="shared" si="42"/>
        <v>-885000</v>
      </c>
      <c r="L113" s="316">
        <f t="shared" si="42"/>
        <v>-1940000</v>
      </c>
      <c r="M113" s="316">
        <f t="shared" si="42"/>
        <v>-4260000</v>
      </c>
      <c r="N113" s="316">
        <f t="shared" si="42"/>
        <v>0</v>
      </c>
      <c r="O113" s="316">
        <f t="shared" si="42"/>
        <v>-320000</v>
      </c>
      <c r="P113" s="316">
        <f t="shared" si="42"/>
        <v>-2000000</v>
      </c>
      <c r="Q113" s="316">
        <f t="shared" si="42"/>
        <v>-4550000</v>
      </c>
      <c r="R113" s="316">
        <f t="shared" si="42"/>
        <v>-1000000</v>
      </c>
      <c r="S113" s="316">
        <f t="shared" si="42"/>
        <v>-5550000</v>
      </c>
      <c r="T113" s="316">
        <f t="shared" si="42"/>
        <v>-4900000</v>
      </c>
      <c r="U113" s="316">
        <f t="shared" si="42"/>
        <v>-1100000</v>
      </c>
      <c r="V113" s="316">
        <f t="shared" si="42"/>
        <v>0</v>
      </c>
      <c r="W113" s="316">
        <f t="shared" si="42"/>
        <v>0</v>
      </c>
      <c r="X113" s="316">
        <f t="shared" si="42"/>
        <v>0</v>
      </c>
      <c r="Y113" s="316">
        <f t="shared" si="42"/>
        <v>0</v>
      </c>
      <c r="Z113" s="316">
        <f t="shared" si="42"/>
        <v>0</v>
      </c>
      <c r="AA113" s="316">
        <f t="shared" si="42"/>
        <v>42870002</v>
      </c>
      <c r="AB113" s="316">
        <f t="shared" si="42"/>
        <v>0</v>
      </c>
      <c r="AC113" s="316">
        <f t="shared" si="42"/>
        <v>0</v>
      </c>
      <c r="AD113" s="316">
        <f t="shared" si="42"/>
        <v>0</v>
      </c>
      <c r="AE113" s="316">
        <f t="shared" si="42"/>
        <v>0</v>
      </c>
      <c r="AF113" s="316">
        <f t="shared" si="42"/>
        <v>0</v>
      </c>
      <c r="AG113" s="316">
        <f t="shared" si="42"/>
        <v>0</v>
      </c>
      <c r="AH113" s="316">
        <f t="shared" si="42"/>
        <v>0</v>
      </c>
      <c r="AI113" s="316">
        <f t="shared" si="42"/>
        <v>0</v>
      </c>
      <c r="AJ113" s="316">
        <f t="shared" si="42"/>
        <v>0</v>
      </c>
      <c r="AK113" s="316">
        <f t="shared" si="42"/>
        <v>0</v>
      </c>
      <c r="AL113" s="316">
        <f t="shared" si="42"/>
        <v>0</v>
      </c>
      <c r="AM113" s="316">
        <f t="shared" si="42"/>
        <v>0</v>
      </c>
      <c r="AN113" s="316">
        <f t="shared" si="42"/>
        <v>0</v>
      </c>
      <c r="AO113" s="316">
        <f t="shared" si="42"/>
        <v>0</v>
      </c>
      <c r="AP113" s="316">
        <f t="shared" si="42"/>
        <v>0</v>
      </c>
      <c r="AQ113" s="316">
        <f t="shared" si="42"/>
        <v>0</v>
      </c>
      <c r="AR113" s="316">
        <f t="shared" si="42"/>
        <v>0</v>
      </c>
      <c r="AS113" s="316">
        <f t="shared" si="42"/>
        <v>0</v>
      </c>
      <c r="AT113" s="316">
        <f t="shared" si="42"/>
        <v>0</v>
      </c>
      <c r="AU113" s="316">
        <f t="shared" si="42"/>
        <v>0</v>
      </c>
      <c r="AV113" s="316">
        <f t="shared" si="42"/>
        <v>0</v>
      </c>
      <c r="AW113" s="316">
        <f t="shared" si="42"/>
        <v>0</v>
      </c>
      <c r="AX113" s="316">
        <f t="shared" si="42"/>
        <v>0</v>
      </c>
      <c r="AY113" s="316">
        <f t="shared" si="42"/>
        <v>0</v>
      </c>
      <c r="AZ113" s="316">
        <f t="shared" si="42"/>
        <v>0</v>
      </c>
      <c r="BA113" s="316">
        <f t="shared" si="42"/>
        <v>0</v>
      </c>
      <c r="BB113" s="316">
        <f t="shared" si="42"/>
        <v>0</v>
      </c>
      <c r="BC113" s="316">
        <f t="shared" si="42"/>
        <v>0</v>
      </c>
      <c r="BD113" s="316">
        <f t="shared" si="42"/>
        <v>0</v>
      </c>
      <c r="BE113" s="316">
        <f t="shared" si="42"/>
        <v>0</v>
      </c>
      <c r="BF113" s="316">
        <f t="shared" si="42"/>
        <v>0</v>
      </c>
      <c r="BG113" s="316">
        <f t="shared" si="42"/>
        <v>0</v>
      </c>
      <c r="BH113" s="316">
        <f t="shared" si="42"/>
        <v>0</v>
      </c>
      <c r="BI113" s="316">
        <f t="shared" si="42"/>
        <v>0</v>
      </c>
      <c r="BJ113" s="316">
        <f t="shared" si="42"/>
        <v>0</v>
      </c>
      <c r="BK113" s="316">
        <f t="shared" si="42"/>
        <v>0</v>
      </c>
      <c r="BL113" s="316">
        <f t="shared" si="42"/>
        <v>0</v>
      </c>
      <c r="BM113" s="316">
        <f t="shared" si="42"/>
        <v>0</v>
      </c>
      <c r="BN113" s="316">
        <f t="shared" ref="BN113:BX113" si="43">-(BN5+BN91)</f>
        <v>0</v>
      </c>
      <c r="BO113" s="316">
        <f t="shared" si="43"/>
        <v>0</v>
      </c>
      <c r="BP113" s="316">
        <f t="shared" si="43"/>
        <v>0</v>
      </c>
      <c r="BQ113" s="316">
        <f t="shared" si="43"/>
        <v>0</v>
      </c>
      <c r="BR113" s="316">
        <f t="shared" si="43"/>
        <v>0</v>
      </c>
      <c r="BS113" s="316">
        <f t="shared" si="43"/>
        <v>0</v>
      </c>
      <c r="BT113" s="316">
        <f t="shared" si="43"/>
        <v>0</v>
      </c>
      <c r="BU113" s="316">
        <f t="shared" si="43"/>
        <v>0</v>
      </c>
      <c r="BV113" s="316">
        <f t="shared" si="43"/>
        <v>0</v>
      </c>
      <c r="BW113" s="316">
        <f t="shared" si="43"/>
        <v>0</v>
      </c>
      <c r="BX113" s="316">
        <f t="shared" si="43"/>
        <v>0</v>
      </c>
    </row>
    <row r="114" spans="3:76">
      <c r="C114" s="314" t="s">
        <v>342</v>
      </c>
      <c r="D114" s="323"/>
      <c r="E114" s="315"/>
      <c r="F114" s="315"/>
      <c r="G114" s="315"/>
      <c r="H114" s="315">
        <f>-8333333</f>
        <v>-8333333</v>
      </c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15"/>
      <c r="AH114" s="315"/>
      <c r="AI114" s="315"/>
      <c r="AJ114" s="315"/>
      <c r="AK114" s="315"/>
      <c r="AL114" s="315"/>
      <c r="AM114" s="315"/>
      <c r="AN114" s="315"/>
      <c r="AO114" s="315"/>
      <c r="AP114" s="315"/>
      <c r="AQ114" s="315"/>
      <c r="AR114" s="315"/>
      <c r="AS114" s="315"/>
      <c r="AT114" s="315"/>
      <c r="AU114" s="315"/>
      <c r="AV114" s="315"/>
      <c r="AW114" s="315"/>
      <c r="AX114" s="315"/>
      <c r="AY114" s="315"/>
      <c r="AZ114" s="315"/>
      <c r="BA114" s="315"/>
      <c r="BB114" s="315"/>
      <c r="BC114" s="315"/>
      <c r="BD114" s="315"/>
      <c r="BE114" s="315"/>
      <c r="BF114" s="315"/>
      <c r="BG114" s="315"/>
      <c r="BH114" s="315"/>
      <c r="BI114" s="315"/>
      <c r="BJ114" s="315"/>
      <c r="BK114" s="315"/>
      <c r="BL114" s="315"/>
      <c r="BM114" s="315"/>
      <c r="BN114" s="315"/>
      <c r="BO114" s="315"/>
      <c r="BP114" s="315"/>
      <c r="BQ114" s="315"/>
      <c r="BR114" s="315"/>
      <c r="BS114" s="315"/>
      <c r="BT114" s="315"/>
      <c r="BU114" s="315"/>
      <c r="BV114" s="315"/>
      <c r="BW114" s="315"/>
      <c r="BX114" s="315"/>
    </row>
    <row r="115" spans="3:76">
      <c r="C115" s="314" t="s">
        <v>343</v>
      </c>
      <c r="D115" s="323"/>
      <c r="E115" s="315">
        <f t="shared" ref="E115:S115" si="44">-E56</f>
        <v>0</v>
      </c>
      <c r="F115" s="315">
        <f t="shared" si="44"/>
        <v>0</v>
      </c>
      <c r="G115" s="315">
        <f t="shared" si="44"/>
        <v>0</v>
      </c>
      <c r="H115" s="315">
        <f t="shared" si="44"/>
        <v>0</v>
      </c>
      <c r="I115" s="315">
        <f t="shared" si="44"/>
        <v>0</v>
      </c>
      <c r="J115" s="315">
        <f t="shared" si="44"/>
        <v>0</v>
      </c>
      <c r="K115" s="315">
        <f t="shared" si="44"/>
        <v>0</v>
      </c>
      <c r="L115" s="315">
        <f t="shared" si="44"/>
        <v>0</v>
      </c>
      <c r="M115" s="315">
        <f t="shared" si="44"/>
        <v>0</v>
      </c>
      <c r="N115" s="315">
        <f t="shared" si="44"/>
        <v>0</v>
      </c>
      <c r="O115" s="315">
        <f t="shared" si="44"/>
        <v>0</v>
      </c>
      <c r="P115" s="315">
        <f t="shared" si="44"/>
        <v>0</v>
      </c>
      <c r="Q115" s="315">
        <f t="shared" si="44"/>
        <v>0</v>
      </c>
      <c r="R115" s="315">
        <f t="shared" si="44"/>
        <v>0</v>
      </c>
      <c r="S115" s="315">
        <f t="shared" si="44"/>
        <v>0</v>
      </c>
      <c r="T115" s="315">
        <f>-T56-T57</f>
        <v>0</v>
      </c>
      <c r="U115" s="315">
        <f t="shared" ref="U115:BX115" si="45">-U56</f>
        <v>0</v>
      </c>
      <c r="V115" s="315">
        <f t="shared" si="45"/>
        <v>0</v>
      </c>
      <c r="W115" s="315">
        <f t="shared" si="45"/>
        <v>0</v>
      </c>
      <c r="X115" s="315">
        <f t="shared" si="45"/>
        <v>0</v>
      </c>
      <c r="Y115" s="315">
        <f t="shared" si="45"/>
        <v>0</v>
      </c>
      <c r="Z115" s="315">
        <f t="shared" si="45"/>
        <v>0</v>
      </c>
      <c r="AA115" s="315">
        <f t="shared" si="45"/>
        <v>2535912.5</v>
      </c>
      <c r="AB115" s="315">
        <f t="shared" si="45"/>
        <v>0</v>
      </c>
      <c r="AC115" s="315">
        <f t="shared" si="45"/>
        <v>0</v>
      </c>
      <c r="AD115" s="315">
        <f t="shared" si="45"/>
        <v>0</v>
      </c>
      <c r="AE115" s="315">
        <f t="shared" si="45"/>
        <v>0</v>
      </c>
      <c r="AF115" s="315">
        <f t="shared" si="45"/>
        <v>0</v>
      </c>
      <c r="AG115" s="315">
        <f t="shared" si="45"/>
        <v>0</v>
      </c>
      <c r="AH115" s="315">
        <f t="shared" si="45"/>
        <v>0</v>
      </c>
      <c r="AI115" s="315">
        <f t="shared" si="45"/>
        <v>0</v>
      </c>
      <c r="AJ115" s="315">
        <f t="shared" si="45"/>
        <v>0</v>
      </c>
      <c r="AK115" s="315">
        <f t="shared" si="45"/>
        <v>0</v>
      </c>
      <c r="AL115" s="315">
        <f t="shared" si="45"/>
        <v>0</v>
      </c>
      <c r="AM115" s="315">
        <f t="shared" si="45"/>
        <v>0</v>
      </c>
      <c r="AN115" s="315">
        <f t="shared" si="45"/>
        <v>0</v>
      </c>
      <c r="AO115" s="315">
        <f t="shared" si="45"/>
        <v>0</v>
      </c>
      <c r="AP115" s="315">
        <f t="shared" si="45"/>
        <v>0</v>
      </c>
      <c r="AQ115" s="315">
        <f t="shared" si="45"/>
        <v>0</v>
      </c>
      <c r="AR115" s="315">
        <f t="shared" si="45"/>
        <v>0</v>
      </c>
      <c r="AS115" s="315">
        <f t="shared" si="45"/>
        <v>0</v>
      </c>
      <c r="AT115" s="315">
        <f t="shared" si="45"/>
        <v>0</v>
      </c>
      <c r="AU115" s="315">
        <f t="shared" si="45"/>
        <v>0</v>
      </c>
      <c r="AV115" s="315">
        <f t="shared" si="45"/>
        <v>0</v>
      </c>
      <c r="AW115" s="315">
        <f t="shared" si="45"/>
        <v>0</v>
      </c>
      <c r="AX115" s="315">
        <f t="shared" si="45"/>
        <v>0</v>
      </c>
      <c r="AY115" s="315">
        <f t="shared" si="45"/>
        <v>0</v>
      </c>
      <c r="AZ115" s="315">
        <f t="shared" si="45"/>
        <v>0</v>
      </c>
      <c r="BA115" s="315">
        <f t="shared" si="45"/>
        <v>0</v>
      </c>
      <c r="BB115" s="315">
        <f t="shared" si="45"/>
        <v>0</v>
      </c>
      <c r="BC115" s="315">
        <f t="shared" si="45"/>
        <v>0</v>
      </c>
      <c r="BD115" s="315">
        <f t="shared" si="45"/>
        <v>0</v>
      </c>
      <c r="BE115" s="315">
        <f t="shared" si="45"/>
        <v>0</v>
      </c>
      <c r="BF115" s="315">
        <f t="shared" si="45"/>
        <v>0</v>
      </c>
      <c r="BG115" s="315">
        <f t="shared" si="45"/>
        <v>0</v>
      </c>
      <c r="BH115" s="315">
        <f t="shared" si="45"/>
        <v>0</v>
      </c>
      <c r="BI115" s="315">
        <f t="shared" si="45"/>
        <v>0</v>
      </c>
      <c r="BJ115" s="315">
        <f t="shared" si="45"/>
        <v>0</v>
      </c>
      <c r="BK115" s="315">
        <f t="shared" si="45"/>
        <v>0</v>
      </c>
      <c r="BL115" s="315">
        <f t="shared" si="45"/>
        <v>0</v>
      </c>
      <c r="BM115" s="315">
        <f t="shared" si="45"/>
        <v>0</v>
      </c>
      <c r="BN115" s="315">
        <f t="shared" si="45"/>
        <v>0</v>
      </c>
      <c r="BO115" s="315">
        <f t="shared" si="45"/>
        <v>0</v>
      </c>
      <c r="BP115" s="315">
        <f t="shared" si="45"/>
        <v>0</v>
      </c>
      <c r="BQ115" s="315">
        <f t="shared" si="45"/>
        <v>0</v>
      </c>
      <c r="BR115" s="315">
        <f t="shared" si="45"/>
        <v>0</v>
      </c>
      <c r="BS115" s="315">
        <f t="shared" si="45"/>
        <v>0</v>
      </c>
      <c r="BT115" s="315">
        <f t="shared" si="45"/>
        <v>0</v>
      </c>
      <c r="BU115" s="315">
        <f t="shared" si="45"/>
        <v>0</v>
      </c>
      <c r="BV115" s="315">
        <f t="shared" si="45"/>
        <v>0</v>
      </c>
      <c r="BW115" s="315">
        <f t="shared" si="45"/>
        <v>0</v>
      </c>
      <c r="BX115" s="315">
        <f t="shared" si="45"/>
        <v>0</v>
      </c>
    </row>
    <row r="116" spans="3:76">
      <c r="C116" s="314" t="s">
        <v>344</v>
      </c>
      <c r="D116" s="323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15"/>
      <c r="AH116" s="315"/>
      <c r="AI116" s="315"/>
      <c r="AJ116" s="315"/>
      <c r="AK116" s="315"/>
      <c r="AL116" s="315"/>
      <c r="AM116" s="315"/>
      <c r="AN116" s="315"/>
      <c r="AO116" s="315"/>
      <c r="AP116" s="315"/>
      <c r="AQ116" s="315"/>
      <c r="AR116" s="315"/>
      <c r="AS116" s="315"/>
      <c r="AT116" s="315"/>
      <c r="AU116" s="315"/>
      <c r="AV116" s="315"/>
      <c r="AW116" s="315"/>
      <c r="AX116" s="315"/>
      <c r="AY116" s="315"/>
      <c r="AZ116" s="315"/>
      <c r="BA116" s="315"/>
      <c r="BB116" s="315"/>
      <c r="BC116" s="315"/>
      <c r="BD116" s="315"/>
      <c r="BE116" s="315"/>
      <c r="BF116" s="315"/>
      <c r="BG116" s="315"/>
      <c r="BH116" s="315"/>
      <c r="BI116" s="315"/>
      <c r="BJ116" s="315"/>
      <c r="BK116" s="315"/>
      <c r="BL116" s="315"/>
      <c r="BM116" s="315"/>
      <c r="BN116" s="315"/>
      <c r="BO116" s="315"/>
      <c r="BP116" s="315"/>
      <c r="BQ116" s="315"/>
      <c r="BR116" s="315"/>
      <c r="BS116" s="315"/>
      <c r="BT116" s="315"/>
      <c r="BU116" s="315"/>
      <c r="BV116" s="315"/>
      <c r="BW116" s="315"/>
      <c r="BX116" s="315">
        <f>IF(D106&gt;0.25,(BX101-BX109)*D118,BX101*D118)</f>
        <v>25188887.151135236</v>
      </c>
    </row>
    <row r="117" spans="3:76">
      <c r="C117" s="314" t="s">
        <v>340</v>
      </c>
      <c r="D117" s="323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15"/>
      <c r="AH117" s="315"/>
      <c r="AI117" s="315"/>
      <c r="AJ117" s="315"/>
      <c r="AK117" s="315"/>
      <c r="AL117" s="315"/>
      <c r="AM117" s="315"/>
      <c r="AN117" s="315"/>
      <c r="AO117" s="315"/>
      <c r="AP117" s="315"/>
      <c r="AQ117" s="315"/>
      <c r="AR117" s="315"/>
      <c r="AS117" s="315"/>
      <c r="AT117" s="315"/>
      <c r="AU117" s="315"/>
      <c r="AV117" s="315"/>
      <c r="AW117" s="315"/>
      <c r="AX117" s="315"/>
      <c r="AY117" s="315"/>
      <c r="AZ117" s="315"/>
      <c r="BA117" s="315"/>
      <c r="BB117" s="315"/>
      <c r="BC117" s="315"/>
      <c r="BD117" s="315"/>
      <c r="BE117" s="315"/>
      <c r="BF117" s="315"/>
      <c r="BG117" s="315"/>
      <c r="BH117" s="315"/>
      <c r="BI117" s="315"/>
      <c r="BJ117" s="315"/>
      <c r="BK117" s="315"/>
      <c r="BL117" s="315"/>
      <c r="BM117" s="315"/>
      <c r="BN117" s="315"/>
      <c r="BO117" s="315"/>
      <c r="BP117" s="315"/>
      <c r="BQ117" s="315"/>
      <c r="BR117" s="315"/>
      <c r="BS117" s="315"/>
      <c r="BT117" s="315"/>
      <c r="BU117" s="315"/>
      <c r="BV117" s="315"/>
      <c r="BW117" s="315"/>
      <c r="BX117" s="315">
        <f>IF(D106&gt;0.25,BX109,0)</f>
        <v>0</v>
      </c>
    </row>
    <row r="118" spans="3:76">
      <c r="C118" s="317" t="s">
        <v>345</v>
      </c>
      <c r="D118" s="323">
        <v>1</v>
      </c>
      <c r="E118" s="246"/>
      <c r="F118" s="246"/>
      <c r="G118" s="246"/>
      <c r="H118" s="246"/>
      <c r="I118" s="246"/>
      <c r="J118" s="246"/>
      <c r="K118" s="246"/>
      <c r="L118" s="246"/>
      <c r="M118" s="246"/>
      <c r="N118" s="246"/>
      <c r="O118" s="246"/>
      <c r="P118" s="246"/>
      <c r="Q118" s="246"/>
      <c r="R118" s="246"/>
      <c r="S118" s="246"/>
      <c r="T118" s="246">
        <f>T101</f>
        <v>6175790.2512879139</v>
      </c>
      <c r="U118" s="246"/>
      <c r="V118" s="246"/>
      <c r="W118" s="246"/>
      <c r="X118" s="246"/>
      <c r="Y118" s="246"/>
      <c r="Z118" s="246"/>
      <c r="AA118" s="246"/>
      <c r="AB118" s="246"/>
      <c r="AC118" s="246"/>
      <c r="AD118" s="246"/>
      <c r="AE118" s="246"/>
      <c r="AF118" s="246"/>
      <c r="AG118" s="246"/>
      <c r="AH118" s="246"/>
      <c r="AI118" s="246"/>
      <c r="AJ118" s="246"/>
      <c r="AK118" s="246"/>
      <c r="AL118" s="246"/>
      <c r="AM118" s="246"/>
      <c r="AN118" s="246"/>
      <c r="AO118" s="246"/>
      <c r="AP118" s="246"/>
      <c r="AQ118" s="246"/>
      <c r="AR118" s="246"/>
      <c r="AS118" s="246"/>
      <c r="AT118" s="246"/>
      <c r="AU118" s="246"/>
      <c r="AV118" s="246"/>
      <c r="AW118" s="246"/>
      <c r="AX118" s="246"/>
      <c r="AY118" s="246"/>
      <c r="AZ118" s="246"/>
      <c r="BA118" s="246"/>
      <c r="BB118" s="246"/>
      <c r="BC118" s="324"/>
      <c r="BD118" s="246"/>
      <c r="BE118" s="246"/>
      <c r="BF118" s="246"/>
      <c r="BG118" s="246"/>
      <c r="BH118" s="246"/>
      <c r="BI118" s="246"/>
      <c r="BJ118" s="246"/>
      <c r="BK118" s="246"/>
      <c r="BL118" s="246"/>
      <c r="BM118" s="246"/>
      <c r="BN118" s="246"/>
      <c r="BO118" s="246"/>
      <c r="BP118" s="246"/>
      <c r="BQ118" s="246"/>
      <c r="BR118" s="246"/>
      <c r="BS118" s="246"/>
      <c r="BT118" s="246"/>
      <c r="BU118" s="246"/>
      <c r="BV118" s="246"/>
      <c r="BW118" s="246"/>
      <c r="BX118" s="246"/>
    </row>
    <row r="119" spans="3:76">
      <c r="C119" s="314" t="s">
        <v>346</v>
      </c>
      <c r="D119" s="318"/>
      <c r="E119" s="325">
        <f t="shared" ref="E119:BW119" si="46">E113+E114+E115+E116+E118</f>
        <v>0</v>
      </c>
      <c r="F119" s="325">
        <f t="shared" si="46"/>
        <v>0</v>
      </c>
      <c r="G119" s="325">
        <f t="shared" si="46"/>
        <v>0</v>
      </c>
      <c r="H119" s="325">
        <f t="shared" si="46"/>
        <v>-24698335</v>
      </c>
      <c r="I119" s="325">
        <f t="shared" si="46"/>
        <v>0</v>
      </c>
      <c r="J119" s="325">
        <f t="shared" si="46"/>
        <v>0</v>
      </c>
      <c r="K119" s="325">
        <f t="shared" si="46"/>
        <v>-885000</v>
      </c>
      <c r="L119" s="325">
        <f t="shared" si="46"/>
        <v>-1940000</v>
      </c>
      <c r="M119" s="325">
        <f t="shared" si="46"/>
        <v>-4260000</v>
      </c>
      <c r="N119" s="325">
        <f t="shared" si="46"/>
        <v>0</v>
      </c>
      <c r="O119" s="325">
        <f t="shared" si="46"/>
        <v>-320000</v>
      </c>
      <c r="P119" s="325">
        <f t="shared" si="46"/>
        <v>-2000000</v>
      </c>
      <c r="Q119" s="325">
        <f t="shared" si="46"/>
        <v>-4550000</v>
      </c>
      <c r="R119" s="325">
        <f t="shared" si="46"/>
        <v>-1000000</v>
      </c>
      <c r="S119" s="325">
        <f t="shared" si="46"/>
        <v>-5550000</v>
      </c>
      <c r="T119" s="325">
        <f t="shared" si="46"/>
        <v>1275790.2512879139</v>
      </c>
      <c r="U119" s="325">
        <f t="shared" si="46"/>
        <v>-1100000</v>
      </c>
      <c r="V119" s="325">
        <f t="shared" si="46"/>
        <v>0</v>
      </c>
      <c r="W119" s="325">
        <f t="shared" si="46"/>
        <v>0</v>
      </c>
      <c r="X119" s="325">
        <f t="shared" si="46"/>
        <v>0</v>
      </c>
      <c r="Y119" s="325">
        <f t="shared" si="46"/>
        <v>0</v>
      </c>
      <c r="Z119" s="325">
        <f t="shared" si="46"/>
        <v>0</v>
      </c>
      <c r="AA119" s="325">
        <f t="shared" si="46"/>
        <v>45405914.5</v>
      </c>
      <c r="AB119" s="325">
        <f t="shared" si="46"/>
        <v>0</v>
      </c>
      <c r="AC119" s="325">
        <f t="shared" si="46"/>
        <v>0</v>
      </c>
      <c r="AD119" s="325">
        <f t="shared" si="46"/>
        <v>0</v>
      </c>
      <c r="AE119" s="325">
        <f t="shared" si="46"/>
        <v>0</v>
      </c>
      <c r="AF119" s="325">
        <f t="shared" si="46"/>
        <v>0</v>
      </c>
      <c r="AG119" s="325">
        <f t="shared" si="46"/>
        <v>0</v>
      </c>
      <c r="AH119" s="325">
        <f t="shared" si="46"/>
        <v>0</v>
      </c>
      <c r="AI119" s="325">
        <f t="shared" si="46"/>
        <v>0</v>
      </c>
      <c r="AJ119" s="325">
        <f t="shared" si="46"/>
        <v>0</v>
      </c>
      <c r="AK119" s="325">
        <f t="shared" si="46"/>
        <v>0</v>
      </c>
      <c r="AL119" s="325">
        <f t="shared" si="46"/>
        <v>0</v>
      </c>
      <c r="AM119" s="325">
        <f t="shared" si="46"/>
        <v>0</v>
      </c>
      <c r="AN119" s="325">
        <f t="shared" si="46"/>
        <v>0</v>
      </c>
      <c r="AO119" s="325">
        <f t="shared" si="46"/>
        <v>0</v>
      </c>
      <c r="AP119" s="325">
        <f t="shared" si="46"/>
        <v>0</v>
      </c>
      <c r="AQ119" s="325">
        <f t="shared" si="46"/>
        <v>0</v>
      </c>
      <c r="AR119" s="325">
        <f t="shared" si="46"/>
        <v>0</v>
      </c>
      <c r="AS119" s="325">
        <f t="shared" si="46"/>
        <v>0</v>
      </c>
      <c r="AT119" s="325">
        <f t="shared" si="46"/>
        <v>0</v>
      </c>
      <c r="AU119" s="325">
        <f t="shared" si="46"/>
        <v>0</v>
      </c>
      <c r="AV119" s="325">
        <f t="shared" si="46"/>
        <v>0</v>
      </c>
      <c r="AW119" s="325">
        <f t="shared" si="46"/>
        <v>0</v>
      </c>
      <c r="AX119" s="325">
        <f t="shared" si="46"/>
        <v>0</v>
      </c>
      <c r="AY119" s="325">
        <f t="shared" si="46"/>
        <v>0</v>
      </c>
      <c r="AZ119" s="325">
        <f t="shared" si="46"/>
        <v>0</v>
      </c>
      <c r="BA119" s="325">
        <f t="shared" si="46"/>
        <v>0</v>
      </c>
      <c r="BB119" s="325">
        <f t="shared" si="46"/>
        <v>0</v>
      </c>
      <c r="BC119" s="325">
        <f t="shared" si="46"/>
        <v>0</v>
      </c>
      <c r="BD119" s="325">
        <f t="shared" si="46"/>
        <v>0</v>
      </c>
      <c r="BE119" s="325">
        <f t="shared" si="46"/>
        <v>0</v>
      </c>
      <c r="BF119" s="325">
        <f t="shared" si="46"/>
        <v>0</v>
      </c>
      <c r="BG119" s="325">
        <f t="shared" si="46"/>
        <v>0</v>
      </c>
      <c r="BH119" s="325">
        <f t="shared" si="46"/>
        <v>0</v>
      </c>
      <c r="BI119" s="325">
        <f t="shared" si="46"/>
        <v>0</v>
      </c>
      <c r="BJ119" s="325">
        <f t="shared" si="46"/>
        <v>0</v>
      </c>
      <c r="BK119" s="325">
        <f t="shared" si="46"/>
        <v>0</v>
      </c>
      <c r="BL119" s="325">
        <f t="shared" si="46"/>
        <v>0</v>
      </c>
      <c r="BM119" s="325">
        <f t="shared" si="46"/>
        <v>0</v>
      </c>
      <c r="BN119" s="325">
        <f t="shared" si="46"/>
        <v>0</v>
      </c>
      <c r="BO119" s="325">
        <f t="shared" si="46"/>
        <v>0</v>
      </c>
      <c r="BP119" s="325">
        <f t="shared" si="46"/>
        <v>0</v>
      </c>
      <c r="BQ119" s="325">
        <f t="shared" si="46"/>
        <v>0</v>
      </c>
      <c r="BR119" s="325">
        <f t="shared" si="46"/>
        <v>0</v>
      </c>
      <c r="BS119" s="325">
        <f t="shared" si="46"/>
        <v>0</v>
      </c>
      <c r="BT119" s="325">
        <f t="shared" si="46"/>
        <v>0</v>
      </c>
      <c r="BU119" s="325">
        <f t="shared" si="46"/>
        <v>0</v>
      </c>
      <c r="BV119" s="325">
        <f t="shared" si="46"/>
        <v>0</v>
      </c>
      <c r="BW119" s="325">
        <f t="shared" si="46"/>
        <v>0</v>
      </c>
      <c r="BX119" s="325">
        <f>BX113+BX114+BX115+BX116+BX117+BX118</f>
        <v>25188887.151135236</v>
      </c>
    </row>
    <row r="120" spans="3:76">
      <c r="C120" s="317" t="s">
        <v>339</v>
      </c>
      <c r="D120" s="326">
        <f>IRR(E119:BX119)*12</f>
        <v>0.18640626937472415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6"/>
      <c r="BQ120" s="226"/>
      <c r="BR120" s="226"/>
      <c r="BS120" s="226"/>
      <c r="BT120" s="226"/>
      <c r="BU120" s="226"/>
      <c r="BV120" s="226"/>
      <c r="BW120" s="226"/>
      <c r="BX120" s="226"/>
    </row>
    <row r="121" spans="3:76">
      <c r="C121" s="327" t="s">
        <v>347</v>
      </c>
      <c r="D121" s="328">
        <f>SUM(BY5:BY6)</f>
        <v>42870002</v>
      </c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>
        <f>-Q62-Q97</f>
        <v>300416.6666666668</v>
      </c>
      <c r="R121" s="226">
        <f>Q121*11</f>
        <v>3304583.3333333349</v>
      </c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  <c r="BX121" s="226"/>
    </row>
    <row r="122" spans="3:76">
      <c r="C122" s="327" t="s">
        <v>348</v>
      </c>
      <c r="D122" s="328">
        <f>-SUM(E114:BM114)</f>
        <v>8333333</v>
      </c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34">
        <f>SUM(Rentroll!$P$2:$P$4)</f>
        <v>613346.05139999976</v>
      </c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  <c r="BX122" s="226"/>
    </row>
    <row r="123" spans="3:76">
      <c r="C123" s="317" t="s">
        <v>349</v>
      </c>
      <c r="D123" s="329">
        <f>D121+D122</f>
        <v>51203335</v>
      </c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784" t="s">
        <v>625</v>
      </c>
      <c r="T123" s="772"/>
      <c r="U123" s="226"/>
      <c r="V123" s="226">
        <f>T113+5000000+3333333</f>
        <v>3433333</v>
      </c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Y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  <c r="BX123" s="226"/>
    </row>
    <row r="124" spans="3:76">
      <c r="C124" s="317" t="s">
        <v>350</v>
      </c>
      <c r="D124" s="329">
        <f>T119-D121</f>
        <v>-41594211.748712085</v>
      </c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784" t="s">
        <v>626</v>
      </c>
      <c r="T124" s="772"/>
      <c r="U124" s="226"/>
      <c r="V124" s="226">
        <f>V123+11000000</f>
        <v>14433333</v>
      </c>
      <c r="W124" s="226"/>
      <c r="X124" s="226"/>
      <c r="Y124" s="226"/>
      <c r="Z124" s="226"/>
      <c r="AA124" s="226"/>
      <c r="AB124" s="226"/>
      <c r="AC124" s="226"/>
      <c r="AD124" s="226"/>
      <c r="AE124" s="226"/>
      <c r="AF124" s="226"/>
      <c r="AG124" s="226"/>
      <c r="AH124" s="226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AY124" s="226"/>
      <c r="AZ124" s="226"/>
      <c r="BA124" s="226"/>
      <c r="BB124" s="226"/>
      <c r="BC124" s="226"/>
      <c r="BD124" s="226"/>
      <c r="BE124" s="226"/>
      <c r="BF124" s="226"/>
      <c r="BG124" s="226"/>
      <c r="BH124" s="226"/>
      <c r="BI124" s="226"/>
      <c r="BJ124" s="226"/>
      <c r="BK124" s="226"/>
      <c r="BL124" s="226"/>
      <c r="BM124" s="226"/>
      <c r="BN124" s="226"/>
      <c r="BO124" s="226"/>
      <c r="BP124" s="226"/>
      <c r="BQ124" s="226"/>
      <c r="BR124" s="226"/>
      <c r="BS124" s="226"/>
      <c r="BT124" s="226"/>
      <c r="BU124" s="226"/>
      <c r="BV124" s="226"/>
      <c r="BW124" s="226"/>
      <c r="BX124" s="226"/>
    </row>
    <row r="125" spans="3:76">
      <c r="C125" s="317" t="s">
        <v>351</v>
      </c>
      <c r="D125" s="326">
        <f>(D124-D122)/D123</f>
        <v>-0.97508384461113884</v>
      </c>
      <c r="E125" s="226"/>
      <c r="F125" s="242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 t="s">
        <v>627</v>
      </c>
      <c r="T125" s="226"/>
      <c r="U125" s="226"/>
      <c r="V125" s="226">
        <f>T119-V124</f>
        <v>-13157542.748712085</v>
      </c>
      <c r="W125" s="226"/>
      <c r="X125" s="226">
        <f>V124-T113-T101</f>
        <v>13157542.748712085</v>
      </c>
      <c r="Y125" s="226"/>
      <c r="Z125" s="226"/>
      <c r="AA125" s="226"/>
      <c r="AB125" s="226"/>
      <c r="AC125" s="226"/>
      <c r="AD125" s="226"/>
      <c r="AE125" s="226"/>
      <c r="AF125" s="226"/>
      <c r="AG125" s="226"/>
      <c r="AH125" s="226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AY125" s="226"/>
      <c r="AZ125" s="226"/>
      <c r="BA125" s="226"/>
      <c r="BB125" s="226"/>
      <c r="BC125" s="226"/>
      <c r="BD125" s="226"/>
      <c r="BE125" s="226"/>
      <c r="BF125" s="226"/>
      <c r="BG125" s="226"/>
      <c r="BH125" s="226"/>
      <c r="BI125" s="226"/>
      <c r="BJ125" s="226"/>
      <c r="BK125" s="226"/>
      <c r="BL125" s="226"/>
      <c r="BM125" s="226"/>
      <c r="BN125" s="226"/>
      <c r="BO125" s="226"/>
      <c r="BP125" s="226"/>
      <c r="BQ125" s="226"/>
      <c r="BR125" s="226"/>
      <c r="BS125" s="226"/>
      <c r="BT125" s="226"/>
      <c r="BU125" s="226"/>
      <c r="BV125" s="226"/>
      <c r="BW125" s="226"/>
      <c r="BX125" s="226"/>
    </row>
    <row r="126" spans="3:76"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42" t="e">
        <f>V125/-J113</f>
        <v>#DIV/0!</v>
      </c>
      <c r="W126" s="226"/>
      <c r="X126" s="226"/>
      <c r="Y126" s="226"/>
      <c r="Z126" s="226"/>
      <c r="AA126" s="226"/>
      <c r="AB126" s="226"/>
      <c r="AC126" s="226"/>
      <c r="AD126" s="226"/>
      <c r="AE126" s="226"/>
      <c r="AF126" s="226"/>
      <c r="AG126" s="226"/>
      <c r="AH126" s="226"/>
      <c r="AI126" s="226"/>
      <c r="AJ126" s="226"/>
      <c r="AK126" s="226"/>
      <c r="AL126" s="226"/>
      <c r="AM126" s="226"/>
      <c r="AN126" s="226"/>
      <c r="AO126" s="226"/>
      <c r="AP126" s="226"/>
      <c r="AQ126" s="226"/>
      <c r="AR126" s="226"/>
      <c r="AS126" s="226"/>
      <c r="AT126" s="226"/>
      <c r="AU126" s="226"/>
      <c r="AV126" s="226"/>
      <c r="AW126" s="226"/>
      <c r="AX126" s="226"/>
      <c r="AY126" s="226"/>
      <c r="AZ126" s="226"/>
      <c r="BA126" s="226"/>
      <c r="BB126" s="226"/>
      <c r="BC126" s="226"/>
      <c r="BD126" s="226"/>
      <c r="BE126" s="226"/>
      <c r="BF126" s="226"/>
      <c r="BG126" s="226"/>
      <c r="BH126" s="226"/>
      <c r="BI126" s="226"/>
      <c r="BJ126" s="226"/>
      <c r="BK126" s="226"/>
      <c r="BL126" s="226"/>
      <c r="BM126" s="226"/>
      <c r="BN126" s="226"/>
      <c r="BO126" s="226"/>
      <c r="BP126" s="226"/>
      <c r="BQ126" s="226"/>
      <c r="BR126" s="226"/>
      <c r="BS126" s="226"/>
      <c r="BT126" s="226"/>
      <c r="BU126" s="226"/>
      <c r="BV126" s="226"/>
      <c r="BW126" s="226"/>
      <c r="BX126" s="226"/>
    </row>
    <row r="131" spans="3:76">
      <c r="C131" s="314" t="s">
        <v>352</v>
      </c>
      <c r="D131" s="315"/>
      <c r="E131" s="315">
        <f t="shared" ref="E131:BX131" si="47">-(E6+E92)</f>
        <v>0</v>
      </c>
      <c r="F131" s="315">
        <f t="shared" si="47"/>
        <v>0</v>
      </c>
      <c r="G131" s="315">
        <f t="shared" si="47"/>
        <v>0</v>
      </c>
      <c r="H131" s="315">
        <f t="shared" si="47"/>
        <v>0</v>
      </c>
      <c r="I131" s="315">
        <f t="shared" si="47"/>
        <v>0</v>
      </c>
      <c r="J131" s="315">
        <f t="shared" si="47"/>
        <v>0</v>
      </c>
      <c r="K131" s="315">
        <f t="shared" si="47"/>
        <v>-885000</v>
      </c>
      <c r="L131" s="315">
        <f t="shared" si="47"/>
        <v>-1940000</v>
      </c>
      <c r="M131" s="315">
        <f t="shared" si="47"/>
        <v>-4260000</v>
      </c>
      <c r="N131" s="315">
        <f t="shared" si="47"/>
        <v>0</v>
      </c>
      <c r="O131" s="315">
        <f t="shared" si="47"/>
        <v>-320000</v>
      </c>
      <c r="P131" s="315">
        <f t="shared" si="47"/>
        <v>-2000000</v>
      </c>
      <c r="Q131" s="315">
        <f t="shared" si="47"/>
        <v>-4550000</v>
      </c>
      <c r="R131" s="315">
        <f t="shared" si="47"/>
        <v>-1000000</v>
      </c>
      <c r="S131" s="315">
        <f t="shared" si="47"/>
        <v>-5550000</v>
      </c>
      <c r="T131" s="315">
        <f t="shared" si="47"/>
        <v>-4900000</v>
      </c>
      <c r="U131" s="315">
        <f t="shared" si="47"/>
        <v>-1100000</v>
      </c>
      <c r="V131" s="315">
        <f t="shared" si="47"/>
        <v>0</v>
      </c>
      <c r="W131" s="315">
        <f t="shared" si="47"/>
        <v>0</v>
      </c>
      <c r="X131" s="315">
        <f t="shared" si="47"/>
        <v>0</v>
      </c>
      <c r="Y131" s="315">
        <f t="shared" si="47"/>
        <v>0</v>
      </c>
      <c r="Z131" s="315">
        <f t="shared" si="47"/>
        <v>0</v>
      </c>
      <c r="AA131" s="315">
        <f t="shared" si="47"/>
        <v>26505000</v>
      </c>
      <c r="AB131" s="315">
        <f t="shared" si="47"/>
        <v>0</v>
      </c>
      <c r="AC131" s="315">
        <f t="shared" si="47"/>
        <v>0</v>
      </c>
      <c r="AD131" s="315">
        <f t="shared" si="47"/>
        <v>0</v>
      </c>
      <c r="AE131" s="315">
        <f t="shared" si="47"/>
        <v>0</v>
      </c>
      <c r="AF131" s="315">
        <f t="shared" si="47"/>
        <v>0</v>
      </c>
      <c r="AG131" s="315">
        <f t="shared" si="47"/>
        <v>0</v>
      </c>
      <c r="AH131" s="315">
        <f t="shared" si="47"/>
        <v>0</v>
      </c>
      <c r="AI131" s="315">
        <f t="shared" si="47"/>
        <v>0</v>
      </c>
      <c r="AJ131" s="315">
        <f t="shared" si="47"/>
        <v>0</v>
      </c>
      <c r="AK131" s="315">
        <f t="shared" si="47"/>
        <v>0</v>
      </c>
      <c r="AL131" s="315">
        <f t="shared" si="47"/>
        <v>0</v>
      </c>
      <c r="AM131" s="315">
        <f t="shared" si="47"/>
        <v>0</v>
      </c>
      <c r="AN131" s="315">
        <f t="shared" si="47"/>
        <v>0</v>
      </c>
      <c r="AO131" s="315">
        <f t="shared" si="47"/>
        <v>0</v>
      </c>
      <c r="AP131" s="315">
        <f t="shared" si="47"/>
        <v>0</v>
      </c>
      <c r="AQ131" s="315">
        <f t="shared" si="47"/>
        <v>0</v>
      </c>
      <c r="AR131" s="315">
        <f t="shared" si="47"/>
        <v>0</v>
      </c>
      <c r="AS131" s="315">
        <f t="shared" si="47"/>
        <v>0</v>
      </c>
      <c r="AT131" s="315">
        <f t="shared" si="47"/>
        <v>0</v>
      </c>
      <c r="AU131" s="315">
        <f t="shared" si="47"/>
        <v>0</v>
      </c>
      <c r="AV131" s="315">
        <f t="shared" si="47"/>
        <v>0</v>
      </c>
      <c r="AW131" s="315">
        <f t="shared" si="47"/>
        <v>0</v>
      </c>
      <c r="AX131" s="315">
        <f t="shared" si="47"/>
        <v>0</v>
      </c>
      <c r="AY131" s="315">
        <f t="shared" si="47"/>
        <v>0</v>
      </c>
      <c r="AZ131" s="315">
        <f t="shared" si="47"/>
        <v>0</v>
      </c>
      <c r="BA131" s="315">
        <f t="shared" si="47"/>
        <v>0</v>
      </c>
      <c r="BB131" s="315">
        <f t="shared" si="47"/>
        <v>0</v>
      </c>
      <c r="BC131" s="315">
        <f t="shared" si="47"/>
        <v>0</v>
      </c>
      <c r="BD131" s="315">
        <f t="shared" si="47"/>
        <v>0</v>
      </c>
      <c r="BE131" s="315">
        <f t="shared" si="47"/>
        <v>0</v>
      </c>
      <c r="BF131" s="315">
        <f t="shared" si="47"/>
        <v>0</v>
      </c>
      <c r="BG131" s="315">
        <f t="shared" si="47"/>
        <v>0</v>
      </c>
      <c r="BH131" s="315">
        <f t="shared" si="47"/>
        <v>0</v>
      </c>
      <c r="BI131" s="315">
        <f t="shared" si="47"/>
        <v>0</v>
      </c>
      <c r="BJ131" s="315">
        <f t="shared" si="47"/>
        <v>0</v>
      </c>
      <c r="BK131" s="315">
        <f t="shared" si="47"/>
        <v>0</v>
      </c>
      <c r="BL131" s="315">
        <f t="shared" si="47"/>
        <v>0</v>
      </c>
      <c r="BM131" s="315">
        <f t="shared" si="47"/>
        <v>0</v>
      </c>
      <c r="BN131" s="315">
        <f t="shared" si="47"/>
        <v>0</v>
      </c>
      <c r="BO131" s="315">
        <f t="shared" si="47"/>
        <v>0</v>
      </c>
      <c r="BP131" s="315">
        <f t="shared" si="47"/>
        <v>0</v>
      </c>
      <c r="BQ131" s="315">
        <f t="shared" si="47"/>
        <v>0</v>
      </c>
      <c r="BR131" s="315">
        <f t="shared" si="47"/>
        <v>0</v>
      </c>
      <c r="BS131" s="315">
        <f t="shared" si="47"/>
        <v>0</v>
      </c>
      <c r="BT131" s="315">
        <f t="shared" si="47"/>
        <v>0</v>
      </c>
      <c r="BU131" s="315">
        <f t="shared" si="47"/>
        <v>0</v>
      </c>
      <c r="BV131" s="315">
        <f t="shared" si="47"/>
        <v>0</v>
      </c>
      <c r="BW131" s="315">
        <f t="shared" si="47"/>
        <v>0</v>
      </c>
      <c r="BX131" s="315">
        <f t="shared" si="47"/>
        <v>0</v>
      </c>
    </row>
    <row r="132" spans="3:76">
      <c r="C132" s="314" t="s">
        <v>353</v>
      </c>
      <c r="D132" s="323"/>
      <c r="E132" s="315"/>
      <c r="F132" s="315"/>
      <c r="G132" s="315"/>
      <c r="H132" s="315"/>
      <c r="I132" s="315"/>
      <c r="J132" s="315"/>
      <c r="K132" s="315"/>
      <c r="L132" s="315"/>
      <c r="M132" s="315"/>
      <c r="N132" s="315"/>
      <c r="O132" s="315"/>
      <c r="P132" s="315"/>
      <c r="Q132" s="315"/>
      <c r="R132" s="315"/>
      <c r="S132" s="315"/>
      <c r="T132" s="315"/>
      <c r="U132" s="315"/>
      <c r="V132" s="315"/>
      <c r="W132" s="315"/>
      <c r="X132" s="315"/>
      <c r="Y132" s="315"/>
      <c r="Z132" s="315"/>
      <c r="AA132" s="315"/>
      <c r="AB132" s="315"/>
      <c r="AC132" s="315"/>
      <c r="AD132" s="315"/>
      <c r="AE132" s="315"/>
      <c r="AF132" s="315"/>
      <c r="AG132" s="315"/>
      <c r="AH132" s="315"/>
      <c r="AI132" s="315"/>
      <c r="AJ132" s="315"/>
      <c r="AK132" s="315"/>
      <c r="AL132" s="315"/>
      <c r="AM132" s="315"/>
      <c r="AN132" s="315"/>
      <c r="AO132" s="315"/>
      <c r="AP132" s="315"/>
      <c r="AQ132" s="315"/>
      <c r="AR132" s="315"/>
      <c r="AS132" s="315"/>
      <c r="AT132" s="315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</row>
    <row r="133" spans="3:76">
      <c r="C133" s="314" t="s">
        <v>343</v>
      </c>
      <c r="D133" s="323"/>
      <c r="E133" s="315">
        <f t="shared" ref="E133:BX133" si="48">-E57</f>
        <v>0</v>
      </c>
      <c r="F133" s="315">
        <f t="shared" si="48"/>
        <v>0</v>
      </c>
      <c r="G133" s="315">
        <f t="shared" si="48"/>
        <v>0</v>
      </c>
      <c r="H133" s="315">
        <f t="shared" si="48"/>
        <v>0</v>
      </c>
      <c r="I133" s="315">
        <f t="shared" si="48"/>
        <v>0</v>
      </c>
      <c r="J133" s="315">
        <f t="shared" si="48"/>
        <v>0</v>
      </c>
      <c r="K133" s="315">
        <f t="shared" si="48"/>
        <v>0</v>
      </c>
      <c r="L133" s="315">
        <f t="shared" si="48"/>
        <v>0</v>
      </c>
      <c r="M133" s="315">
        <f t="shared" si="48"/>
        <v>0</v>
      </c>
      <c r="N133" s="315">
        <f t="shared" si="48"/>
        <v>0</v>
      </c>
      <c r="O133" s="315">
        <f t="shared" si="48"/>
        <v>0</v>
      </c>
      <c r="P133" s="315">
        <f t="shared" si="48"/>
        <v>0</v>
      </c>
      <c r="Q133" s="315">
        <f t="shared" si="48"/>
        <v>0</v>
      </c>
      <c r="R133" s="315">
        <f t="shared" si="48"/>
        <v>0</v>
      </c>
      <c r="S133" s="315">
        <f t="shared" si="48"/>
        <v>0</v>
      </c>
      <c r="T133" s="315">
        <f t="shared" si="48"/>
        <v>0</v>
      </c>
      <c r="U133" s="315">
        <f t="shared" si="48"/>
        <v>0</v>
      </c>
      <c r="V133" s="315">
        <f t="shared" si="48"/>
        <v>0</v>
      </c>
      <c r="W133" s="315">
        <f t="shared" si="48"/>
        <v>0</v>
      </c>
      <c r="X133" s="315">
        <f t="shared" si="48"/>
        <v>0</v>
      </c>
      <c r="Y133" s="315">
        <f t="shared" si="48"/>
        <v>0</v>
      </c>
      <c r="Z133" s="315">
        <f t="shared" si="48"/>
        <v>0</v>
      </c>
      <c r="AA133" s="315">
        <f t="shared" si="48"/>
        <v>0</v>
      </c>
      <c r="AB133" s="315">
        <f t="shared" si="48"/>
        <v>0</v>
      </c>
      <c r="AC133" s="315">
        <f t="shared" si="48"/>
        <v>0</v>
      </c>
      <c r="AD133" s="315">
        <f t="shared" si="48"/>
        <v>0</v>
      </c>
      <c r="AE133" s="315">
        <f t="shared" si="48"/>
        <v>0</v>
      </c>
      <c r="AF133" s="315">
        <f t="shared" si="48"/>
        <v>0</v>
      </c>
      <c r="AG133" s="315">
        <f t="shared" si="48"/>
        <v>0</v>
      </c>
      <c r="AH133" s="315">
        <f t="shared" si="48"/>
        <v>0</v>
      </c>
      <c r="AI133" s="315">
        <f t="shared" si="48"/>
        <v>0</v>
      </c>
      <c r="AJ133" s="315">
        <f t="shared" si="48"/>
        <v>0</v>
      </c>
      <c r="AK133" s="315">
        <f t="shared" si="48"/>
        <v>0</v>
      </c>
      <c r="AL133" s="315">
        <f t="shared" si="48"/>
        <v>0</v>
      </c>
      <c r="AM133" s="315">
        <f t="shared" si="48"/>
        <v>0</v>
      </c>
      <c r="AN133" s="315">
        <f t="shared" si="48"/>
        <v>0</v>
      </c>
      <c r="AO133" s="315">
        <f t="shared" si="48"/>
        <v>0</v>
      </c>
      <c r="AP133" s="315">
        <f t="shared" si="48"/>
        <v>0</v>
      </c>
      <c r="AQ133" s="315">
        <f t="shared" si="48"/>
        <v>0</v>
      </c>
      <c r="AR133" s="315">
        <f t="shared" si="48"/>
        <v>0</v>
      </c>
      <c r="AS133" s="315">
        <f t="shared" si="48"/>
        <v>0</v>
      </c>
      <c r="AT133" s="315">
        <f t="shared" si="48"/>
        <v>0</v>
      </c>
      <c r="AU133" s="315">
        <f t="shared" si="48"/>
        <v>0</v>
      </c>
      <c r="AV133" s="315">
        <f t="shared" si="48"/>
        <v>0</v>
      </c>
      <c r="AW133" s="315">
        <f t="shared" si="48"/>
        <v>0</v>
      </c>
      <c r="AX133" s="315">
        <f t="shared" si="48"/>
        <v>0</v>
      </c>
      <c r="AY133" s="315">
        <f t="shared" si="48"/>
        <v>0</v>
      </c>
      <c r="AZ133" s="315">
        <f t="shared" si="48"/>
        <v>0</v>
      </c>
      <c r="BA133" s="315">
        <f t="shared" si="48"/>
        <v>0</v>
      </c>
      <c r="BB133" s="315">
        <f t="shared" si="48"/>
        <v>0</v>
      </c>
      <c r="BC133" s="315">
        <f t="shared" si="48"/>
        <v>0</v>
      </c>
      <c r="BD133" s="315">
        <f t="shared" si="48"/>
        <v>0</v>
      </c>
      <c r="BE133" s="315">
        <f t="shared" si="48"/>
        <v>0</v>
      </c>
      <c r="BF133" s="315">
        <f t="shared" si="48"/>
        <v>0</v>
      </c>
      <c r="BG133" s="315">
        <f t="shared" si="48"/>
        <v>0</v>
      </c>
      <c r="BH133" s="315">
        <f t="shared" si="48"/>
        <v>0</v>
      </c>
      <c r="BI133" s="315">
        <f t="shared" si="48"/>
        <v>0</v>
      </c>
      <c r="BJ133" s="315">
        <f t="shared" si="48"/>
        <v>0</v>
      </c>
      <c r="BK133" s="315">
        <f t="shared" si="48"/>
        <v>0</v>
      </c>
      <c r="BL133" s="315">
        <f t="shared" si="48"/>
        <v>0</v>
      </c>
      <c r="BM133" s="315">
        <f t="shared" si="48"/>
        <v>0</v>
      </c>
      <c r="BN133" s="315">
        <f t="shared" si="48"/>
        <v>0</v>
      </c>
      <c r="BO133" s="315">
        <f t="shared" si="48"/>
        <v>0</v>
      </c>
      <c r="BP133" s="315">
        <f t="shared" si="48"/>
        <v>0</v>
      </c>
      <c r="BQ133" s="315">
        <f t="shared" si="48"/>
        <v>0</v>
      </c>
      <c r="BR133" s="315">
        <f t="shared" si="48"/>
        <v>0</v>
      </c>
      <c r="BS133" s="315">
        <f t="shared" si="48"/>
        <v>0</v>
      </c>
      <c r="BT133" s="315">
        <f t="shared" si="48"/>
        <v>0</v>
      </c>
      <c r="BU133" s="315">
        <f t="shared" si="48"/>
        <v>0</v>
      </c>
      <c r="BV133" s="315">
        <f t="shared" si="48"/>
        <v>0</v>
      </c>
      <c r="BW133" s="315">
        <f t="shared" si="48"/>
        <v>0</v>
      </c>
      <c r="BX133" s="315">
        <f t="shared" si="48"/>
        <v>0</v>
      </c>
    </row>
    <row r="134" spans="3:76">
      <c r="C134" s="314" t="s">
        <v>344</v>
      </c>
      <c r="D134" s="323"/>
      <c r="E134" s="315"/>
      <c r="F134" s="315"/>
      <c r="G134" s="315"/>
      <c r="H134" s="315"/>
      <c r="I134" s="315"/>
      <c r="J134" s="315"/>
      <c r="K134" s="315"/>
      <c r="L134" s="315"/>
      <c r="M134" s="315"/>
      <c r="N134" s="315"/>
      <c r="O134" s="315"/>
      <c r="P134" s="315"/>
      <c r="Q134" s="315"/>
      <c r="R134" s="315"/>
      <c r="S134" s="315"/>
      <c r="T134" s="315">
        <f>T101-T150-T166-T182</f>
        <v>-4824209.7487120861</v>
      </c>
      <c r="U134" s="315"/>
      <c r="V134" s="315"/>
      <c r="W134" s="315"/>
      <c r="X134" s="315"/>
      <c r="Y134" s="315"/>
      <c r="Z134" s="315"/>
      <c r="AA134" s="315"/>
      <c r="AB134" s="315"/>
      <c r="AC134" s="315"/>
      <c r="AD134" s="315"/>
      <c r="AE134" s="315"/>
      <c r="AF134" s="315"/>
      <c r="AG134" s="315"/>
      <c r="AH134" s="315"/>
      <c r="AI134" s="315"/>
      <c r="AJ134" s="315"/>
      <c r="AK134" s="315"/>
      <c r="AL134" s="315"/>
      <c r="AM134" s="315"/>
      <c r="AN134" s="315"/>
      <c r="AO134" s="315"/>
      <c r="AP134" s="315"/>
      <c r="AQ134" s="315"/>
      <c r="AR134" s="315"/>
      <c r="AS134" s="315"/>
      <c r="AT134" s="315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>
        <f>IF(D106&gt;0.25,(BX101-BX109)*D135,BX101*D135)</f>
        <v>0</v>
      </c>
    </row>
    <row r="135" spans="3:76">
      <c r="C135" s="317" t="s">
        <v>345</v>
      </c>
      <c r="D135" s="323">
        <v>0</v>
      </c>
      <c r="E135" s="246"/>
      <c r="F135" s="246"/>
      <c r="G135" s="246"/>
      <c r="H135" s="246"/>
      <c r="I135" s="246"/>
      <c r="J135" s="246"/>
      <c r="K135" s="246"/>
      <c r="L135" s="246"/>
      <c r="M135" s="246"/>
      <c r="N135" s="246"/>
      <c r="O135" s="246"/>
      <c r="P135" s="246"/>
      <c r="Q135" s="246"/>
      <c r="R135" s="246"/>
      <c r="S135" s="246"/>
      <c r="T135" s="246"/>
      <c r="U135" s="246"/>
      <c r="V135" s="246"/>
      <c r="W135" s="246"/>
      <c r="X135" s="246"/>
      <c r="Y135" s="246"/>
      <c r="Z135" s="246"/>
      <c r="AA135" s="246"/>
      <c r="AB135" s="246"/>
      <c r="AC135" s="246"/>
      <c r="AD135" s="246"/>
      <c r="AE135" s="246"/>
      <c r="AF135" s="246"/>
      <c r="AG135" s="246"/>
      <c r="AH135" s="246"/>
      <c r="AI135" s="246"/>
      <c r="AJ135" s="246"/>
      <c r="AK135" s="246"/>
      <c r="AL135" s="246"/>
      <c r="AM135" s="246"/>
      <c r="AN135" s="246"/>
      <c r="AO135" s="246"/>
      <c r="AP135" s="246"/>
      <c r="AQ135" s="246"/>
      <c r="AR135" s="246"/>
      <c r="AS135" s="246"/>
      <c r="AT135" s="246"/>
      <c r="AU135" s="246"/>
      <c r="AV135" s="246"/>
      <c r="AW135" s="246"/>
      <c r="AX135" s="246"/>
      <c r="AY135" s="246"/>
      <c r="AZ135" s="246"/>
      <c r="BA135" s="246"/>
      <c r="BB135" s="246"/>
      <c r="BC135" s="246"/>
      <c r="BD135" s="246"/>
      <c r="BE135" s="246"/>
      <c r="BF135" s="246"/>
      <c r="BG135" s="246"/>
      <c r="BH135" s="246"/>
      <c r="BI135" s="246"/>
      <c r="BJ135" s="246"/>
      <c r="BK135" s="246"/>
      <c r="BL135" s="246"/>
      <c r="BM135" s="246"/>
      <c r="BN135" s="246"/>
      <c r="BO135" s="246"/>
      <c r="BP135" s="246"/>
      <c r="BQ135" s="246"/>
      <c r="BR135" s="246"/>
      <c r="BS135" s="246"/>
      <c r="BT135" s="246"/>
      <c r="BU135" s="246"/>
      <c r="BV135" s="246"/>
      <c r="BW135" s="246"/>
      <c r="BX135" s="246"/>
    </row>
    <row r="136" spans="3:76">
      <c r="C136" s="314" t="s">
        <v>346</v>
      </c>
      <c r="D136" s="315"/>
      <c r="E136" s="325">
        <f t="shared" ref="E136:BX136" si="49">E131+E132+E133+E134+E135</f>
        <v>0</v>
      </c>
      <c r="F136" s="325">
        <f t="shared" si="49"/>
        <v>0</v>
      </c>
      <c r="G136" s="325">
        <f t="shared" si="49"/>
        <v>0</v>
      </c>
      <c r="H136" s="325">
        <f t="shared" si="49"/>
        <v>0</v>
      </c>
      <c r="I136" s="325">
        <f t="shared" si="49"/>
        <v>0</v>
      </c>
      <c r="J136" s="325">
        <f t="shared" si="49"/>
        <v>0</v>
      </c>
      <c r="K136" s="325">
        <f t="shared" si="49"/>
        <v>-885000</v>
      </c>
      <c r="L136" s="325">
        <f t="shared" si="49"/>
        <v>-1940000</v>
      </c>
      <c r="M136" s="325">
        <f t="shared" si="49"/>
        <v>-4260000</v>
      </c>
      <c r="N136" s="325">
        <f t="shared" si="49"/>
        <v>0</v>
      </c>
      <c r="O136" s="325">
        <f t="shared" si="49"/>
        <v>-320000</v>
      </c>
      <c r="P136" s="325">
        <f t="shared" si="49"/>
        <v>-2000000</v>
      </c>
      <c r="Q136" s="325">
        <f t="shared" si="49"/>
        <v>-4550000</v>
      </c>
      <c r="R136" s="325">
        <f t="shared" si="49"/>
        <v>-1000000</v>
      </c>
      <c r="S136" s="325">
        <f t="shared" si="49"/>
        <v>-5550000</v>
      </c>
      <c r="T136" s="325">
        <f t="shared" si="49"/>
        <v>-9724209.7487120852</v>
      </c>
      <c r="U136" s="325">
        <f t="shared" si="49"/>
        <v>-1100000</v>
      </c>
      <c r="V136" s="325">
        <f t="shared" si="49"/>
        <v>0</v>
      </c>
      <c r="W136" s="325">
        <f t="shared" si="49"/>
        <v>0</v>
      </c>
      <c r="X136" s="325">
        <f t="shared" si="49"/>
        <v>0</v>
      </c>
      <c r="Y136" s="325">
        <f t="shared" si="49"/>
        <v>0</v>
      </c>
      <c r="Z136" s="325">
        <f t="shared" si="49"/>
        <v>0</v>
      </c>
      <c r="AA136" s="325">
        <f t="shared" si="49"/>
        <v>26505000</v>
      </c>
      <c r="AB136" s="325">
        <f t="shared" si="49"/>
        <v>0</v>
      </c>
      <c r="AC136" s="325">
        <f t="shared" si="49"/>
        <v>0</v>
      </c>
      <c r="AD136" s="325">
        <f t="shared" si="49"/>
        <v>0</v>
      </c>
      <c r="AE136" s="325">
        <f t="shared" si="49"/>
        <v>0</v>
      </c>
      <c r="AF136" s="325">
        <f t="shared" si="49"/>
        <v>0</v>
      </c>
      <c r="AG136" s="325">
        <f t="shared" si="49"/>
        <v>0</v>
      </c>
      <c r="AH136" s="325">
        <f t="shared" si="49"/>
        <v>0</v>
      </c>
      <c r="AI136" s="325">
        <f t="shared" si="49"/>
        <v>0</v>
      </c>
      <c r="AJ136" s="325">
        <f t="shared" si="49"/>
        <v>0</v>
      </c>
      <c r="AK136" s="325">
        <f t="shared" si="49"/>
        <v>0</v>
      </c>
      <c r="AL136" s="325">
        <f t="shared" si="49"/>
        <v>0</v>
      </c>
      <c r="AM136" s="325">
        <f t="shared" si="49"/>
        <v>0</v>
      </c>
      <c r="AN136" s="325">
        <f t="shared" si="49"/>
        <v>0</v>
      </c>
      <c r="AO136" s="325">
        <f t="shared" si="49"/>
        <v>0</v>
      </c>
      <c r="AP136" s="325">
        <f t="shared" si="49"/>
        <v>0</v>
      </c>
      <c r="AQ136" s="325">
        <f t="shared" si="49"/>
        <v>0</v>
      </c>
      <c r="AR136" s="325">
        <f t="shared" si="49"/>
        <v>0</v>
      </c>
      <c r="AS136" s="325">
        <f t="shared" si="49"/>
        <v>0</v>
      </c>
      <c r="AT136" s="325">
        <f t="shared" si="49"/>
        <v>0</v>
      </c>
      <c r="AU136" s="325">
        <f t="shared" si="49"/>
        <v>0</v>
      </c>
      <c r="AV136" s="325">
        <f t="shared" si="49"/>
        <v>0</v>
      </c>
      <c r="AW136" s="325">
        <f t="shared" si="49"/>
        <v>0</v>
      </c>
      <c r="AX136" s="325">
        <f t="shared" si="49"/>
        <v>0</v>
      </c>
      <c r="AY136" s="325">
        <f t="shared" si="49"/>
        <v>0</v>
      </c>
      <c r="AZ136" s="325">
        <f t="shared" si="49"/>
        <v>0</v>
      </c>
      <c r="BA136" s="325">
        <f t="shared" si="49"/>
        <v>0</v>
      </c>
      <c r="BB136" s="325">
        <f t="shared" si="49"/>
        <v>0</v>
      </c>
      <c r="BC136" s="325">
        <f t="shared" si="49"/>
        <v>0</v>
      </c>
      <c r="BD136" s="325">
        <f t="shared" si="49"/>
        <v>0</v>
      </c>
      <c r="BE136" s="325">
        <f t="shared" si="49"/>
        <v>0</v>
      </c>
      <c r="BF136" s="325">
        <f t="shared" si="49"/>
        <v>0</v>
      </c>
      <c r="BG136" s="325">
        <f t="shared" si="49"/>
        <v>0</v>
      </c>
      <c r="BH136" s="325">
        <f t="shared" si="49"/>
        <v>0</v>
      </c>
      <c r="BI136" s="325">
        <f t="shared" si="49"/>
        <v>0</v>
      </c>
      <c r="BJ136" s="325">
        <f t="shared" si="49"/>
        <v>0</v>
      </c>
      <c r="BK136" s="325">
        <f t="shared" si="49"/>
        <v>0</v>
      </c>
      <c r="BL136" s="325">
        <f t="shared" si="49"/>
        <v>0</v>
      </c>
      <c r="BM136" s="325">
        <f t="shared" si="49"/>
        <v>0</v>
      </c>
      <c r="BN136" s="325">
        <f t="shared" si="49"/>
        <v>0</v>
      </c>
      <c r="BO136" s="325">
        <f t="shared" si="49"/>
        <v>0</v>
      </c>
      <c r="BP136" s="325">
        <f t="shared" si="49"/>
        <v>0</v>
      </c>
      <c r="BQ136" s="325">
        <f t="shared" si="49"/>
        <v>0</v>
      </c>
      <c r="BR136" s="325">
        <f t="shared" si="49"/>
        <v>0</v>
      </c>
      <c r="BS136" s="325">
        <f t="shared" si="49"/>
        <v>0</v>
      </c>
      <c r="BT136" s="325">
        <f t="shared" si="49"/>
        <v>0</v>
      </c>
      <c r="BU136" s="325">
        <f t="shared" si="49"/>
        <v>0</v>
      </c>
      <c r="BV136" s="325">
        <f t="shared" si="49"/>
        <v>0</v>
      </c>
      <c r="BW136" s="325">
        <f t="shared" si="49"/>
        <v>0</v>
      </c>
      <c r="BX136" s="325">
        <f t="shared" si="49"/>
        <v>0</v>
      </c>
    </row>
    <row r="137" spans="3:76">
      <c r="C137" s="318"/>
      <c r="D137" s="326" t="s">
        <v>354</v>
      </c>
      <c r="E137" s="330">
        <f>E136</f>
        <v>0</v>
      </c>
      <c r="F137" s="330">
        <f t="shared" ref="F137:BX137" si="50">E137+F136</f>
        <v>0</v>
      </c>
      <c r="G137" s="330">
        <f t="shared" si="50"/>
        <v>0</v>
      </c>
      <c r="H137" s="330">
        <f t="shared" si="50"/>
        <v>0</v>
      </c>
      <c r="I137" s="330">
        <f t="shared" si="50"/>
        <v>0</v>
      </c>
      <c r="J137" s="330">
        <f t="shared" si="50"/>
        <v>0</v>
      </c>
      <c r="K137" s="330">
        <f t="shared" si="50"/>
        <v>-885000</v>
      </c>
      <c r="L137" s="330">
        <f t="shared" si="50"/>
        <v>-2825000</v>
      </c>
      <c r="M137" s="330">
        <f t="shared" si="50"/>
        <v>-7085000</v>
      </c>
      <c r="N137" s="330">
        <f t="shared" si="50"/>
        <v>-7085000</v>
      </c>
      <c r="O137" s="330">
        <f t="shared" si="50"/>
        <v>-7405000</v>
      </c>
      <c r="P137" s="330">
        <f t="shared" si="50"/>
        <v>-9405000</v>
      </c>
      <c r="Q137" s="330">
        <f t="shared" si="50"/>
        <v>-13955000</v>
      </c>
      <c r="R137" s="330">
        <f t="shared" si="50"/>
        <v>-14955000</v>
      </c>
      <c r="S137" s="330">
        <f t="shared" si="50"/>
        <v>-20505000</v>
      </c>
      <c r="T137" s="330">
        <f t="shared" si="50"/>
        <v>-30229209.748712085</v>
      </c>
      <c r="U137" s="330">
        <f t="shared" si="50"/>
        <v>-31329209.748712085</v>
      </c>
      <c r="V137" s="330">
        <f t="shared" si="50"/>
        <v>-31329209.748712085</v>
      </c>
      <c r="W137" s="330">
        <f t="shared" si="50"/>
        <v>-31329209.748712085</v>
      </c>
      <c r="X137" s="330">
        <f t="shared" si="50"/>
        <v>-31329209.748712085</v>
      </c>
      <c r="Y137" s="330">
        <f t="shared" si="50"/>
        <v>-31329209.748712085</v>
      </c>
      <c r="Z137" s="330">
        <f t="shared" si="50"/>
        <v>-31329209.748712085</v>
      </c>
      <c r="AA137" s="330">
        <f t="shared" si="50"/>
        <v>-4824209.7487120852</v>
      </c>
      <c r="AB137" s="330">
        <f t="shared" si="50"/>
        <v>-4824209.7487120852</v>
      </c>
      <c r="AC137" s="330">
        <f t="shared" si="50"/>
        <v>-4824209.7487120852</v>
      </c>
      <c r="AD137" s="330">
        <f t="shared" si="50"/>
        <v>-4824209.7487120852</v>
      </c>
      <c r="AE137" s="330">
        <f t="shared" si="50"/>
        <v>-4824209.7487120852</v>
      </c>
      <c r="AF137" s="330">
        <f t="shared" si="50"/>
        <v>-4824209.7487120852</v>
      </c>
      <c r="AG137" s="330">
        <f t="shared" si="50"/>
        <v>-4824209.7487120852</v>
      </c>
      <c r="AH137" s="330">
        <f t="shared" si="50"/>
        <v>-4824209.7487120852</v>
      </c>
      <c r="AI137" s="330">
        <f t="shared" si="50"/>
        <v>-4824209.7487120852</v>
      </c>
      <c r="AJ137" s="330">
        <f t="shared" si="50"/>
        <v>-4824209.7487120852</v>
      </c>
      <c r="AK137" s="330">
        <f t="shared" si="50"/>
        <v>-4824209.7487120852</v>
      </c>
      <c r="AL137" s="330">
        <f t="shared" si="50"/>
        <v>-4824209.7487120852</v>
      </c>
      <c r="AM137" s="330">
        <f t="shared" si="50"/>
        <v>-4824209.7487120852</v>
      </c>
      <c r="AN137" s="330">
        <f t="shared" si="50"/>
        <v>-4824209.7487120852</v>
      </c>
      <c r="AO137" s="330">
        <f t="shared" si="50"/>
        <v>-4824209.7487120852</v>
      </c>
      <c r="AP137" s="330">
        <f t="shared" si="50"/>
        <v>-4824209.7487120852</v>
      </c>
      <c r="AQ137" s="330">
        <f t="shared" si="50"/>
        <v>-4824209.7487120852</v>
      </c>
      <c r="AR137" s="330">
        <f t="shared" si="50"/>
        <v>-4824209.7487120852</v>
      </c>
      <c r="AS137" s="330">
        <f t="shared" si="50"/>
        <v>-4824209.7487120852</v>
      </c>
      <c r="AT137" s="330">
        <f t="shared" si="50"/>
        <v>-4824209.7487120852</v>
      </c>
      <c r="AU137" s="330">
        <f t="shared" si="50"/>
        <v>-4824209.7487120852</v>
      </c>
      <c r="AV137" s="330">
        <f t="shared" si="50"/>
        <v>-4824209.7487120852</v>
      </c>
      <c r="AW137" s="330">
        <f t="shared" si="50"/>
        <v>-4824209.7487120852</v>
      </c>
      <c r="AX137" s="330">
        <f t="shared" si="50"/>
        <v>-4824209.7487120852</v>
      </c>
      <c r="AY137" s="330">
        <f t="shared" si="50"/>
        <v>-4824209.7487120852</v>
      </c>
      <c r="AZ137" s="330">
        <f t="shared" si="50"/>
        <v>-4824209.7487120852</v>
      </c>
      <c r="BA137" s="330">
        <f t="shared" si="50"/>
        <v>-4824209.7487120852</v>
      </c>
      <c r="BB137" s="330">
        <f t="shared" si="50"/>
        <v>-4824209.7487120852</v>
      </c>
      <c r="BC137" s="330">
        <f t="shared" si="50"/>
        <v>-4824209.7487120852</v>
      </c>
      <c r="BD137" s="330">
        <f t="shared" si="50"/>
        <v>-4824209.7487120852</v>
      </c>
      <c r="BE137" s="330">
        <f t="shared" si="50"/>
        <v>-4824209.7487120852</v>
      </c>
      <c r="BF137" s="330">
        <f t="shared" si="50"/>
        <v>-4824209.7487120852</v>
      </c>
      <c r="BG137" s="330">
        <f t="shared" si="50"/>
        <v>-4824209.7487120852</v>
      </c>
      <c r="BH137" s="330">
        <f t="shared" si="50"/>
        <v>-4824209.7487120852</v>
      </c>
      <c r="BI137" s="330">
        <f t="shared" si="50"/>
        <v>-4824209.7487120852</v>
      </c>
      <c r="BJ137" s="330">
        <f t="shared" si="50"/>
        <v>-4824209.7487120852</v>
      </c>
      <c r="BK137" s="330">
        <f t="shared" si="50"/>
        <v>-4824209.7487120852</v>
      </c>
      <c r="BL137" s="330">
        <f t="shared" si="50"/>
        <v>-4824209.7487120852</v>
      </c>
      <c r="BM137" s="330">
        <f t="shared" si="50"/>
        <v>-4824209.7487120852</v>
      </c>
      <c r="BN137" s="330">
        <f t="shared" si="50"/>
        <v>-4824209.7487120852</v>
      </c>
      <c r="BO137" s="330">
        <f t="shared" si="50"/>
        <v>-4824209.7487120852</v>
      </c>
      <c r="BP137" s="330">
        <f t="shared" si="50"/>
        <v>-4824209.7487120852</v>
      </c>
      <c r="BQ137" s="330">
        <f t="shared" si="50"/>
        <v>-4824209.7487120852</v>
      </c>
      <c r="BR137" s="330">
        <f t="shared" si="50"/>
        <v>-4824209.7487120852</v>
      </c>
      <c r="BS137" s="330">
        <f t="shared" si="50"/>
        <v>-4824209.7487120852</v>
      </c>
      <c r="BT137" s="330">
        <f t="shared" si="50"/>
        <v>-4824209.7487120852</v>
      </c>
      <c r="BU137" s="330">
        <f t="shared" si="50"/>
        <v>-4824209.7487120852</v>
      </c>
      <c r="BV137" s="330">
        <f t="shared" si="50"/>
        <v>-4824209.7487120852</v>
      </c>
      <c r="BW137" s="330">
        <f t="shared" si="50"/>
        <v>-4824209.7487120852</v>
      </c>
      <c r="BX137" s="330">
        <f t="shared" si="50"/>
        <v>-4824209.7487120852</v>
      </c>
    </row>
    <row r="138" spans="3:76">
      <c r="C138" s="317" t="s">
        <v>339</v>
      </c>
      <c r="D138" s="326">
        <f>IRR(E136:BX136)*12</f>
        <v>-0.20778143497258439</v>
      </c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  <c r="BU138" s="226"/>
      <c r="BV138" s="226"/>
      <c r="BW138" s="226"/>
      <c r="BX138" s="226"/>
    </row>
    <row r="139" spans="3:76">
      <c r="C139" s="327" t="s">
        <v>347</v>
      </c>
      <c r="D139" s="328">
        <f>-MIN(E131:BL131)</f>
        <v>5550000</v>
      </c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6"/>
      <c r="BN139" s="226"/>
      <c r="BO139" s="226"/>
      <c r="BP139" s="226"/>
      <c r="BQ139" s="226"/>
      <c r="BR139" s="226"/>
      <c r="BS139" s="226"/>
      <c r="BT139" s="226"/>
      <c r="BU139" s="226"/>
      <c r="BV139" s="226"/>
      <c r="BW139" s="226"/>
      <c r="BX139" s="226"/>
    </row>
    <row r="140" spans="3:76">
      <c r="C140" s="327" t="s">
        <v>348</v>
      </c>
      <c r="D140" s="328">
        <f>-SUM(M135:BB135)</f>
        <v>0</v>
      </c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  <c r="BU140" s="226"/>
      <c r="BV140" s="226"/>
      <c r="BW140" s="226"/>
      <c r="BX140" s="226"/>
    </row>
    <row r="141" spans="3:76">
      <c r="C141" s="317" t="s">
        <v>349</v>
      </c>
      <c r="D141" s="329">
        <f>D140+D139</f>
        <v>5550000</v>
      </c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AY141" s="226"/>
      <c r="AZ141" s="226"/>
      <c r="BA141" s="226"/>
      <c r="BB141" s="226"/>
      <c r="BC141" s="226"/>
      <c r="BD141" s="226"/>
      <c r="BE141" s="226"/>
      <c r="BF141" s="226"/>
      <c r="BG141" s="226"/>
      <c r="BH141" s="226"/>
      <c r="BI141" s="226"/>
      <c r="BJ141" s="226"/>
      <c r="BK141" s="226"/>
      <c r="BL141" s="226"/>
      <c r="BM141" s="226"/>
      <c r="BN141" s="226"/>
      <c r="BO141" s="226"/>
      <c r="BP141" s="226"/>
      <c r="BQ141" s="226"/>
      <c r="BR141" s="226"/>
      <c r="BS141" s="226"/>
      <c r="BT141" s="226"/>
      <c r="BU141" s="226"/>
      <c r="BV141" s="226"/>
      <c r="BW141" s="226"/>
      <c r="BX141" s="226"/>
    </row>
    <row r="142" spans="3:76">
      <c r="C142" s="317" t="s">
        <v>350</v>
      </c>
      <c r="D142" s="329">
        <f>BX133+BX134</f>
        <v>0</v>
      </c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  <c r="AY142" s="226"/>
      <c r="AZ142" s="226"/>
      <c r="BA142" s="226"/>
      <c r="BB142" s="226"/>
      <c r="BC142" s="226"/>
      <c r="BD142" s="226"/>
      <c r="BE142" s="226"/>
      <c r="BF142" s="226"/>
      <c r="BG142" s="226"/>
      <c r="BH142" s="226"/>
      <c r="BI142" s="226"/>
      <c r="BJ142" s="226"/>
      <c r="BK142" s="226"/>
      <c r="BL142" s="226"/>
      <c r="BM142" s="226"/>
      <c r="BN142" s="226"/>
      <c r="BO142" s="226"/>
      <c r="BP142" s="226"/>
      <c r="BQ142" s="226"/>
      <c r="BR142" s="226"/>
      <c r="BS142" s="226"/>
      <c r="BT142" s="226"/>
      <c r="BU142" s="226"/>
      <c r="BV142" s="226"/>
      <c r="BW142" s="226"/>
      <c r="BX142" s="226"/>
    </row>
    <row r="143" spans="3:76">
      <c r="C143" s="317" t="s">
        <v>351</v>
      </c>
      <c r="D143" s="326">
        <f>(D142-D140)/D141</f>
        <v>0</v>
      </c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6"/>
      <c r="AT143" s="226"/>
      <c r="AU143" s="226"/>
      <c r="AV143" s="226"/>
      <c r="AW143" s="226"/>
      <c r="AX143" s="226"/>
      <c r="AY143" s="226"/>
      <c r="AZ143" s="226"/>
      <c r="BA143" s="226"/>
      <c r="BB143" s="226"/>
      <c r="BC143" s="226"/>
      <c r="BD143" s="226"/>
      <c r="BE143" s="226"/>
      <c r="BF143" s="226"/>
      <c r="BG143" s="226"/>
      <c r="BH143" s="226"/>
      <c r="BI143" s="226"/>
      <c r="BJ143" s="226"/>
      <c r="BK143" s="226"/>
      <c r="BL143" s="226"/>
      <c r="BM143" s="226"/>
      <c r="BN143" s="226"/>
      <c r="BO143" s="226"/>
      <c r="BP143" s="226"/>
      <c r="BQ143" s="226"/>
      <c r="BR143" s="226"/>
      <c r="BS143" s="226"/>
      <c r="BT143" s="226"/>
      <c r="BU143" s="226"/>
      <c r="BV143" s="226"/>
      <c r="BW143" s="226"/>
      <c r="BX143" s="226"/>
    </row>
    <row r="147" spans="3:76">
      <c r="C147" s="314" t="s">
        <v>355</v>
      </c>
      <c r="D147" s="315"/>
      <c r="E147" s="316">
        <f t="shared" ref="E147:G147" si="51">-(E24+E111)</f>
        <v>0</v>
      </c>
      <c r="F147" s="316">
        <f t="shared" si="51"/>
        <v>0</v>
      </c>
      <c r="G147" s="316">
        <f t="shared" si="51"/>
        <v>0</v>
      </c>
      <c r="H147" s="316">
        <f>-10682501</f>
        <v>-10682501</v>
      </c>
      <c r="I147" s="316">
        <v>0</v>
      </c>
      <c r="J147" s="316">
        <f>-(J24+J111)</f>
        <v>0</v>
      </c>
      <c r="K147" s="316">
        <v>0</v>
      </c>
      <c r="L147" s="316">
        <f t="shared" ref="L147:S147" si="52">-(L24+L111)</f>
        <v>15913.92</v>
      </c>
      <c r="M147" s="316">
        <f t="shared" si="52"/>
        <v>0</v>
      </c>
      <c r="N147" s="316">
        <f t="shared" si="52"/>
        <v>0</v>
      </c>
      <c r="O147" s="316">
        <f t="shared" si="52"/>
        <v>0</v>
      </c>
      <c r="P147" s="316">
        <f t="shared" si="52"/>
        <v>619336.08000000007</v>
      </c>
      <c r="Q147" s="316">
        <f t="shared" si="52"/>
        <v>393250</v>
      </c>
      <c r="R147" s="316">
        <f t="shared" si="52"/>
        <v>393250</v>
      </c>
      <c r="S147" s="316">
        <f t="shared" si="52"/>
        <v>0</v>
      </c>
      <c r="T147" s="316">
        <f>-H147</f>
        <v>10682501</v>
      </c>
      <c r="U147" s="316">
        <f t="shared" ref="U147:BX147" si="53">-(U24+U111)</f>
        <v>0</v>
      </c>
      <c r="V147" s="316">
        <f t="shared" si="53"/>
        <v>0</v>
      </c>
      <c r="W147" s="316">
        <f t="shared" si="53"/>
        <v>0</v>
      </c>
      <c r="X147" s="316">
        <f t="shared" si="53"/>
        <v>0</v>
      </c>
      <c r="Y147" s="316">
        <f t="shared" si="53"/>
        <v>0</v>
      </c>
      <c r="Z147" s="316">
        <f t="shared" si="53"/>
        <v>0</v>
      </c>
      <c r="AA147" s="316">
        <f t="shared" si="53"/>
        <v>0</v>
      </c>
      <c r="AB147" s="316">
        <f t="shared" si="53"/>
        <v>0</v>
      </c>
      <c r="AC147" s="316">
        <f t="shared" si="53"/>
        <v>0</v>
      </c>
      <c r="AD147" s="316">
        <f t="shared" si="53"/>
        <v>0</v>
      </c>
      <c r="AE147" s="316">
        <f t="shared" si="53"/>
        <v>0</v>
      </c>
      <c r="AF147" s="316">
        <f t="shared" si="53"/>
        <v>0</v>
      </c>
      <c r="AG147" s="316">
        <f t="shared" si="53"/>
        <v>0</v>
      </c>
      <c r="AH147" s="316">
        <f t="shared" si="53"/>
        <v>0</v>
      </c>
      <c r="AI147" s="316">
        <f t="shared" si="53"/>
        <v>0</v>
      </c>
      <c r="AJ147" s="316">
        <f t="shared" si="53"/>
        <v>0</v>
      </c>
      <c r="AK147" s="316">
        <f t="shared" si="53"/>
        <v>0</v>
      </c>
      <c r="AL147" s="316">
        <f t="shared" si="53"/>
        <v>0</v>
      </c>
      <c r="AM147" s="316">
        <f t="shared" si="53"/>
        <v>0</v>
      </c>
      <c r="AN147" s="316">
        <f t="shared" si="53"/>
        <v>0</v>
      </c>
      <c r="AO147" s="316">
        <f t="shared" si="53"/>
        <v>0</v>
      </c>
      <c r="AP147" s="316">
        <f t="shared" si="53"/>
        <v>0</v>
      </c>
      <c r="AQ147" s="316">
        <f t="shared" si="53"/>
        <v>0</v>
      </c>
      <c r="AR147" s="316">
        <f t="shared" si="53"/>
        <v>0</v>
      </c>
      <c r="AS147" s="316">
        <f t="shared" si="53"/>
        <v>0</v>
      </c>
      <c r="AT147" s="316">
        <f t="shared" si="53"/>
        <v>0</v>
      </c>
      <c r="AU147" s="316">
        <f t="shared" si="53"/>
        <v>0</v>
      </c>
      <c r="AV147" s="316">
        <f t="shared" si="53"/>
        <v>0</v>
      </c>
      <c r="AW147" s="316">
        <f t="shared" si="53"/>
        <v>0</v>
      </c>
      <c r="AX147" s="316">
        <f t="shared" si="53"/>
        <v>0</v>
      </c>
      <c r="AY147" s="316">
        <f t="shared" si="53"/>
        <v>0</v>
      </c>
      <c r="AZ147" s="316">
        <f t="shared" si="53"/>
        <v>0</v>
      </c>
      <c r="BA147" s="316">
        <f t="shared" si="53"/>
        <v>0</v>
      </c>
      <c r="BB147" s="316">
        <f t="shared" si="53"/>
        <v>0</v>
      </c>
      <c r="BC147" s="316">
        <f t="shared" si="53"/>
        <v>0</v>
      </c>
      <c r="BD147" s="316">
        <f t="shared" si="53"/>
        <v>0</v>
      </c>
      <c r="BE147" s="316">
        <f t="shared" si="53"/>
        <v>0</v>
      </c>
      <c r="BF147" s="316">
        <f t="shared" si="53"/>
        <v>0</v>
      </c>
      <c r="BG147" s="316">
        <f t="shared" si="53"/>
        <v>0</v>
      </c>
      <c r="BH147" s="316">
        <f t="shared" si="53"/>
        <v>0</v>
      </c>
      <c r="BI147" s="316">
        <f t="shared" si="53"/>
        <v>0</v>
      </c>
      <c r="BJ147" s="316">
        <f t="shared" si="53"/>
        <v>0</v>
      </c>
      <c r="BK147" s="316">
        <f t="shared" si="53"/>
        <v>0</v>
      </c>
      <c r="BL147" s="316">
        <f t="shared" si="53"/>
        <v>0</v>
      </c>
      <c r="BM147" s="316">
        <f t="shared" si="53"/>
        <v>0</v>
      </c>
      <c r="BN147" s="316">
        <f t="shared" si="53"/>
        <v>0</v>
      </c>
      <c r="BO147" s="316">
        <f t="shared" si="53"/>
        <v>0</v>
      </c>
      <c r="BP147" s="316">
        <f t="shared" si="53"/>
        <v>0</v>
      </c>
      <c r="BQ147" s="316">
        <f t="shared" si="53"/>
        <v>0</v>
      </c>
      <c r="BR147" s="316">
        <f t="shared" si="53"/>
        <v>0</v>
      </c>
      <c r="BS147" s="316">
        <f t="shared" si="53"/>
        <v>0</v>
      </c>
      <c r="BT147" s="316">
        <f t="shared" si="53"/>
        <v>0</v>
      </c>
      <c r="BU147" s="316">
        <f t="shared" si="53"/>
        <v>0</v>
      </c>
      <c r="BV147" s="316">
        <f t="shared" si="53"/>
        <v>0</v>
      </c>
      <c r="BW147" s="316">
        <f t="shared" si="53"/>
        <v>0</v>
      </c>
      <c r="BX147" s="316">
        <f t="shared" si="53"/>
        <v>0</v>
      </c>
    </row>
    <row r="148" spans="3:76">
      <c r="C148" s="314" t="s">
        <v>353</v>
      </c>
      <c r="D148" s="323"/>
      <c r="E148" s="315"/>
      <c r="F148" s="315"/>
      <c r="G148" s="315"/>
      <c r="H148" s="315"/>
      <c r="I148" s="315"/>
      <c r="J148" s="315"/>
      <c r="K148" s="315"/>
      <c r="L148" s="315"/>
      <c r="M148" s="315"/>
      <c r="N148" s="315"/>
      <c r="O148" s="315"/>
      <c r="P148" s="315"/>
      <c r="Q148" s="315"/>
      <c r="R148" s="315"/>
      <c r="S148" s="315"/>
      <c r="T148" s="315"/>
      <c r="U148" s="315"/>
      <c r="V148" s="315"/>
      <c r="W148" s="315"/>
      <c r="X148" s="315"/>
      <c r="Y148" s="315"/>
      <c r="Z148" s="315"/>
      <c r="AA148" s="315"/>
      <c r="AB148" s="315"/>
      <c r="AC148" s="315"/>
      <c r="AD148" s="315"/>
      <c r="AE148" s="315"/>
      <c r="AF148" s="315"/>
      <c r="AG148" s="315"/>
      <c r="AH148" s="315"/>
      <c r="AI148" s="315"/>
      <c r="AJ148" s="315"/>
      <c r="AK148" s="315"/>
      <c r="AL148" s="315"/>
      <c r="AM148" s="315"/>
      <c r="AN148" s="315"/>
      <c r="AO148" s="315"/>
      <c r="AP148" s="315"/>
      <c r="AQ148" s="315"/>
      <c r="AR148" s="315"/>
      <c r="AS148" s="315"/>
      <c r="AT148" s="315"/>
      <c r="AU148" s="315"/>
      <c r="AV148" s="315"/>
      <c r="AW148" s="315"/>
      <c r="AX148" s="315"/>
      <c r="AY148" s="315"/>
      <c r="AZ148" s="315"/>
      <c r="BA148" s="315"/>
      <c r="BB148" s="315"/>
      <c r="BC148" s="316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</row>
    <row r="149" spans="3:76">
      <c r="C149" s="314" t="s">
        <v>343</v>
      </c>
      <c r="D149" s="323"/>
      <c r="E149" s="315">
        <f t="shared" ref="E149:BX149" si="54">-E75</f>
        <v>0</v>
      </c>
      <c r="F149" s="315">
        <f t="shared" si="54"/>
        <v>0</v>
      </c>
      <c r="G149" s="315">
        <f t="shared" si="54"/>
        <v>0</v>
      </c>
      <c r="H149" s="315">
        <f t="shared" si="54"/>
        <v>0</v>
      </c>
      <c r="I149" s="315">
        <f t="shared" si="54"/>
        <v>0</v>
      </c>
      <c r="J149" s="315">
        <f t="shared" si="54"/>
        <v>0</v>
      </c>
      <c r="K149" s="315">
        <f t="shared" si="54"/>
        <v>0</v>
      </c>
      <c r="L149" s="315">
        <f t="shared" si="54"/>
        <v>0</v>
      </c>
      <c r="M149" s="315">
        <f t="shared" si="54"/>
        <v>0</v>
      </c>
      <c r="N149" s="315">
        <f t="shared" si="54"/>
        <v>0</v>
      </c>
      <c r="O149" s="315">
        <f t="shared" si="54"/>
        <v>0</v>
      </c>
      <c r="P149" s="315">
        <f t="shared" si="54"/>
        <v>0</v>
      </c>
      <c r="Q149" s="315">
        <f t="shared" si="54"/>
        <v>0</v>
      </c>
      <c r="R149" s="315">
        <f t="shared" si="54"/>
        <v>0</v>
      </c>
      <c r="S149" s="315">
        <f t="shared" si="54"/>
        <v>0</v>
      </c>
      <c r="T149" s="315">
        <f t="shared" si="54"/>
        <v>0</v>
      </c>
      <c r="U149" s="315">
        <f t="shared" si="54"/>
        <v>0</v>
      </c>
      <c r="V149" s="315">
        <f t="shared" si="54"/>
        <v>0</v>
      </c>
      <c r="W149" s="315">
        <f t="shared" si="54"/>
        <v>0</v>
      </c>
      <c r="X149" s="315">
        <f t="shared" si="54"/>
        <v>0</v>
      </c>
      <c r="Y149" s="315">
        <f t="shared" si="54"/>
        <v>0</v>
      </c>
      <c r="Z149" s="315">
        <f t="shared" si="54"/>
        <v>0</v>
      </c>
      <c r="AA149" s="315">
        <f t="shared" si="54"/>
        <v>0</v>
      </c>
      <c r="AB149" s="315">
        <f t="shared" si="54"/>
        <v>0</v>
      </c>
      <c r="AC149" s="315">
        <f t="shared" si="54"/>
        <v>0</v>
      </c>
      <c r="AD149" s="315">
        <f t="shared" si="54"/>
        <v>0</v>
      </c>
      <c r="AE149" s="315">
        <f t="shared" si="54"/>
        <v>0</v>
      </c>
      <c r="AF149" s="315">
        <f t="shared" si="54"/>
        <v>0</v>
      </c>
      <c r="AG149" s="315">
        <f t="shared" si="54"/>
        <v>0</v>
      </c>
      <c r="AH149" s="315">
        <f t="shared" si="54"/>
        <v>0</v>
      </c>
      <c r="AI149" s="315">
        <f t="shared" si="54"/>
        <v>0</v>
      </c>
      <c r="AJ149" s="315">
        <f t="shared" si="54"/>
        <v>0</v>
      </c>
      <c r="AK149" s="315">
        <f t="shared" si="54"/>
        <v>0</v>
      </c>
      <c r="AL149" s="315">
        <f t="shared" si="54"/>
        <v>0</v>
      </c>
      <c r="AM149" s="315">
        <f t="shared" si="54"/>
        <v>0</v>
      </c>
      <c r="AN149" s="315">
        <f t="shared" si="54"/>
        <v>0</v>
      </c>
      <c r="AO149" s="315">
        <f t="shared" si="54"/>
        <v>0</v>
      </c>
      <c r="AP149" s="315">
        <f t="shared" si="54"/>
        <v>0</v>
      </c>
      <c r="AQ149" s="315">
        <f t="shared" si="54"/>
        <v>0</v>
      </c>
      <c r="AR149" s="315">
        <f t="shared" si="54"/>
        <v>0</v>
      </c>
      <c r="AS149" s="315">
        <f t="shared" si="54"/>
        <v>0</v>
      </c>
      <c r="AT149" s="315">
        <f t="shared" si="54"/>
        <v>0</v>
      </c>
      <c r="AU149" s="315">
        <f t="shared" si="54"/>
        <v>0</v>
      </c>
      <c r="AV149" s="315">
        <f t="shared" si="54"/>
        <v>0</v>
      </c>
      <c r="AW149" s="315">
        <f t="shared" si="54"/>
        <v>0</v>
      </c>
      <c r="AX149" s="315">
        <f t="shared" si="54"/>
        <v>0</v>
      </c>
      <c r="AY149" s="315">
        <f t="shared" si="54"/>
        <v>0</v>
      </c>
      <c r="AZ149" s="315">
        <f t="shared" si="54"/>
        <v>0</v>
      </c>
      <c r="BA149" s="315">
        <f t="shared" si="54"/>
        <v>0</v>
      </c>
      <c r="BB149" s="315">
        <f t="shared" si="54"/>
        <v>0</v>
      </c>
      <c r="BC149" s="315">
        <f t="shared" si="54"/>
        <v>0</v>
      </c>
      <c r="BD149" s="315">
        <f t="shared" si="54"/>
        <v>0</v>
      </c>
      <c r="BE149" s="315">
        <f t="shared" si="54"/>
        <v>0</v>
      </c>
      <c r="BF149" s="315">
        <f t="shared" si="54"/>
        <v>0</v>
      </c>
      <c r="BG149" s="315">
        <f t="shared" si="54"/>
        <v>0</v>
      </c>
      <c r="BH149" s="315">
        <f t="shared" si="54"/>
        <v>0</v>
      </c>
      <c r="BI149" s="315">
        <f t="shared" si="54"/>
        <v>0</v>
      </c>
      <c r="BJ149" s="315">
        <f t="shared" si="54"/>
        <v>0</v>
      </c>
      <c r="BK149" s="315">
        <f t="shared" si="54"/>
        <v>0</v>
      </c>
      <c r="BL149" s="315">
        <f t="shared" si="54"/>
        <v>0</v>
      </c>
      <c r="BM149" s="315">
        <f t="shared" si="54"/>
        <v>0</v>
      </c>
      <c r="BN149" s="315">
        <f t="shared" si="54"/>
        <v>0</v>
      </c>
      <c r="BO149" s="315">
        <f t="shared" si="54"/>
        <v>0</v>
      </c>
      <c r="BP149" s="315">
        <f t="shared" si="54"/>
        <v>0</v>
      </c>
      <c r="BQ149" s="315">
        <f t="shared" si="54"/>
        <v>0</v>
      </c>
      <c r="BR149" s="315">
        <f t="shared" si="54"/>
        <v>0</v>
      </c>
      <c r="BS149" s="315">
        <f t="shared" si="54"/>
        <v>0</v>
      </c>
      <c r="BT149" s="315">
        <f t="shared" si="54"/>
        <v>0</v>
      </c>
      <c r="BU149" s="315">
        <f t="shared" si="54"/>
        <v>0</v>
      </c>
      <c r="BV149" s="315">
        <f t="shared" si="54"/>
        <v>0</v>
      </c>
      <c r="BW149" s="315">
        <f t="shared" si="54"/>
        <v>0</v>
      </c>
      <c r="BX149" s="315">
        <f t="shared" si="54"/>
        <v>0</v>
      </c>
    </row>
    <row r="150" spans="3:76">
      <c r="C150" s="314" t="s">
        <v>344</v>
      </c>
      <c r="D150" s="323"/>
      <c r="E150" s="315"/>
      <c r="F150" s="315"/>
      <c r="G150" s="315"/>
      <c r="H150" s="315"/>
      <c r="I150" s="315"/>
      <c r="J150" s="315"/>
      <c r="K150" s="315"/>
      <c r="L150" s="315"/>
      <c r="M150" s="315"/>
      <c r="N150" s="315"/>
      <c r="O150" s="315"/>
      <c r="P150" s="315"/>
      <c r="Q150" s="315"/>
      <c r="R150" s="315"/>
      <c r="S150" s="315"/>
      <c r="T150" s="315">
        <f>5500000</f>
        <v>5500000</v>
      </c>
      <c r="U150" s="315"/>
      <c r="V150" s="315"/>
      <c r="W150" s="315"/>
      <c r="X150" s="315"/>
      <c r="Y150" s="315"/>
      <c r="Z150" s="315"/>
      <c r="AA150" s="315"/>
      <c r="AB150" s="315"/>
      <c r="AC150" s="315"/>
      <c r="AD150" s="315"/>
      <c r="AE150" s="315"/>
      <c r="AF150" s="315"/>
      <c r="AG150" s="315"/>
      <c r="AH150" s="315"/>
      <c r="AI150" s="315"/>
      <c r="AJ150" s="315"/>
      <c r="AK150" s="315"/>
      <c r="AL150" s="315"/>
      <c r="AM150" s="315"/>
      <c r="AN150" s="315"/>
      <c r="AO150" s="315"/>
      <c r="AP150" s="315"/>
      <c r="AQ150" s="315"/>
      <c r="AR150" s="315"/>
      <c r="AS150" s="315"/>
      <c r="AT150" s="315"/>
      <c r="AU150" s="315"/>
      <c r="AV150" s="315"/>
      <c r="AW150" s="315"/>
      <c r="AX150" s="315"/>
      <c r="AY150" s="315"/>
      <c r="AZ150" s="315"/>
      <c r="BA150" s="315"/>
      <c r="BB150" s="315"/>
      <c r="BC150" s="316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>
        <f>IF(D122&gt;0.25,(BX117-BX125)*D151,BX117*D151)</f>
        <v>0</v>
      </c>
    </row>
    <row r="151" spans="3:76">
      <c r="C151" s="317" t="s">
        <v>345</v>
      </c>
      <c r="D151" s="323">
        <v>0</v>
      </c>
      <c r="E151" s="315"/>
      <c r="F151" s="315"/>
      <c r="G151" s="315"/>
      <c r="H151" s="315"/>
      <c r="I151" s="315"/>
      <c r="J151" s="315"/>
      <c r="K151" s="315"/>
      <c r="L151" s="315"/>
      <c r="M151" s="315"/>
      <c r="N151" s="315"/>
      <c r="O151" s="315"/>
      <c r="P151" s="315"/>
      <c r="Q151" s="315"/>
      <c r="R151" s="315"/>
      <c r="S151" s="315"/>
      <c r="T151" s="315"/>
      <c r="U151" s="315"/>
      <c r="V151" s="315"/>
      <c r="W151" s="315"/>
      <c r="X151" s="315"/>
      <c r="Y151" s="315"/>
      <c r="Z151" s="315"/>
      <c r="AA151" s="315"/>
      <c r="AB151" s="315"/>
      <c r="AC151" s="315"/>
      <c r="AD151" s="315"/>
      <c r="AE151" s="315"/>
      <c r="AF151" s="315"/>
      <c r="AG151" s="315"/>
      <c r="AH151" s="315"/>
      <c r="AI151" s="315"/>
      <c r="AJ151" s="315"/>
      <c r="AK151" s="315"/>
      <c r="AL151" s="315"/>
      <c r="AM151" s="315"/>
      <c r="AN151" s="315"/>
      <c r="AO151" s="315"/>
      <c r="AP151" s="315"/>
      <c r="AQ151" s="315"/>
      <c r="AR151" s="315"/>
      <c r="AS151" s="315"/>
      <c r="AT151" s="315"/>
      <c r="AU151" s="315"/>
      <c r="AV151" s="315"/>
      <c r="AW151" s="315"/>
      <c r="AX151" s="315"/>
      <c r="AY151" s="315"/>
      <c r="AZ151" s="315"/>
      <c r="BA151" s="315"/>
      <c r="BB151" s="315"/>
      <c r="BC151" s="316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</row>
    <row r="152" spans="3:76">
      <c r="C152" s="314" t="s">
        <v>346</v>
      </c>
      <c r="D152" s="315"/>
      <c r="E152" s="325">
        <f t="shared" ref="E152:BX152" si="55">E147+E148+E149+E150+E151</f>
        <v>0</v>
      </c>
      <c r="F152" s="325">
        <f t="shared" si="55"/>
        <v>0</v>
      </c>
      <c r="G152" s="325">
        <f t="shared" si="55"/>
        <v>0</v>
      </c>
      <c r="H152" s="325">
        <f t="shared" si="55"/>
        <v>-10682501</v>
      </c>
      <c r="I152" s="325">
        <f t="shared" si="55"/>
        <v>0</v>
      </c>
      <c r="J152" s="325">
        <f t="shared" si="55"/>
        <v>0</v>
      </c>
      <c r="K152" s="325">
        <f t="shared" si="55"/>
        <v>0</v>
      </c>
      <c r="L152" s="325">
        <f t="shared" si="55"/>
        <v>15913.92</v>
      </c>
      <c r="M152" s="325">
        <f t="shared" si="55"/>
        <v>0</v>
      </c>
      <c r="N152" s="325">
        <f t="shared" si="55"/>
        <v>0</v>
      </c>
      <c r="O152" s="325">
        <f t="shared" si="55"/>
        <v>0</v>
      </c>
      <c r="P152" s="325">
        <f t="shared" si="55"/>
        <v>619336.08000000007</v>
      </c>
      <c r="Q152" s="325">
        <f t="shared" si="55"/>
        <v>393250</v>
      </c>
      <c r="R152" s="325">
        <f t="shared" si="55"/>
        <v>393250</v>
      </c>
      <c r="S152" s="325">
        <f t="shared" si="55"/>
        <v>0</v>
      </c>
      <c r="T152" s="325">
        <f t="shared" si="55"/>
        <v>16182501</v>
      </c>
      <c r="U152" s="325">
        <f t="shared" si="55"/>
        <v>0</v>
      </c>
      <c r="V152" s="325">
        <f t="shared" si="55"/>
        <v>0</v>
      </c>
      <c r="W152" s="325">
        <f t="shared" si="55"/>
        <v>0</v>
      </c>
      <c r="X152" s="325">
        <f t="shared" si="55"/>
        <v>0</v>
      </c>
      <c r="Y152" s="325">
        <f t="shared" si="55"/>
        <v>0</v>
      </c>
      <c r="Z152" s="325">
        <f t="shared" si="55"/>
        <v>0</v>
      </c>
      <c r="AA152" s="325">
        <f t="shared" si="55"/>
        <v>0</v>
      </c>
      <c r="AB152" s="325">
        <f t="shared" si="55"/>
        <v>0</v>
      </c>
      <c r="AC152" s="325">
        <f t="shared" si="55"/>
        <v>0</v>
      </c>
      <c r="AD152" s="325">
        <f t="shared" si="55"/>
        <v>0</v>
      </c>
      <c r="AE152" s="325">
        <f t="shared" si="55"/>
        <v>0</v>
      </c>
      <c r="AF152" s="325">
        <f t="shared" si="55"/>
        <v>0</v>
      </c>
      <c r="AG152" s="325">
        <f t="shared" si="55"/>
        <v>0</v>
      </c>
      <c r="AH152" s="325">
        <f t="shared" si="55"/>
        <v>0</v>
      </c>
      <c r="AI152" s="325">
        <f t="shared" si="55"/>
        <v>0</v>
      </c>
      <c r="AJ152" s="325">
        <f t="shared" si="55"/>
        <v>0</v>
      </c>
      <c r="AK152" s="325">
        <f t="shared" si="55"/>
        <v>0</v>
      </c>
      <c r="AL152" s="325">
        <f t="shared" si="55"/>
        <v>0</v>
      </c>
      <c r="AM152" s="325">
        <f t="shared" si="55"/>
        <v>0</v>
      </c>
      <c r="AN152" s="325">
        <f t="shared" si="55"/>
        <v>0</v>
      </c>
      <c r="AO152" s="325">
        <f t="shared" si="55"/>
        <v>0</v>
      </c>
      <c r="AP152" s="325">
        <f t="shared" si="55"/>
        <v>0</v>
      </c>
      <c r="AQ152" s="325">
        <f t="shared" si="55"/>
        <v>0</v>
      </c>
      <c r="AR152" s="325">
        <f t="shared" si="55"/>
        <v>0</v>
      </c>
      <c r="AS152" s="325">
        <f t="shared" si="55"/>
        <v>0</v>
      </c>
      <c r="AT152" s="325">
        <f t="shared" si="55"/>
        <v>0</v>
      </c>
      <c r="AU152" s="325">
        <f t="shared" si="55"/>
        <v>0</v>
      </c>
      <c r="AV152" s="325">
        <f t="shared" si="55"/>
        <v>0</v>
      </c>
      <c r="AW152" s="325">
        <f t="shared" si="55"/>
        <v>0</v>
      </c>
      <c r="AX152" s="325">
        <f t="shared" si="55"/>
        <v>0</v>
      </c>
      <c r="AY152" s="325">
        <f t="shared" si="55"/>
        <v>0</v>
      </c>
      <c r="AZ152" s="325">
        <f t="shared" si="55"/>
        <v>0</v>
      </c>
      <c r="BA152" s="325">
        <f t="shared" si="55"/>
        <v>0</v>
      </c>
      <c r="BB152" s="325">
        <f t="shared" si="55"/>
        <v>0</v>
      </c>
      <c r="BC152" s="325">
        <f t="shared" si="55"/>
        <v>0</v>
      </c>
      <c r="BD152" s="325">
        <f t="shared" si="55"/>
        <v>0</v>
      </c>
      <c r="BE152" s="325">
        <f t="shared" si="55"/>
        <v>0</v>
      </c>
      <c r="BF152" s="325">
        <f t="shared" si="55"/>
        <v>0</v>
      </c>
      <c r="BG152" s="325">
        <f t="shared" si="55"/>
        <v>0</v>
      </c>
      <c r="BH152" s="325">
        <f t="shared" si="55"/>
        <v>0</v>
      </c>
      <c r="BI152" s="325">
        <f t="shared" si="55"/>
        <v>0</v>
      </c>
      <c r="BJ152" s="325">
        <f t="shared" si="55"/>
        <v>0</v>
      </c>
      <c r="BK152" s="325">
        <f t="shared" si="55"/>
        <v>0</v>
      </c>
      <c r="BL152" s="325">
        <f t="shared" si="55"/>
        <v>0</v>
      </c>
      <c r="BM152" s="325">
        <f t="shared" si="55"/>
        <v>0</v>
      </c>
      <c r="BN152" s="325">
        <f t="shared" si="55"/>
        <v>0</v>
      </c>
      <c r="BO152" s="325">
        <f t="shared" si="55"/>
        <v>0</v>
      </c>
      <c r="BP152" s="325">
        <f t="shared" si="55"/>
        <v>0</v>
      </c>
      <c r="BQ152" s="325">
        <f t="shared" si="55"/>
        <v>0</v>
      </c>
      <c r="BR152" s="325">
        <f t="shared" si="55"/>
        <v>0</v>
      </c>
      <c r="BS152" s="325">
        <f t="shared" si="55"/>
        <v>0</v>
      </c>
      <c r="BT152" s="325">
        <f t="shared" si="55"/>
        <v>0</v>
      </c>
      <c r="BU152" s="325">
        <f t="shared" si="55"/>
        <v>0</v>
      </c>
      <c r="BV152" s="325">
        <f t="shared" si="55"/>
        <v>0</v>
      </c>
      <c r="BW152" s="325">
        <f t="shared" si="55"/>
        <v>0</v>
      </c>
      <c r="BX152" s="325">
        <f t="shared" si="55"/>
        <v>0</v>
      </c>
    </row>
    <row r="153" spans="3:76">
      <c r="C153" s="318"/>
      <c r="D153" s="326" t="s">
        <v>354</v>
      </c>
      <c r="E153" s="330">
        <f>E152</f>
        <v>0</v>
      </c>
      <c r="F153" s="330">
        <f t="shared" ref="F153:BX153" si="56">E153+F152</f>
        <v>0</v>
      </c>
      <c r="G153" s="330">
        <f t="shared" si="56"/>
        <v>0</v>
      </c>
      <c r="H153" s="330">
        <f t="shared" si="56"/>
        <v>-10682501</v>
      </c>
      <c r="I153" s="330">
        <f t="shared" si="56"/>
        <v>-10682501</v>
      </c>
      <c r="J153" s="330">
        <f t="shared" si="56"/>
        <v>-10682501</v>
      </c>
      <c r="K153" s="330">
        <f t="shared" si="56"/>
        <v>-10682501</v>
      </c>
      <c r="L153" s="330">
        <f t="shared" si="56"/>
        <v>-10666587.08</v>
      </c>
      <c r="M153" s="330">
        <f t="shared" si="56"/>
        <v>-10666587.08</v>
      </c>
      <c r="N153" s="330">
        <f t="shared" si="56"/>
        <v>-10666587.08</v>
      </c>
      <c r="O153" s="330">
        <f t="shared" si="56"/>
        <v>-10666587.08</v>
      </c>
      <c r="P153" s="330">
        <f t="shared" si="56"/>
        <v>-10047251</v>
      </c>
      <c r="Q153" s="330">
        <f t="shared" si="56"/>
        <v>-9654001</v>
      </c>
      <c r="R153" s="330">
        <f t="shared" si="56"/>
        <v>-9260751</v>
      </c>
      <c r="S153" s="330">
        <f t="shared" si="56"/>
        <v>-9260751</v>
      </c>
      <c r="T153" s="330">
        <f t="shared" si="56"/>
        <v>6921750</v>
      </c>
      <c r="U153" s="330">
        <f t="shared" si="56"/>
        <v>6921750</v>
      </c>
      <c r="V153" s="331">
        <f t="shared" si="56"/>
        <v>6921750</v>
      </c>
      <c r="W153" s="331">
        <f t="shared" si="56"/>
        <v>6921750</v>
      </c>
      <c r="X153" s="331">
        <f t="shared" si="56"/>
        <v>6921750</v>
      </c>
      <c r="Y153" s="331">
        <f t="shared" si="56"/>
        <v>6921750</v>
      </c>
      <c r="Z153" s="331">
        <f t="shared" si="56"/>
        <v>6921750</v>
      </c>
      <c r="AA153" s="331">
        <f t="shared" si="56"/>
        <v>6921750</v>
      </c>
      <c r="AB153" s="331">
        <f t="shared" si="56"/>
        <v>6921750</v>
      </c>
      <c r="AC153" s="331">
        <f t="shared" si="56"/>
        <v>6921750</v>
      </c>
      <c r="AD153" s="331">
        <f t="shared" si="56"/>
        <v>6921750</v>
      </c>
      <c r="AE153" s="331">
        <f t="shared" si="56"/>
        <v>6921750</v>
      </c>
      <c r="AF153" s="331">
        <f t="shared" si="56"/>
        <v>6921750</v>
      </c>
      <c r="AG153" s="331">
        <f t="shared" si="56"/>
        <v>6921750</v>
      </c>
      <c r="AH153" s="331">
        <f t="shared" si="56"/>
        <v>6921750</v>
      </c>
      <c r="AI153" s="331">
        <f t="shared" si="56"/>
        <v>6921750</v>
      </c>
      <c r="AJ153" s="331">
        <f t="shared" si="56"/>
        <v>6921750</v>
      </c>
      <c r="AK153" s="331">
        <f t="shared" si="56"/>
        <v>6921750</v>
      </c>
      <c r="AL153" s="331">
        <f t="shared" si="56"/>
        <v>6921750</v>
      </c>
      <c r="AM153" s="331">
        <f t="shared" si="56"/>
        <v>6921750</v>
      </c>
      <c r="AN153" s="331">
        <f t="shared" si="56"/>
        <v>6921750</v>
      </c>
      <c r="AO153" s="331">
        <f t="shared" si="56"/>
        <v>6921750</v>
      </c>
      <c r="AP153" s="331">
        <f t="shared" si="56"/>
        <v>6921750</v>
      </c>
      <c r="AQ153" s="331">
        <f t="shared" si="56"/>
        <v>6921750</v>
      </c>
      <c r="AR153" s="331">
        <f t="shared" si="56"/>
        <v>6921750</v>
      </c>
      <c r="AS153" s="331">
        <f t="shared" si="56"/>
        <v>6921750</v>
      </c>
      <c r="AT153" s="331">
        <f t="shared" si="56"/>
        <v>6921750</v>
      </c>
      <c r="AU153" s="331">
        <f t="shared" si="56"/>
        <v>6921750</v>
      </c>
      <c r="AV153" s="331">
        <f t="shared" si="56"/>
        <v>6921750</v>
      </c>
      <c r="AW153" s="331">
        <f t="shared" si="56"/>
        <v>6921750</v>
      </c>
      <c r="AX153" s="331">
        <f t="shared" si="56"/>
        <v>6921750</v>
      </c>
      <c r="AY153" s="331">
        <f t="shared" si="56"/>
        <v>6921750</v>
      </c>
      <c r="AZ153" s="331">
        <f t="shared" si="56"/>
        <v>6921750</v>
      </c>
      <c r="BA153" s="331">
        <f t="shared" si="56"/>
        <v>6921750</v>
      </c>
      <c r="BB153" s="331">
        <f t="shared" si="56"/>
        <v>6921750</v>
      </c>
      <c r="BC153" s="330">
        <f t="shared" si="56"/>
        <v>6921750</v>
      </c>
      <c r="BD153" s="330">
        <f t="shared" si="56"/>
        <v>6921750</v>
      </c>
      <c r="BE153" s="330">
        <f t="shared" si="56"/>
        <v>6921750</v>
      </c>
      <c r="BF153" s="330">
        <f t="shared" si="56"/>
        <v>6921750</v>
      </c>
      <c r="BG153" s="330">
        <f t="shared" si="56"/>
        <v>6921750</v>
      </c>
      <c r="BH153" s="330">
        <f t="shared" si="56"/>
        <v>6921750</v>
      </c>
      <c r="BI153" s="330">
        <f t="shared" si="56"/>
        <v>6921750</v>
      </c>
      <c r="BJ153" s="330">
        <f t="shared" si="56"/>
        <v>6921750</v>
      </c>
      <c r="BK153" s="330">
        <f t="shared" si="56"/>
        <v>6921750</v>
      </c>
      <c r="BL153" s="330">
        <f t="shared" si="56"/>
        <v>6921750</v>
      </c>
      <c r="BM153" s="330">
        <f t="shared" si="56"/>
        <v>6921750</v>
      </c>
      <c r="BN153" s="330">
        <f t="shared" si="56"/>
        <v>6921750</v>
      </c>
      <c r="BO153" s="330">
        <f t="shared" si="56"/>
        <v>6921750</v>
      </c>
      <c r="BP153" s="330">
        <f t="shared" si="56"/>
        <v>6921750</v>
      </c>
      <c r="BQ153" s="330">
        <f t="shared" si="56"/>
        <v>6921750</v>
      </c>
      <c r="BR153" s="330">
        <f t="shared" si="56"/>
        <v>6921750</v>
      </c>
      <c r="BS153" s="330">
        <f t="shared" si="56"/>
        <v>6921750</v>
      </c>
      <c r="BT153" s="330">
        <f t="shared" si="56"/>
        <v>6921750</v>
      </c>
      <c r="BU153" s="330">
        <f t="shared" si="56"/>
        <v>6921750</v>
      </c>
      <c r="BV153" s="330">
        <f t="shared" si="56"/>
        <v>6921750</v>
      </c>
      <c r="BW153" s="330">
        <f t="shared" si="56"/>
        <v>6921750</v>
      </c>
      <c r="BX153" s="330">
        <f t="shared" si="56"/>
        <v>6921750</v>
      </c>
    </row>
    <row r="154" spans="3:76">
      <c r="C154" s="317" t="s">
        <v>339</v>
      </c>
      <c r="D154" s="326">
        <f>IRR(H152:T152)*12</f>
        <v>0.52245640286799322</v>
      </c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  <c r="AG154" s="226"/>
      <c r="AH154" s="226"/>
      <c r="AI154" s="226"/>
      <c r="AJ154" s="226"/>
      <c r="AK154" s="226"/>
      <c r="AL154" s="226"/>
      <c r="AM154" s="226"/>
      <c r="AN154" s="226"/>
      <c r="AO154" s="226"/>
      <c r="AP154" s="226"/>
      <c r="AQ154" s="226"/>
      <c r="AR154" s="226"/>
      <c r="AS154" s="226"/>
      <c r="AT154" s="226"/>
      <c r="AU154" s="226"/>
      <c r="AV154" s="226"/>
      <c r="AW154" s="226"/>
      <c r="AX154" s="226"/>
      <c r="AY154" s="226"/>
      <c r="AZ154" s="226"/>
      <c r="BA154" s="226"/>
      <c r="BB154" s="226"/>
      <c r="BC154" s="226"/>
      <c r="BD154" s="226"/>
      <c r="BE154" s="226"/>
      <c r="BF154" s="226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6"/>
      <c r="BQ154" s="226"/>
      <c r="BR154" s="226"/>
      <c r="BS154" s="226"/>
      <c r="BT154" s="226"/>
      <c r="BU154" s="226"/>
      <c r="BV154" s="226"/>
      <c r="BW154" s="226"/>
      <c r="BX154" s="226"/>
    </row>
    <row r="155" spans="3:76">
      <c r="C155" s="327" t="s">
        <v>347</v>
      </c>
      <c r="D155" s="328">
        <f>-MIN(M153:BL153)-D156</f>
        <v>10666587.08</v>
      </c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  <c r="BX155" s="226"/>
    </row>
    <row r="156" spans="3:76">
      <c r="C156" s="327" t="s">
        <v>348</v>
      </c>
      <c r="D156" s="328">
        <f>-SUM(M151:BB151)</f>
        <v>0</v>
      </c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  <c r="BX156" s="226"/>
    </row>
    <row r="157" spans="3:76">
      <c r="C157" s="317" t="s">
        <v>349</v>
      </c>
      <c r="D157" s="329">
        <f>D156+D155</f>
        <v>10666587.08</v>
      </c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  <c r="BX157" s="226"/>
    </row>
    <row r="158" spans="3:76">
      <c r="C158" s="317" t="s">
        <v>350</v>
      </c>
      <c r="D158" s="329">
        <f>BX149+BX150</f>
        <v>0</v>
      </c>
      <c r="E158" s="226"/>
      <c r="F158" s="226"/>
      <c r="G158" s="226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226"/>
      <c r="AG158" s="226"/>
      <c r="AH158" s="226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AY158" s="226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  <c r="BX158" s="226"/>
    </row>
    <row r="159" spans="3:76">
      <c r="C159" s="317" t="s">
        <v>351</v>
      </c>
      <c r="D159" s="326">
        <f>T150/T147</f>
        <v>0.51486070537227191</v>
      </c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  <c r="AG159" s="226"/>
      <c r="AH159" s="226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AY159" s="226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  <c r="BX159" s="226"/>
    </row>
    <row r="163" spans="3:76">
      <c r="C163" s="314" t="s">
        <v>356</v>
      </c>
      <c r="D163" s="315"/>
      <c r="E163" s="315">
        <f t="shared" ref="E163:G163" si="57">-(E7+E93)</f>
        <v>0</v>
      </c>
      <c r="F163" s="315">
        <f t="shared" si="57"/>
        <v>0</v>
      </c>
      <c r="G163" s="315">
        <f t="shared" si="57"/>
        <v>0</v>
      </c>
      <c r="H163" s="315">
        <f>-5341205.5</f>
        <v>-5341205.5</v>
      </c>
      <c r="I163" s="315">
        <f t="shared" ref="I163:S163" si="58">-(I7+I93)</f>
        <v>0</v>
      </c>
      <c r="J163" s="315">
        <f t="shared" si="58"/>
        <v>0</v>
      </c>
      <c r="K163" s="315">
        <f t="shared" si="58"/>
        <v>0</v>
      </c>
      <c r="L163" s="315">
        <f t="shared" si="58"/>
        <v>0</v>
      </c>
      <c r="M163" s="315">
        <f t="shared" si="58"/>
        <v>0</v>
      </c>
      <c r="N163" s="315">
        <f t="shared" si="58"/>
        <v>0</v>
      </c>
      <c r="O163" s="315">
        <f t="shared" si="58"/>
        <v>0</v>
      </c>
      <c r="P163" s="315">
        <f t="shared" si="58"/>
        <v>0</v>
      </c>
      <c r="Q163" s="315">
        <f t="shared" si="58"/>
        <v>0</v>
      </c>
      <c r="R163" s="315">
        <f t="shared" si="58"/>
        <v>0</v>
      </c>
      <c r="S163" s="315">
        <f t="shared" si="58"/>
        <v>0</v>
      </c>
      <c r="T163" s="315">
        <f>5341205.5</f>
        <v>5341205.5</v>
      </c>
      <c r="U163" s="315">
        <f t="shared" ref="U163:BX163" si="59">-(U7+U93)</f>
        <v>0</v>
      </c>
      <c r="V163" s="315">
        <f t="shared" si="59"/>
        <v>0</v>
      </c>
      <c r="W163" s="315">
        <f t="shared" si="59"/>
        <v>0</v>
      </c>
      <c r="X163" s="315">
        <f t="shared" si="59"/>
        <v>0</v>
      </c>
      <c r="Y163" s="315">
        <f t="shared" si="59"/>
        <v>0</v>
      </c>
      <c r="Z163" s="315">
        <f t="shared" si="59"/>
        <v>0</v>
      </c>
      <c r="AA163" s="315">
        <f t="shared" si="59"/>
        <v>0</v>
      </c>
      <c r="AB163" s="315">
        <f t="shared" si="59"/>
        <v>0</v>
      </c>
      <c r="AC163" s="315">
        <f t="shared" si="59"/>
        <v>0</v>
      </c>
      <c r="AD163" s="315">
        <f t="shared" si="59"/>
        <v>0</v>
      </c>
      <c r="AE163" s="315">
        <f t="shared" si="59"/>
        <v>0</v>
      </c>
      <c r="AF163" s="315">
        <f t="shared" si="59"/>
        <v>0</v>
      </c>
      <c r="AG163" s="315">
        <f t="shared" si="59"/>
        <v>0</v>
      </c>
      <c r="AH163" s="315">
        <f t="shared" si="59"/>
        <v>0</v>
      </c>
      <c r="AI163" s="315">
        <f t="shared" si="59"/>
        <v>0</v>
      </c>
      <c r="AJ163" s="315">
        <f t="shared" si="59"/>
        <v>0</v>
      </c>
      <c r="AK163" s="315">
        <f t="shared" si="59"/>
        <v>0</v>
      </c>
      <c r="AL163" s="315">
        <f t="shared" si="59"/>
        <v>0</v>
      </c>
      <c r="AM163" s="315">
        <f t="shared" si="59"/>
        <v>0</v>
      </c>
      <c r="AN163" s="315">
        <f t="shared" si="59"/>
        <v>0</v>
      </c>
      <c r="AO163" s="315">
        <f t="shared" si="59"/>
        <v>0</v>
      </c>
      <c r="AP163" s="315">
        <f t="shared" si="59"/>
        <v>0</v>
      </c>
      <c r="AQ163" s="315">
        <f t="shared" si="59"/>
        <v>0</v>
      </c>
      <c r="AR163" s="315">
        <f t="shared" si="59"/>
        <v>0</v>
      </c>
      <c r="AS163" s="315">
        <f t="shared" si="59"/>
        <v>0</v>
      </c>
      <c r="AT163" s="315">
        <f t="shared" si="59"/>
        <v>0</v>
      </c>
      <c r="AU163" s="315">
        <f t="shared" si="59"/>
        <v>0</v>
      </c>
      <c r="AV163" s="315">
        <f t="shared" si="59"/>
        <v>0</v>
      </c>
      <c r="AW163" s="315">
        <f t="shared" si="59"/>
        <v>0</v>
      </c>
      <c r="AX163" s="315">
        <f t="shared" si="59"/>
        <v>0</v>
      </c>
      <c r="AY163" s="315">
        <f t="shared" si="59"/>
        <v>0</v>
      </c>
      <c r="AZ163" s="315">
        <f t="shared" si="59"/>
        <v>0</v>
      </c>
      <c r="BA163" s="315">
        <f t="shared" si="59"/>
        <v>0</v>
      </c>
      <c r="BB163" s="315">
        <f t="shared" si="59"/>
        <v>0</v>
      </c>
      <c r="BC163" s="315">
        <f t="shared" si="59"/>
        <v>0</v>
      </c>
      <c r="BD163" s="315">
        <f t="shared" si="59"/>
        <v>0</v>
      </c>
      <c r="BE163" s="315">
        <f t="shared" si="59"/>
        <v>0</v>
      </c>
      <c r="BF163" s="315">
        <f t="shared" si="59"/>
        <v>0</v>
      </c>
      <c r="BG163" s="315">
        <f t="shared" si="59"/>
        <v>0</v>
      </c>
      <c r="BH163" s="315">
        <f t="shared" si="59"/>
        <v>0</v>
      </c>
      <c r="BI163" s="315">
        <f t="shared" si="59"/>
        <v>0</v>
      </c>
      <c r="BJ163" s="315">
        <f t="shared" si="59"/>
        <v>0</v>
      </c>
      <c r="BK163" s="315">
        <f t="shared" si="59"/>
        <v>0</v>
      </c>
      <c r="BL163" s="315">
        <f t="shared" si="59"/>
        <v>0</v>
      </c>
      <c r="BM163" s="315">
        <f t="shared" si="59"/>
        <v>0</v>
      </c>
      <c r="BN163" s="315">
        <f t="shared" si="59"/>
        <v>0</v>
      </c>
      <c r="BO163" s="315">
        <f t="shared" si="59"/>
        <v>0</v>
      </c>
      <c r="BP163" s="315">
        <f t="shared" si="59"/>
        <v>0</v>
      </c>
      <c r="BQ163" s="315">
        <f t="shared" si="59"/>
        <v>0</v>
      </c>
      <c r="BR163" s="315">
        <f t="shared" si="59"/>
        <v>0</v>
      </c>
      <c r="BS163" s="315">
        <f t="shared" si="59"/>
        <v>0</v>
      </c>
      <c r="BT163" s="315">
        <f t="shared" si="59"/>
        <v>0</v>
      </c>
      <c r="BU163" s="315">
        <f t="shared" si="59"/>
        <v>0</v>
      </c>
      <c r="BV163" s="315">
        <f t="shared" si="59"/>
        <v>0</v>
      </c>
      <c r="BW163" s="315">
        <f t="shared" si="59"/>
        <v>0</v>
      </c>
      <c r="BX163" s="315">
        <f t="shared" si="59"/>
        <v>0</v>
      </c>
    </row>
    <row r="164" spans="3:76">
      <c r="C164" s="314" t="s">
        <v>353</v>
      </c>
      <c r="D164" s="323"/>
      <c r="E164" s="315"/>
      <c r="F164" s="315"/>
      <c r="G164" s="315"/>
      <c r="H164" s="315"/>
      <c r="I164" s="315"/>
      <c r="J164" s="315"/>
      <c r="K164" s="315"/>
      <c r="L164" s="315"/>
      <c r="M164" s="315"/>
      <c r="N164" s="315"/>
      <c r="O164" s="315"/>
      <c r="P164" s="315"/>
      <c r="Q164" s="315"/>
      <c r="R164" s="315"/>
      <c r="S164" s="315"/>
      <c r="T164" s="315"/>
      <c r="U164" s="315"/>
      <c r="V164" s="315"/>
      <c r="W164" s="315"/>
      <c r="X164" s="315"/>
      <c r="Y164" s="315"/>
      <c r="Z164" s="315"/>
      <c r="AA164" s="315"/>
      <c r="AB164" s="315"/>
      <c r="AC164" s="315"/>
      <c r="AD164" s="315"/>
      <c r="AE164" s="315"/>
      <c r="AF164" s="315"/>
      <c r="AG164" s="315"/>
      <c r="AH164" s="315"/>
      <c r="AI164" s="315"/>
      <c r="AJ164" s="315"/>
      <c r="AK164" s="315"/>
      <c r="AL164" s="315"/>
      <c r="AM164" s="315"/>
      <c r="AN164" s="315"/>
      <c r="AO164" s="315"/>
      <c r="AP164" s="315"/>
      <c r="AQ164" s="315"/>
      <c r="AR164" s="315"/>
      <c r="AS164" s="315"/>
      <c r="AT164" s="315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</row>
    <row r="165" spans="3:76">
      <c r="C165" s="314" t="s">
        <v>343</v>
      </c>
      <c r="D165" s="323"/>
      <c r="E165" s="315">
        <f t="shared" ref="E165:BX165" si="60">-E58</f>
        <v>0</v>
      </c>
      <c r="F165" s="315">
        <f t="shared" si="60"/>
        <v>0</v>
      </c>
      <c r="G165" s="315">
        <f t="shared" si="60"/>
        <v>0</v>
      </c>
      <c r="H165" s="315">
        <f t="shared" si="60"/>
        <v>0</v>
      </c>
      <c r="I165" s="315">
        <f t="shared" si="60"/>
        <v>0</v>
      </c>
      <c r="J165" s="315">
        <f t="shared" si="60"/>
        <v>0</v>
      </c>
      <c r="K165" s="315">
        <f t="shared" si="60"/>
        <v>0</v>
      </c>
      <c r="L165" s="315">
        <f t="shared" si="60"/>
        <v>0</v>
      </c>
      <c r="M165" s="315">
        <f t="shared" si="60"/>
        <v>0</v>
      </c>
      <c r="N165" s="315">
        <f t="shared" si="60"/>
        <v>0</v>
      </c>
      <c r="O165" s="315">
        <f t="shared" si="60"/>
        <v>0</v>
      </c>
      <c r="P165" s="315">
        <f t="shared" si="60"/>
        <v>0</v>
      </c>
      <c r="Q165" s="315">
        <f t="shared" si="60"/>
        <v>0</v>
      </c>
      <c r="R165" s="315">
        <f t="shared" si="60"/>
        <v>0</v>
      </c>
      <c r="S165" s="315">
        <f t="shared" si="60"/>
        <v>0</v>
      </c>
      <c r="T165" s="315">
        <f t="shared" si="60"/>
        <v>0</v>
      </c>
      <c r="U165" s="315">
        <f t="shared" si="60"/>
        <v>0</v>
      </c>
      <c r="V165" s="315">
        <f t="shared" si="60"/>
        <v>0</v>
      </c>
      <c r="W165" s="315">
        <f t="shared" si="60"/>
        <v>0</v>
      </c>
      <c r="X165" s="315">
        <f t="shared" si="60"/>
        <v>0</v>
      </c>
      <c r="Y165" s="315">
        <f t="shared" si="60"/>
        <v>0</v>
      </c>
      <c r="Z165" s="315">
        <f t="shared" si="60"/>
        <v>0</v>
      </c>
      <c r="AA165" s="315">
        <f t="shared" si="60"/>
        <v>0</v>
      </c>
      <c r="AB165" s="315">
        <f t="shared" si="60"/>
        <v>0</v>
      </c>
      <c r="AC165" s="315">
        <f t="shared" si="60"/>
        <v>0</v>
      </c>
      <c r="AD165" s="315">
        <f t="shared" si="60"/>
        <v>0</v>
      </c>
      <c r="AE165" s="315">
        <f t="shared" si="60"/>
        <v>0</v>
      </c>
      <c r="AF165" s="315">
        <f t="shared" si="60"/>
        <v>0</v>
      </c>
      <c r="AG165" s="315">
        <f t="shared" si="60"/>
        <v>0</v>
      </c>
      <c r="AH165" s="315">
        <f t="shared" si="60"/>
        <v>0</v>
      </c>
      <c r="AI165" s="315">
        <f t="shared" si="60"/>
        <v>0</v>
      </c>
      <c r="AJ165" s="315">
        <f t="shared" si="60"/>
        <v>0</v>
      </c>
      <c r="AK165" s="315">
        <f t="shared" si="60"/>
        <v>0</v>
      </c>
      <c r="AL165" s="315">
        <f t="shared" si="60"/>
        <v>0</v>
      </c>
      <c r="AM165" s="315">
        <f t="shared" si="60"/>
        <v>0</v>
      </c>
      <c r="AN165" s="315">
        <f t="shared" si="60"/>
        <v>0</v>
      </c>
      <c r="AO165" s="315">
        <f t="shared" si="60"/>
        <v>0</v>
      </c>
      <c r="AP165" s="315">
        <f t="shared" si="60"/>
        <v>0</v>
      </c>
      <c r="AQ165" s="315">
        <f t="shared" si="60"/>
        <v>0</v>
      </c>
      <c r="AR165" s="315">
        <f t="shared" si="60"/>
        <v>0</v>
      </c>
      <c r="AS165" s="315">
        <f t="shared" si="60"/>
        <v>0</v>
      </c>
      <c r="AT165" s="315">
        <f t="shared" si="60"/>
        <v>0</v>
      </c>
      <c r="AU165" s="315">
        <f t="shared" si="60"/>
        <v>0</v>
      </c>
      <c r="AV165" s="315">
        <f t="shared" si="60"/>
        <v>0</v>
      </c>
      <c r="AW165" s="315">
        <f t="shared" si="60"/>
        <v>0</v>
      </c>
      <c r="AX165" s="315">
        <f t="shared" si="60"/>
        <v>0</v>
      </c>
      <c r="AY165" s="315">
        <f t="shared" si="60"/>
        <v>0</v>
      </c>
      <c r="AZ165" s="315">
        <f t="shared" si="60"/>
        <v>0</v>
      </c>
      <c r="BA165" s="315">
        <f t="shared" si="60"/>
        <v>0</v>
      </c>
      <c r="BB165" s="315">
        <f t="shared" si="60"/>
        <v>0</v>
      </c>
      <c r="BC165" s="315">
        <f t="shared" si="60"/>
        <v>0</v>
      </c>
      <c r="BD165" s="315">
        <f t="shared" si="60"/>
        <v>0</v>
      </c>
      <c r="BE165" s="315">
        <f t="shared" si="60"/>
        <v>0</v>
      </c>
      <c r="BF165" s="315">
        <f t="shared" si="60"/>
        <v>0</v>
      </c>
      <c r="BG165" s="315">
        <f t="shared" si="60"/>
        <v>0</v>
      </c>
      <c r="BH165" s="315">
        <f t="shared" si="60"/>
        <v>0</v>
      </c>
      <c r="BI165" s="315">
        <f t="shared" si="60"/>
        <v>0</v>
      </c>
      <c r="BJ165" s="315">
        <f t="shared" si="60"/>
        <v>0</v>
      </c>
      <c r="BK165" s="315">
        <f t="shared" si="60"/>
        <v>0</v>
      </c>
      <c r="BL165" s="315">
        <f t="shared" si="60"/>
        <v>0</v>
      </c>
      <c r="BM165" s="315">
        <f t="shared" si="60"/>
        <v>0</v>
      </c>
      <c r="BN165" s="315">
        <f t="shared" si="60"/>
        <v>0</v>
      </c>
      <c r="BO165" s="315">
        <f t="shared" si="60"/>
        <v>0</v>
      </c>
      <c r="BP165" s="315">
        <f t="shared" si="60"/>
        <v>0</v>
      </c>
      <c r="BQ165" s="315">
        <f t="shared" si="60"/>
        <v>0</v>
      </c>
      <c r="BR165" s="315">
        <f t="shared" si="60"/>
        <v>0</v>
      </c>
      <c r="BS165" s="315">
        <f t="shared" si="60"/>
        <v>0</v>
      </c>
      <c r="BT165" s="315">
        <f t="shared" si="60"/>
        <v>0</v>
      </c>
      <c r="BU165" s="315">
        <f t="shared" si="60"/>
        <v>0</v>
      </c>
      <c r="BV165" s="315">
        <f t="shared" si="60"/>
        <v>0</v>
      </c>
      <c r="BW165" s="315">
        <f t="shared" si="60"/>
        <v>0</v>
      </c>
      <c r="BX165" s="315">
        <f t="shared" si="60"/>
        <v>0</v>
      </c>
    </row>
    <row r="166" spans="3:76">
      <c r="C166" s="314" t="s">
        <v>344</v>
      </c>
      <c r="D166" s="323"/>
      <c r="E166" s="315"/>
      <c r="F166" s="315"/>
      <c r="G166" s="315"/>
      <c r="H166" s="315"/>
      <c r="I166" s="315"/>
      <c r="J166" s="315"/>
      <c r="K166" s="315"/>
      <c r="L166" s="315"/>
      <c r="M166" s="315"/>
      <c r="N166" s="315"/>
      <c r="O166" s="315"/>
      <c r="P166" s="315"/>
      <c r="Q166" s="315"/>
      <c r="R166" s="315"/>
      <c r="S166" s="315"/>
      <c r="T166" s="315">
        <v>2750000</v>
      </c>
      <c r="U166" s="315"/>
      <c r="V166" s="315"/>
      <c r="W166" s="315"/>
      <c r="X166" s="315"/>
      <c r="Y166" s="315"/>
      <c r="Z166" s="315"/>
      <c r="AA166" s="315"/>
      <c r="AB166" s="315"/>
      <c r="AC166" s="315"/>
      <c r="AD166" s="315"/>
      <c r="AE166" s="315"/>
      <c r="AF166" s="315"/>
      <c r="AG166" s="315"/>
      <c r="AH166" s="315"/>
      <c r="AI166" s="315"/>
      <c r="AJ166" s="315"/>
      <c r="AK166" s="315"/>
      <c r="AL166" s="315"/>
      <c r="AM166" s="315"/>
      <c r="AN166" s="315"/>
      <c r="AO166" s="315"/>
      <c r="AP166" s="315"/>
      <c r="AQ166" s="315"/>
      <c r="AR166" s="315"/>
      <c r="AS166" s="315"/>
      <c r="AT166" s="315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>
        <f>IF(D106&gt;0.25,(BX101-BX109)*D167,BX101*D167)</f>
        <v>0</v>
      </c>
    </row>
    <row r="167" spans="3:76">
      <c r="C167" s="317" t="s">
        <v>345</v>
      </c>
      <c r="D167" s="323">
        <v>0</v>
      </c>
      <c r="E167" s="246"/>
      <c r="F167" s="246"/>
      <c r="G167" s="246"/>
      <c r="H167" s="246"/>
      <c r="I167" s="246"/>
      <c r="J167" s="246"/>
      <c r="K167" s="246"/>
      <c r="L167" s="246"/>
      <c r="M167" s="246"/>
      <c r="N167" s="246"/>
      <c r="O167" s="246"/>
      <c r="P167" s="246"/>
      <c r="Q167" s="246"/>
      <c r="R167" s="246"/>
      <c r="S167" s="246"/>
      <c r="T167" s="246"/>
      <c r="U167" s="246"/>
      <c r="V167" s="246"/>
      <c r="W167" s="246"/>
      <c r="X167" s="246"/>
      <c r="Y167" s="246"/>
      <c r="Z167" s="246"/>
      <c r="AA167" s="246"/>
      <c r="AB167" s="246"/>
      <c r="AC167" s="246"/>
      <c r="AD167" s="246"/>
      <c r="AE167" s="246"/>
      <c r="AF167" s="246"/>
      <c r="AG167" s="246"/>
      <c r="AH167" s="246"/>
      <c r="AI167" s="246"/>
      <c r="AJ167" s="246"/>
      <c r="AK167" s="246"/>
      <c r="AL167" s="246"/>
      <c r="AM167" s="246"/>
      <c r="AN167" s="246"/>
      <c r="AO167" s="246"/>
      <c r="AP167" s="246"/>
      <c r="AQ167" s="246"/>
      <c r="AR167" s="246"/>
      <c r="AS167" s="246"/>
      <c r="AT167" s="246"/>
      <c r="AU167" s="246"/>
      <c r="AV167" s="246"/>
      <c r="AW167" s="246"/>
      <c r="AX167" s="246"/>
      <c r="AY167" s="246"/>
      <c r="AZ167" s="246"/>
      <c r="BA167" s="246"/>
      <c r="BB167" s="246"/>
      <c r="BC167" s="246"/>
      <c r="BD167" s="246"/>
      <c r="BE167" s="246"/>
      <c r="BF167" s="246"/>
      <c r="BG167" s="246"/>
      <c r="BH167" s="246"/>
      <c r="BI167" s="246"/>
      <c r="BJ167" s="246"/>
      <c r="BK167" s="246"/>
      <c r="BL167" s="246"/>
      <c r="BM167" s="246"/>
      <c r="BN167" s="246"/>
      <c r="BO167" s="246"/>
      <c r="BP167" s="246"/>
      <c r="BQ167" s="246"/>
      <c r="BR167" s="246"/>
      <c r="BS167" s="246"/>
      <c r="BT167" s="246"/>
      <c r="BU167" s="246"/>
      <c r="BV167" s="246"/>
      <c r="BW167" s="246"/>
      <c r="BX167" s="246"/>
    </row>
    <row r="168" spans="3:76">
      <c r="C168" s="314" t="s">
        <v>346</v>
      </c>
      <c r="D168" s="315"/>
      <c r="E168" s="325">
        <f t="shared" ref="E168:BX168" si="61">E163+E164+E165+E166+E167</f>
        <v>0</v>
      </c>
      <c r="F168" s="325">
        <f t="shared" si="61"/>
        <v>0</v>
      </c>
      <c r="G168" s="325">
        <f t="shared" si="61"/>
        <v>0</v>
      </c>
      <c r="H168" s="325">
        <f t="shared" si="61"/>
        <v>-5341205.5</v>
      </c>
      <c r="I168" s="325">
        <f t="shared" si="61"/>
        <v>0</v>
      </c>
      <c r="J168" s="325">
        <f t="shared" si="61"/>
        <v>0</v>
      </c>
      <c r="K168" s="325">
        <f t="shared" si="61"/>
        <v>0</v>
      </c>
      <c r="L168" s="325">
        <f t="shared" si="61"/>
        <v>0</v>
      </c>
      <c r="M168" s="325">
        <f t="shared" si="61"/>
        <v>0</v>
      </c>
      <c r="N168" s="325">
        <f t="shared" si="61"/>
        <v>0</v>
      </c>
      <c r="O168" s="325">
        <f t="shared" si="61"/>
        <v>0</v>
      </c>
      <c r="P168" s="325">
        <f t="shared" si="61"/>
        <v>0</v>
      </c>
      <c r="Q168" s="325">
        <f t="shared" si="61"/>
        <v>0</v>
      </c>
      <c r="R168" s="325">
        <f t="shared" si="61"/>
        <v>0</v>
      </c>
      <c r="S168" s="325">
        <f t="shared" si="61"/>
        <v>0</v>
      </c>
      <c r="T168" s="325">
        <f t="shared" si="61"/>
        <v>8091205.5</v>
      </c>
      <c r="U168" s="325">
        <f t="shared" si="61"/>
        <v>0</v>
      </c>
      <c r="V168" s="325">
        <f t="shared" si="61"/>
        <v>0</v>
      </c>
      <c r="W168" s="325">
        <f t="shared" si="61"/>
        <v>0</v>
      </c>
      <c r="X168" s="325">
        <f t="shared" si="61"/>
        <v>0</v>
      </c>
      <c r="Y168" s="325">
        <f t="shared" si="61"/>
        <v>0</v>
      </c>
      <c r="Z168" s="325">
        <f t="shared" si="61"/>
        <v>0</v>
      </c>
      <c r="AA168" s="325">
        <f t="shared" si="61"/>
        <v>0</v>
      </c>
      <c r="AB168" s="325">
        <f t="shared" si="61"/>
        <v>0</v>
      </c>
      <c r="AC168" s="325">
        <f t="shared" si="61"/>
        <v>0</v>
      </c>
      <c r="AD168" s="325">
        <f t="shared" si="61"/>
        <v>0</v>
      </c>
      <c r="AE168" s="325">
        <f t="shared" si="61"/>
        <v>0</v>
      </c>
      <c r="AF168" s="325">
        <f t="shared" si="61"/>
        <v>0</v>
      </c>
      <c r="AG168" s="325">
        <f t="shared" si="61"/>
        <v>0</v>
      </c>
      <c r="AH168" s="325">
        <f t="shared" si="61"/>
        <v>0</v>
      </c>
      <c r="AI168" s="325">
        <f t="shared" si="61"/>
        <v>0</v>
      </c>
      <c r="AJ168" s="325">
        <f t="shared" si="61"/>
        <v>0</v>
      </c>
      <c r="AK168" s="325">
        <f t="shared" si="61"/>
        <v>0</v>
      </c>
      <c r="AL168" s="325">
        <f t="shared" si="61"/>
        <v>0</v>
      </c>
      <c r="AM168" s="325">
        <f t="shared" si="61"/>
        <v>0</v>
      </c>
      <c r="AN168" s="325">
        <f t="shared" si="61"/>
        <v>0</v>
      </c>
      <c r="AO168" s="325">
        <f t="shared" si="61"/>
        <v>0</v>
      </c>
      <c r="AP168" s="325">
        <f t="shared" si="61"/>
        <v>0</v>
      </c>
      <c r="AQ168" s="325">
        <f t="shared" si="61"/>
        <v>0</v>
      </c>
      <c r="AR168" s="325">
        <f t="shared" si="61"/>
        <v>0</v>
      </c>
      <c r="AS168" s="325">
        <f t="shared" si="61"/>
        <v>0</v>
      </c>
      <c r="AT168" s="325">
        <f t="shared" si="61"/>
        <v>0</v>
      </c>
      <c r="AU168" s="325">
        <f t="shared" si="61"/>
        <v>0</v>
      </c>
      <c r="AV168" s="325">
        <f t="shared" si="61"/>
        <v>0</v>
      </c>
      <c r="AW168" s="325">
        <f t="shared" si="61"/>
        <v>0</v>
      </c>
      <c r="AX168" s="325">
        <f t="shared" si="61"/>
        <v>0</v>
      </c>
      <c r="AY168" s="325">
        <f t="shared" si="61"/>
        <v>0</v>
      </c>
      <c r="AZ168" s="325">
        <f t="shared" si="61"/>
        <v>0</v>
      </c>
      <c r="BA168" s="325">
        <f t="shared" si="61"/>
        <v>0</v>
      </c>
      <c r="BB168" s="325">
        <f t="shared" si="61"/>
        <v>0</v>
      </c>
      <c r="BC168" s="325">
        <f t="shared" si="61"/>
        <v>0</v>
      </c>
      <c r="BD168" s="325">
        <f t="shared" si="61"/>
        <v>0</v>
      </c>
      <c r="BE168" s="325">
        <f t="shared" si="61"/>
        <v>0</v>
      </c>
      <c r="BF168" s="325">
        <f t="shared" si="61"/>
        <v>0</v>
      </c>
      <c r="BG168" s="325">
        <f t="shared" si="61"/>
        <v>0</v>
      </c>
      <c r="BH168" s="325">
        <f t="shared" si="61"/>
        <v>0</v>
      </c>
      <c r="BI168" s="325">
        <f t="shared" si="61"/>
        <v>0</v>
      </c>
      <c r="BJ168" s="325">
        <f t="shared" si="61"/>
        <v>0</v>
      </c>
      <c r="BK168" s="325">
        <f t="shared" si="61"/>
        <v>0</v>
      </c>
      <c r="BL168" s="325">
        <f t="shared" si="61"/>
        <v>0</v>
      </c>
      <c r="BM168" s="325">
        <f t="shared" si="61"/>
        <v>0</v>
      </c>
      <c r="BN168" s="325">
        <f t="shared" si="61"/>
        <v>0</v>
      </c>
      <c r="BO168" s="325">
        <f t="shared" si="61"/>
        <v>0</v>
      </c>
      <c r="BP168" s="325">
        <f t="shared" si="61"/>
        <v>0</v>
      </c>
      <c r="BQ168" s="325">
        <f t="shared" si="61"/>
        <v>0</v>
      </c>
      <c r="BR168" s="325">
        <f t="shared" si="61"/>
        <v>0</v>
      </c>
      <c r="BS168" s="325">
        <f t="shared" si="61"/>
        <v>0</v>
      </c>
      <c r="BT168" s="325">
        <f t="shared" si="61"/>
        <v>0</v>
      </c>
      <c r="BU168" s="325">
        <f t="shared" si="61"/>
        <v>0</v>
      </c>
      <c r="BV168" s="325">
        <f t="shared" si="61"/>
        <v>0</v>
      </c>
      <c r="BW168" s="325">
        <f t="shared" si="61"/>
        <v>0</v>
      </c>
      <c r="BX168" s="325">
        <f t="shared" si="61"/>
        <v>0</v>
      </c>
    </row>
    <row r="169" spans="3:76">
      <c r="C169" s="318"/>
      <c r="D169" s="326" t="s">
        <v>354</v>
      </c>
      <c r="E169" s="330">
        <f>E168</f>
        <v>0</v>
      </c>
      <c r="F169" s="330">
        <f t="shared" ref="F169:BX169" si="62">E169+F168</f>
        <v>0</v>
      </c>
      <c r="G169" s="330">
        <f t="shared" si="62"/>
        <v>0</v>
      </c>
      <c r="H169" s="330">
        <f t="shared" si="62"/>
        <v>-5341205.5</v>
      </c>
      <c r="I169" s="330">
        <f t="shared" si="62"/>
        <v>-5341205.5</v>
      </c>
      <c r="J169" s="330">
        <f t="shared" si="62"/>
        <v>-5341205.5</v>
      </c>
      <c r="K169" s="330">
        <f t="shared" si="62"/>
        <v>-5341205.5</v>
      </c>
      <c r="L169" s="330">
        <f t="shared" si="62"/>
        <v>-5341205.5</v>
      </c>
      <c r="M169" s="330">
        <f t="shared" si="62"/>
        <v>-5341205.5</v>
      </c>
      <c r="N169" s="330">
        <f t="shared" si="62"/>
        <v>-5341205.5</v>
      </c>
      <c r="O169" s="330">
        <f t="shared" si="62"/>
        <v>-5341205.5</v>
      </c>
      <c r="P169" s="330">
        <f t="shared" si="62"/>
        <v>-5341205.5</v>
      </c>
      <c r="Q169" s="330">
        <f t="shared" si="62"/>
        <v>-5341205.5</v>
      </c>
      <c r="R169" s="330">
        <f t="shared" si="62"/>
        <v>-5341205.5</v>
      </c>
      <c r="S169" s="330">
        <f t="shared" si="62"/>
        <v>-5341205.5</v>
      </c>
      <c r="T169" s="330">
        <f t="shared" si="62"/>
        <v>2750000</v>
      </c>
      <c r="U169" s="330">
        <f t="shared" si="62"/>
        <v>2750000</v>
      </c>
      <c r="V169" s="330">
        <f t="shared" si="62"/>
        <v>2750000</v>
      </c>
      <c r="W169" s="330">
        <f t="shared" si="62"/>
        <v>2750000</v>
      </c>
      <c r="X169" s="330">
        <f t="shared" si="62"/>
        <v>2750000</v>
      </c>
      <c r="Y169" s="330">
        <f t="shared" si="62"/>
        <v>2750000</v>
      </c>
      <c r="Z169" s="330">
        <f t="shared" si="62"/>
        <v>2750000</v>
      </c>
      <c r="AA169" s="330">
        <f t="shared" si="62"/>
        <v>2750000</v>
      </c>
      <c r="AB169" s="330">
        <f t="shared" si="62"/>
        <v>2750000</v>
      </c>
      <c r="AC169" s="330">
        <f t="shared" si="62"/>
        <v>2750000</v>
      </c>
      <c r="AD169" s="330">
        <f t="shared" si="62"/>
        <v>2750000</v>
      </c>
      <c r="AE169" s="330">
        <f t="shared" si="62"/>
        <v>2750000</v>
      </c>
      <c r="AF169" s="330">
        <f t="shared" si="62"/>
        <v>2750000</v>
      </c>
      <c r="AG169" s="330">
        <f t="shared" si="62"/>
        <v>2750000</v>
      </c>
      <c r="AH169" s="330">
        <f t="shared" si="62"/>
        <v>2750000</v>
      </c>
      <c r="AI169" s="330">
        <f t="shared" si="62"/>
        <v>2750000</v>
      </c>
      <c r="AJ169" s="330">
        <f t="shared" si="62"/>
        <v>2750000</v>
      </c>
      <c r="AK169" s="330">
        <f t="shared" si="62"/>
        <v>2750000</v>
      </c>
      <c r="AL169" s="330">
        <f t="shared" si="62"/>
        <v>2750000</v>
      </c>
      <c r="AM169" s="330">
        <f t="shared" si="62"/>
        <v>2750000</v>
      </c>
      <c r="AN169" s="330">
        <f t="shared" si="62"/>
        <v>2750000</v>
      </c>
      <c r="AO169" s="330">
        <f t="shared" si="62"/>
        <v>2750000</v>
      </c>
      <c r="AP169" s="330">
        <f t="shared" si="62"/>
        <v>2750000</v>
      </c>
      <c r="AQ169" s="330">
        <f t="shared" si="62"/>
        <v>2750000</v>
      </c>
      <c r="AR169" s="330">
        <f t="shared" si="62"/>
        <v>2750000</v>
      </c>
      <c r="AS169" s="330">
        <f t="shared" si="62"/>
        <v>2750000</v>
      </c>
      <c r="AT169" s="330">
        <f t="shared" si="62"/>
        <v>2750000</v>
      </c>
      <c r="AU169" s="330">
        <f t="shared" si="62"/>
        <v>2750000</v>
      </c>
      <c r="AV169" s="330">
        <f t="shared" si="62"/>
        <v>2750000</v>
      </c>
      <c r="AW169" s="330">
        <f t="shared" si="62"/>
        <v>2750000</v>
      </c>
      <c r="AX169" s="330">
        <f t="shared" si="62"/>
        <v>2750000</v>
      </c>
      <c r="AY169" s="330">
        <f t="shared" si="62"/>
        <v>2750000</v>
      </c>
      <c r="AZ169" s="330">
        <f t="shared" si="62"/>
        <v>2750000</v>
      </c>
      <c r="BA169" s="330">
        <f t="shared" si="62"/>
        <v>2750000</v>
      </c>
      <c r="BB169" s="330">
        <f t="shared" si="62"/>
        <v>2750000</v>
      </c>
      <c r="BC169" s="330">
        <f t="shared" si="62"/>
        <v>2750000</v>
      </c>
      <c r="BD169" s="330">
        <f t="shared" si="62"/>
        <v>2750000</v>
      </c>
      <c r="BE169" s="330">
        <f t="shared" si="62"/>
        <v>2750000</v>
      </c>
      <c r="BF169" s="330">
        <f t="shared" si="62"/>
        <v>2750000</v>
      </c>
      <c r="BG169" s="330">
        <f t="shared" si="62"/>
        <v>2750000</v>
      </c>
      <c r="BH169" s="330">
        <f t="shared" si="62"/>
        <v>2750000</v>
      </c>
      <c r="BI169" s="330">
        <f t="shared" si="62"/>
        <v>2750000</v>
      </c>
      <c r="BJ169" s="330">
        <f t="shared" si="62"/>
        <v>2750000</v>
      </c>
      <c r="BK169" s="330">
        <f t="shared" si="62"/>
        <v>2750000</v>
      </c>
      <c r="BL169" s="330">
        <f t="shared" si="62"/>
        <v>2750000</v>
      </c>
      <c r="BM169" s="330">
        <f t="shared" si="62"/>
        <v>2750000</v>
      </c>
      <c r="BN169" s="330">
        <f t="shared" si="62"/>
        <v>2750000</v>
      </c>
      <c r="BO169" s="330">
        <f t="shared" si="62"/>
        <v>2750000</v>
      </c>
      <c r="BP169" s="330">
        <f t="shared" si="62"/>
        <v>2750000</v>
      </c>
      <c r="BQ169" s="330">
        <f t="shared" si="62"/>
        <v>2750000</v>
      </c>
      <c r="BR169" s="330">
        <f t="shared" si="62"/>
        <v>2750000</v>
      </c>
      <c r="BS169" s="330">
        <f t="shared" si="62"/>
        <v>2750000</v>
      </c>
      <c r="BT169" s="330">
        <f t="shared" si="62"/>
        <v>2750000</v>
      </c>
      <c r="BU169" s="330">
        <f t="shared" si="62"/>
        <v>2750000</v>
      </c>
      <c r="BV169" s="330">
        <f t="shared" si="62"/>
        <v>2750000</v>
      </c>
      <c r="BW169" s="330">
        <f t="shared" si="62"/>
        <v>2750000</v>
      </c>
      <c r="BX169" s="330">
        <f t="shared" si="62"/>
        <v>2750000</v>
      </c>
    </row>
    <row r="170" spans="3:76">
      <c r="C170" s="317" t="s">
        <v>339</v>
      </c>
      <c r="D170" s="326">
        <f>IRR(E168:BX168)*12</f>
        <v>0.42259732866030397</v>
      </c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6"/>
      <c r="AZ170" s="226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6"/>
      <c r="BM170" s="226"/>
      <c r="BN170" s="226"/>
      <c r="BO170" s="226"/>
      <c r="BP170" s="226"/>
      <c r="BQ170" s="226"/>
      <c r="BR170" s="226"/>
      <c r="BS170" s="226"/>
      <c r="BT170" s="226"/>
      <c r="BU170" s="226"/>
      <c r="BV170" s="226"/>
      <c r="BW170" s="226"/>
      <c r="BX170" s="226"/>
    </row>
    <row r="171" spans="3:76">
      <c r="C171" s="327" t="s">
        <v>347</v>
      </c>
      <c r="D171" s="328">
        <f>-MIN(M169:BL169)-D172</f>
        <v>5341205.5</v>
      </c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6"/>
      <c r="AZ171" s="226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6"/>
      <c r="BM171" s="226"/>
      <c r="BN171" s="226"/>
      <c r="BO171" s="226"/>
      <c r="BP171" s="226"/>
      <c r="BQ171" s="226"/>
      <c r="BR171" s="226"/>
      <c r="BS171" s="226"/>
      <c r="BT171" s="226"/>
      <c r="BU171" s="226"/>
      <c r="BV171" s="226"/>
      <c r="BW171" s="226"/>
      <c r="BX171" s="226"/>
    </row>
    <row r="172" spans="3:76">
      <c r="C172" s="327" t="s">
        <v>348</v>
      </c>
      <c r="D172" s="328">
        <f>-SUM(M167:BB167)</f>
        <v>0</v>
      </c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6"/>
      <c r="BN172" s="226"/>
      <c r="BO172" s="226"/>
      <c r="BP172" s="226"/>
      <c r="BQ172" s="226"/>
      <c r="BR172" s="226"/>
      <c r="BS172" s="226"/>
      <c r="BT172" s="226"/>
      <c r="BU172" s="226"/>
      <c r="BV172" s="226"/>
      <c r="BW172" s="226"/>
      <c r="BX172" s="226"/>
    </row>
    <row r="173" spans="3:76">
      <c r="C173" s="317" t="s">
        <v>349</v>
      </c>
      <c r="D173" s="329">
        <f>D172+D171</f>
        <v>5341205.5</v>
      </c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6"/>
      <c r="BN173" s="226"/>
      <c r="BO173" s="226"/>
      <c r="BP173" s="226"/>
      <c r="BQ173" s="226"/>
      <c r="BR173" s="226"/>
      <c r="BS173" s="226"/>
      <c r="BT173" s="226"/>
      <c r="BU173" s="226"/>
      <c r="BV173" s="226"/>
      <c r="BW173" s="226"/>
      <c r="BX173" s="226"/>
    </row>
    <row r="174" spans="3:76">
      <c r="C174" s="317" t="s">
        <v>350</v>
      </c>
      <c r="D174" s="329">
        <f>BX165+BX166</f>
        <v>0</v>
      </c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26"/>
      <c r="BN174" s="226"/>
      <c r="BO174" s="226"/>
      <c r="BP174" s="226"/>
      <c r="BQ174" s="226"/>
      <c r="BR174" s="226"/>
      <c r="BS174" s="226"/>
      <c r="BT174" s="226"/>
      <c r="BU174" s="226"/>
      <c r="BV174" s="226"/>
      <c r="BW174" s="226"/>
      <c r="BX174" s="226"/>
    </row>
    <row r="175" spans="3:76">
      <c r="C175" s="317" t="s">
        <v>351</v>
      </c>
      <c r="D175" s="326">
        <f>T166/T163</f>
        <v>0.51486504310684167</v>
      </c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26"/>
      <c r="BN175" s="226"/>
      <c r="BO175" s="226"/>
      <c r="BP175" s="226"/>
      <c r="BQ175" s="226"/>
      <c r="BR175" s="226"/>
      <c r="BS175" s="226"/>
      <c r="BT175" s="226"/>
      <c r="BU175" s="226"/>
      <c r="BV175" s="226"/>
      <c r="BW175" s="226"/>
      <c r="BX175" s="226"/>
    </row>
    <row r="179" spans="3:76">
      <c r="C179" s="314" t="s">
        <v>357</v>
      </c>
      <c r="D179" s="315"/>
      <c r="E179" s="316">
        <f t="shared" ref="E179:G179" si="63">-(E8+E94)</f>
        <v>0</v>
      </c>
      <c r="F179" s="316">
        <f t="shared" si="63"/>
        <v>0</v>
      </c>
      <c r="G179" s="316">
        <f t="shared" si="63"/>
        <v>0</v>
      </c>
      <c r="H179" s="315">
        <f>-5341205.5</f>
        <v>-5341205.5</v>
      </c>
      <c r="I179" s="315">
        <v>0</v>
      </c>
      <c r="J179" s="315">
        <v>0</v>
      </c>
      <c r="K179" s="315">
        <v>0</v>
      </c>
      <c r="L179" s="315">
        <v>0</v>
      </c>
      <c r="M179" s="315">
        <v>0</v>
      </c>
      <c r="N179" s="315">
        <v>0</v>
      </c>
      <c r="O179" s="315">
        <v>0</v>
      </c>
      <c r="P179" s="315">
        <v>0</v>
      </c>
      <c r="Q179" s="315">
        <v>0</v>
      </c>
      <c r="R179" s="315">
        <v>0</v>
      </c>
      <c r="S179" s="315">
        <v>0</v>
      </c>
      <c r="T179" s="315">
        <f>5341205.5</f>
        <v>5341205.5</v>
      </c>
      <c r="U179" s="316">
        <f t="shared" ref="U179:BX179" si="64">-(U8+U94)</f>
        <v>0</v>
      </c>
      <c r="V179" s="316">
        <f t="shared" si="64"/>
        <v>0</v>
      </c>
      <c r="W179" s="316">
        <f t="shared" si="64"/>
        <v>0</v>
      </c>
      <c r="X179" s="316">
        <f t="shared" si="64"/>
        <v>0</v>
      </c>
      <c r="Y179" s="316">
        <f t="shared" si="64"/>
        <v>0</v>
      </c>
      <c r="Z179" s="316">
        <f t="shared" si="64"/>
        <v>0</v>
      </c>
      <c r="AA179" s="316">
        <f t="shared" si="64"/>
        <v>0</v>
      </c>
      <c r="AB179" s="316">
        <f t="shared" si="64"/>
        <v>0</v>
      </c>
      <c r="AC179" s="316">
        <f t="shared" si="64"/>
        <v>0</v>
      </c>
      <c r="AD179" s="316">
        <f t="shared" si="64"/>
        <v>0</v>
      </c>
      <c r="AE179" s="316">
        <f t="shared" si="64"/>
        <v>0</v>
      </c>
      <c r="AF179" s="316">
        <f t="shared" si="64"/>
        <v>0</v>
      </c>
      <c r="AG179" s="316">
        <f t="shared" si="64"/>
        <v>0</v>
      </c>
      <c r="AH179" s="316">
        <f t="shared" si="64"/>
        <v>0</v>
      </c>
      <c r="AI179" s="316">
        <f t="shared" si="64"/>
        <v>0</v>
      </c>
      <c r="AJ179" s="316">
        <f t="shared" si="64"/>
        <v>0</v>
      </c>
      <c r="AK179" s="316">
        <f t="shared" si="64"/>
        <v>0</v>
      </c>
      <c r="AL179" s="316">
        <f t="shared" si="64"/>
        <v>0</v>
      </c>
      <c r="AM179" s="316">
        <f t="shared" si="64"/>
        <v>0</v>
      </c>
      <c r="AN179" s="316">
        <f t="shared" si="64"/>
        <v>0</v>
      </c>
      <c r="AO179" s="316">
        <f t="shared" si="64"/>
        <v>0</v>
      </c>
      <c r="AP179" s="316">
        <f t="shared" si="64"/>
        <v>0</v>
      </c>
      <c r="AQ179" s="316">
        <f t="shared" si="64"/>
        <v>0</v>
      </c>
      <c r="AR179" s="316">
        <f t="shared" si="64"/>
        <v>0</v>
      </c>
      <c r="AS179" s="316">
        <f t="shared" si="64"/>
        <v>0</v>
      </c>
      <c r="AT179" s="316">
        <f t="shared" si="64"/>
        <v>0</v>
      </c>
      <c r="AU179" s="316">
        <f t="shared" si="64"/>
        <v>0</v>
      </c>
      <c r="AV179" s="316">
        <f t="shared" si="64"/>
        <v>0</v>
      </c>
      <c r="AW179" s="316">
        <f t="shared" si="64"/>
        <v>0</v>
      </c>
      <c r="AX179" s="316">
        <f t="shared" si="64"/>
        <v>0</v>
      </c>
      <c r="AY179" s="316">
        <f t="shared" si="64"/>
        <v>0</v>
      </c>
      <c r="AZ179" s="316">
        <f t="shared" si="64"/>
        <v>0</v>
      </c>
      <c r="BA179" s="316">
        <f t="shared" si="64"/>
        <v>0</v>
      </c>
      <c r="BB179" s="316">
        <f t="shared" si="64"/>
        <v>0</v>
      </c>
      <c r="BC179" s="316">
        <f t="shared" si="64"/>
        <v>0</v>
      </c>
      <c r="BD179" s="316">
        <f t="shared" si="64"/>
        <v>0</v>
      </c>
      <c r="BE179" s="316">
        <f t="shared" si="64"/>
        <v>0</v>
      </c>
      <c r="BF179" s="316">
        <f t="shared" si="64"/>
        <v>0</v>
      </c>
      <c r="BG179" s="316">
        <f t="shared" si="64"/>
        <v>0</v>
      </c>
      <c r="BH179" s="316">
        <f t="shared" si="64"/>
        <v>0</v>
      </c>
      <c r="BI179" s="316">
        <f t="shared" si="64"/>
        <v>0</v>
      </c>
      <c r="BJ179" s="316">
        <f t="shared" si="64"/>
        <v>0</v>
      </c>
      <c r="BK179" s="316">
        <f t="shared" si="64"/>
        <v>0</v>
      </c>
      <c r="BL179" s="316">
        <f t="shared" si="64"/>
        <v>0</v>
      </c>
      <c r="BM179" s="316">
        <f t="shared" si="64"/>
        <v>0</v>
      </c>
      <c r="BN179" s="316">
        <f t="shared" si="64"/>
        <v>0</v>
      </c>
      <c r="BO179" s="316">
        <f t="shared" si="64"/>
        <v>0</v>
      </c>
      <c r="BP179" s="316">
        <f t="shared" si="64"/>
        <v>0</v>
      </c>
      <c r="BQ179" s="316">
        <f t="shared" si="64"/>
        <v>0</v>
      </c>
      <c r="BR179" s="316">
        <f t="shared" si="64"/>
        <v>0</v>
      </c>
      <c r="BS179" s="316">
        <f t="shared" si="64"/>
        <v>0</v>
      </c>
      <c r="BT179" s="316">
        <f t="shared" si="64"/>
        <v>0</v>
      </c>
      <c r="BU179" s="316">
        <f t="shared" si="64"/>
        <v>0</v>
      </c>
      <c r="BV179" s="316">
        <f t="shared" si="64"/>
        <v>0</v>
      </c>
      <c r="BW179" s="316">
        <f t="shared" si="64"/>
        <v>0</v>
      </c>
      <c r="BX179" s="316">
        <f t="shared" si="64"/>
        <v>0</v>
      </c>
    </row>
    <row r="180" spans="3:76">
      <c r="C180" s="314" t="s">
        <v>353</v>
      </c>
      <c r="D180" s="323"/>
      <c r="E180" s="315"/>
      <c r="F180" s="315"/>
      <c r="G180" s="315"/>
      <c r="H180" s="315"/>
      <c r="I180" s="315"/>
      <c r="J180" s="315"/>
      <c r="K180" s="315"/>
      <c r="L180" s="315"/>
      <c r="M180" s="315"/>
      <c r="N180" s="315"/>
      <c r="O180" s="315"/>
      <c r="P180" s="315"/>
      <c r="Q180" s="315"/>
      <c r="R180" s="315"/>
      <c r="S180" s="315"/>
      <c r="T180" s="315"/>
      <c r="U180" s="315"/>
      <c r="V180" s="315"/>
      <c r="W180" s="315"/>
      <c r="X180" s="315"/>
      <c r="Y180" s="315"/>
      <c r="Z180" s="315"/>
      <c r="AA180" s="315"/>
      <c r="AB180" s="315"/>
      <c r="AC180" s="315"/>
      <c r="AD180" s="315"/>
      <c r="AE180" s="315"/>
      <c r="AF180" s="315"/>
      <c r="AG180" s="315"/>
      <c r="AH180" s="315"/>
      <c r="AI180" s="315"/>
      <c r="AJ180" s="315"/>
      <c r="AK180" s="315"/>
      <c r="AL180" s="315"/>
      <c r="AM180" s="315"/>
      <c r="AN180" s="315"/>
      <c r="AO180" s="315"/>
      <c r="AP180" s="315"/>
      <c r="AQ180" s="315"/>
      <c r="AR180" s="315"/>
      <c r="AS180" s="315"/>
      <c r="AT180" s="315"/>
      <c r="AU180" s="315"/>
      <c r="AV180" s="315"/>
      <c r="AW180" s="315"/>
      <c r="AX180" s="315"/>
      <c r="AY180" s="315"/>
      <c r="AZ180" s="315"/>
      <c r="BA180" s="315"/>
      <c r="BB180" s="315"/>
      <c r="BC180" s="316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</row>
    <row r="181" spans="3:76">
      <c r="C181" s="314" t="s">
        <v>343</v>
      </c>
      <c r="D181" s="323"/>
      <c r="E181" s="315">
        <f t="shared" ref="E181:G181" si="65">-E59</f>
        <v>0</v>
      </c>
      <c r="F181" s="315">
        <f t="shared" si="65"/>
        <v>0</v>
      </c>
      <c r="G181" s="315">
        <f t="shared" si="65"/>
        <v>0</v>
      </c>
      <c r="H181" s="315">
        <f t="shared" ref="H181:T181" si="66">-H74</f>
        <v>0</v>
      </c>
      <c r="I181" s="315">
        <f t="shared" si="66"/>
        <v>0</v>
      </c>
      <c r="J181" s="315">
        <f t="shared" si="66"/>
        <v>0</v>
      </c>
      <c r="K181" s="315">
        <f t="shared" si="66"/>
        <v>0</v>
      </c>
      <c r="L181" s="315">
        <f t="shared" si="66"/>
        <v>0</v>
      </c>
      <c r="M181" s="315">
        <f t="shared" si="66"/>
        <v>0</v>
      </c>
      <c r="N181" s="315">
        <f t="shared" si="66"/>
        <v>0</v>
      </c>
      <c r="O181" s="315">
        <f t="shared" si="66"/>
        <v>0</v>
      </c>
      <c r="P181" s="315">
        <f t="shared" si="66"/>
        <v>0</v>
      </c>
      <c r="Q181" s="315">
        <f t="shared" si="66"/>
        <v>0</v>
      </c>
      <c r="R181" s="315">
        <f t="shared" si="66"/>
        <v>0</v>
      </c>
      <c r="S181" s="315">
        <f t="shared" si="66"/>
        <v>0</v>
      </c>
      <c r="T181" s="315">
        <f t="shared" si="66"/>
        <v>0</v>
      </c>
      <c r="U181" s="315">
        <f t="shared" ref="U181:BX181" si="67">-U59</f>
        <v>0</v>
      </c>
      <c r="V181" s="315">
        <f t="shared" si="67"/>
        <v>0</v>
      </c>
      <c r="W181" s="315">
        <f t="shared" si="67"/>
        <v>0</v>
      </c>
      <c r="X181" s="315">
        <f t="shared" si="67"/>
        <v>0</v>
      </c>
      <c r="Y181" s="315">
        <f t="shared" si="67"/>
        <v>0</v>
      </c>
      <c r="Z181" s="315">
        <f t="shared" si="67"/>
        <v>0</v>
      </c>
      <c r="AA181" s="315">
        <f t="shared" si="67"/>
        <v>0</v>
      </c>
      <c r="AB181" s="315">
        <f t="shared" si="67"/>
        <v>0</v>
      </c>
      <c r="AC181" s="315">
        <f t="shared" si="67"/>
        <v>0</v>
      </c>
      <c r="AD181" s="315">
        <f t="shared" si="67"/>
        <v>0</v>
      </c>
      <c r="AE181" s="315">
        <f t="shared" si="67"/>
        <v>0</v>
      </c>
      <c r="AF181" s="315">
        <f t="shared" si="67"/>
        <v>0</v>
      </c>
      <c r="AG181" s="315">
        <f t="shared" si="67"/>
        <v>0</v>
      </c>
      <c r="AH181" s="315">
        <f t="shared" si="67"/>
        <v>0</v>
      </c>
      <c r="AI181" s="315">
        <f t="shared" si="67"/>
        <v>0</v>
      </c>
      <c r="AJ181" s="315">
        <f t="shared" si="67"/>
        <v>0</v>
      </c>
      <c r="AK181" s="315">
        <f t="shared" si="67"/>
        <v>0</v>
      </c>
      <c r="AL181" s="315">
        <f t="shared" si="67"/>
        <v>0</v>
      </c>
      <c r="AM181" s="315">
        <f t="shared" si="67"/>
        <v>0</v>
      </c>
      <c r="AN181" s="315">
        <f t="shared" si="67"/>
        <v>0</v>
      </c>
      <c r="AO181" s="315">
        <f t="shared" si="67"/>
        <v>0</v>
      </c>
      <c r="AP181" s="315">
        <f t="shared" si="67"/>
        <v>0</v>
      </c>
      <c r="AQ181" s="315">
        <f t="shared" si="67"/>
        <v>0</v>
      </c>
      <c r="AR181" s="315">
        <f t="shared" si="67"/>
        <v>0</v>
      </c>
      <c r="AS181" s="315">
        <f t="shared" si="67"/>
        <v>0</v>
      </c>
      <c r="AT181" s="315">
        <f t="shared" si="67"/>
        <v>0</v>
      </c>
      <c r="AU181" s="315">
        <f t="shared" si="67"/>
        <v>0</v>
      </c>
      <c r="AV181" s="315">
        <f t="shared" si="67"/>
        <v>0</v>
      </c>
      <c r="AW181" s="315">
        <f t="shared" si="67"/>
        <v>0</v>
      </c>
      <c r="AX181" s="315">
        <f t="shared" si="67"/>
        <v>0</v>
      </c>
      <c r="AY181" s="315">
        <f t="shared" si="67"/>
        <v>0</v>
      </c>
      <c r="AZ181" s="315">
        <f t="shared" si="67"/>
        <v>0</v>
      </c>
      <c r="BA181" s="315">
        <f t="shared" si="67"/>
        <v>0</v>
      </c>
      <c r="BB181" s="315">
        <f t="shared" si="67"/>
        <v>0</v>
      </c>
      <c r="BC181" s="315">
        <f t="shared" si="67"/>
        <v>0</v>
      </c>
      <c r="BD181" s="315">
        <f t="shared" si="67"/>
        <v>0</v>
      </c>
      <c r="BE181" s="315">
        <f t="shared" si="67"/>
        <v>0</v>
      </c>
      <c r="BF181" s="315">
        <f t="shared" si="67"/>
        <v>0</v>
      </c>
      <c r="BG181" s="315">
        <f t="shared" si="67"/>
        <v>0</v>
      </c>
      <c r="BH181" s="315">
        <f t="shared" si="67"/>
        <v>0</v>
      </c>
      <c r="BI181" s="315">
        <f t="shared" si="67"/>
        <v>0</v>
      </c>
      <c r="BJ181" s="315">
        <f t="shared" si="67"/>
        <v>0</v>
      </c>
      <c r="BK181" s="315">
        <f t="shared" si="67"/>
        <v>0</v>
      </c>
      <c r="BL181" s="315">
        <f t="shared" si="67"/>
        <v>0</v>
      </c>
      <c r="BM181" s="315">
        <f t="shared" si="67"/>
        <v>0</v>
      </c>
      <c r="BN181" s="315">
        <f t="shared" si="67"/>
        <v>0</v>
      </c>
      <c r="BO181" s="315">
        <f t="shared" si="67"/>
        <v>0</v>
      </c>
      <c r="BP181" s="315">
        <f t="shared" si="67"/>
        <v>0</v>
      </c>
      <c r="BQ181" s="315">
        <f t="shared" si="67"/>
        <v>0</v>
      </c>
      <c r="BR181" s="315">
        <f t="shared" si="67"/>
        <v>0</v>
      </c>
      <c r="BS181" s="315">
        <f t="shared" si="67"/>
        <v>0</v>
      </c>
      <c r="BT181" s="315">
        <f t="shared" si="67"/>
        <v>0</v>
      </c>
      <c r="BU181" s="315">
        <f t="shared" si="67"/>
        <v>0</v>
      </c>
      <c r="BV181" s="315">
        <f t="shared" si="67"/>
        <v>0</v>
      </c>
      <c r="BW181" s="315">
        <f t="shared" si="67"/>
        <v>0</v>
      </c>
      <c r="BX181" s="315">
        <f t="shared" si="67"/>
        <v>0</v>
      </c>
    </row>
    <row r="182" spans="3:76">
      <c r="C182" s="314" t="s">
        <v>344</v>
      </c>
      <c r="D182" s="323"/>
      <c r="E182" s="315"/>
      <c r="F182" s="315"/>
      <c r="G182" s="315"/>
      <c r="H182" s="315"/>
      <c r="I182" s="315"/>
      <c r="J182" s="315"/>
      <c r="K182" s="315"/>
      <c r="L182" s="315"/>
      <c r="M182" s="315"/>
      <c r="N182" s="315"/>
      <c r="O182" s="315"/>
      <c r="P182" s="315"/>
      <c r="Q182" s="315"/>
      <c r="R182" s="315"/>
      <c r="S182" s="315"/>
      <c r="T182" s="315">
        <v>2750000</v>
      </c>
      <c r="U182" s="315"/>
      <c r="V182" s="315"/>
      <c r="W182" s="315"/>
      <c r="X182" s="315"/>
      <c r="Y182" s="315"/>
      <c r="Z182" s="315"/>
      <c r="AA182" s="315"/>
      <c r="AB182" s="315"/>
      <c r="AC182" s="315"/>
      <c r="AD182" s="315"/>
      <c r="AE182" s="315"/>
      <c r="AF182" s="315"/>
      <c r="AG182" s="315"/>
      <c r="AH182" s="315"/>
      <c r="AI182" s="315"/>
      <c r="AJ182" s="315"/>
      <c r="AK182" s="315"/>
      <c r="AL182" s="315"/>
      <c r="AM182" s="315"/>
      <c r="AN182" s="315"/>
      <c r="AO182" s="315"/>
      <c r="AP182" s="315"/>
      <c r="AQ182" s="315"/>
      <c r="AR182" s="315"/>
      <c r="AS182" s="315"/>
      <c r="AT182" s="315"/>
      <c r="AU182" s="315"/>
      <c r="AV182" s="315"/>
      <c r="AW182" s="315"/>
      <c r="AX182" s="315"/>
      <c r="AY182" s="315"/>
      <c r="AZ182" s="315"/>
      <c r="BA182" s="315"/>
      <c r="BB182" s="315"/>
      <c r="BC182" s="316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>
        <f>IF(D106&gt;0.25,(BX101-BX109)*D183,BX101*D183)</f>
        <v>0</v>
      </c>
    </row>
    <row r="183" spans="3:76">
      <c r="C183" s="317" t="s">
        <v>345</v>
      </c>
      <c r="D183" s="323">
        <v>0</v>
      </c>
      <c r="E183" s="315"/>
      <c r="F183" s="315"/>
      <c r="G183" s="315"/>
      <c r="H183" s="246"/>
      <c r="I183" s="246"/>
      <c r="J183" s="246"/>
      <c r="K183" s="246"/>
      <c r="L183" s="246"/>
      <c r="M183" s="246"/>
      <c r="N183" s="246"/>
      <c r="O183" s="246"/>
      <c r="P183" s="246"/>
      <c r="Q183" s="246"/>
      <c r="R183" s="246"/>
      <c r="S183" s="246"/>
      <c r="T183" s="246"/>
      <c r="U183" s="315"/>
      <c r="V183" s="315"/>
      <c r="W183" s="315"/>
      <c r="X183" s="315"/>
      <c r="Y183" s="315"/>
      <c r="Z183" s="315"/>
      <c r="AA183" s="315"/>
      <c r="AB183" s="315"/>
      <c r="AC183" s="315"/>
      <c r="AD183" s="315"/>
      <c r="AE183" s="315"/>
      <c r="AF183" s="315"/>
      <c r="AG183" s="315"/>
      <c r="AH183" s="315"/>
      <c r="AI183" s="315"/>
      <c r="AJ183" s="315"/>
      <c r="AK183" s="315"/>
      <c r="AL183" s="315"/>
      <c r="AM183" s="315"/>
      <c r="AN183" s="315"/>
      <c r="AO183" s="315"/>
      <c r="AP183" s="315"/>
      <c r="AQ183" s="315"/>
      <c r="AR183" s="315"/>
      <c r="AS183" s="315"/>
      <c r="AT183" s="315"/>
      <c r="AU183" s="315"/>
      <c r="AV183" s="315"/>
      <c r="AW183" s="315"/>
      <c r="AX183" s="315"/>
      <c r="AY183" s="315"/>
      <c r="AZ183" s="315"/>
      <c r="BA183" s="315"/>
      <c r="BB183" s="315"/>
      <c r="BC183" s="316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</row>
    <row r="184" spans="3:76">
      <c r="C184" s="314" t="s">
        <v>346</v>
      </c>
      <c r="D184" s="315"/>
      <c r="E184" s="325">
        <f t="shared" ref="E184:BX184" si="68">E179+E180+E181+E182+E183</f>
        <v>0</v>
      </c>
      <c r="F184" s="325">
        <f t="shared" si="68"/>
        <v>0</v>
      </c>
      <c r="G184" s="325">
        <f t="shared" si="68"/>
        <v>0</v>
      </c>
      <c r="H184" s="325">
        <f t="shared" si="68"/>
        <v>-5341205.5</v>
      </c>
      <c r="I184" s="325">
        <f t="shared" si="68"/>
        <v>0</v>
      </c>
      <c r="J184" s="325">
        <f t="shared" si="68"/>
        <v>0</v>
      </c>
      <c r="K184" s="325">
        <f t="shared" si="68"/>
        <v>0</v>
      </c>
      <c r="L184" s="325">
        <f t="shared" si="68"/>
        <v>0</v>
      </c>
      <c r="M184" s="325">
        <f t="shared" si="68"/>
        <v>0</v>
      </c>
      <c r="N184" s="325">
        <f t="shared" si="68"/>
        <v>0</v>
      </c>
      <c r="O184" s="325">
        <f t="shared" si="68"/>
        <v>0</v>
      </c>
      <c r="P184" s="325">
        <f t="shared" si="68"/>
        <v>0</v>
      </c>
      <c r="Q184" s="325">
        <f t="shared" si="68"/>
        <v>0</v>
      </c>
      <c r="R184" s="325">
        <f t="shared" si="68"/>
        <v>0</v>
      </c>
      <c r="S184" s="325">
        <f t="shared" si="68"/>
        <v>0</v>
      </c>
      <c r="T184" s="325">
        <f t="shared" si="68"/>
        <v>8091205.5</v>
      </c>
      <c r="U184" s="325">
        <f t="shared" si="68"/>
        <v>0</v>
      </c>
      <c r="V184" s="325">
        <f t="shared" si="68"/>
        <v>0</v>
      </c>
      <c r="W184" s="325">
        <f t="shared" si="68"/>
        <v>0</v>
      </c>
      <c r="X184" s="325">
        <f t="shared" si="68"/>
        <v>0</v>
      </c>
      <c r="Y184" s="325">
        <f t="shared" si="68"/>
        <v>0</v>
      </c>
      <c r="Z184" s="325">
        <f t="shared" si="68"/>
        <v>0</v>
      </c>
      <c r="AA184" s="325">
        <f t="shared" si="68"/>
        <v>0</v>
      </c>
      <c r="AB184" s="325">
        <f t="shared" si="68"/>
        <v>0</v>
      </c>
      <c r="AC184" s="325">
        <f t="shared" si="68"/>
        <v>0</v>
      </c>
      <c r="AD184" s="325">
        <f t="shared" si="68"/>
        <v>0</v>
      </c>
      <c r="AE184" s="325">
        <f t="shared" si="68"/>
        <v>0</v>
      </c>
      <c r="AF184" s="325">
        <f t="shared" si="68"/>
        <v>0</v>
      </c>
      <c r="AG184" s="325">
        <f t="shared" si="68"/>
        <v>0</v>
      </c>
      <c r="AH184" s="325">
        <f t="shared" si="68"/>
        <v>0</v>
      </c>
      <c r="AI184" s="325">
        <f t="shared" si="68"/>
        <v>0</v>
      </c>
      <c r="AJ184" s="325">
        <f t="shared" si="68"/>
        <v>0</v>
      </c>
      <c r="AK184" s="325">
        <f t="shared" si="68"/>
        <v>0</v>
      </c>
      <c r="AL184" s="325">
        <f t="shared" si="68"/>
        <v>0</v>
      </c>
      <c r="AM184" s="325">
        <f t="shared" si="68"/>
        <v>0</v>
      </c>
      <c r="AN184" s="325">
        <f t="shared" si="68"/>
        <v>0</v>
      </c>
      <c r="AO184" s="325">
        <f t="shared" si="68"/>
        <v>0</v>
      </c>
      <c r="AP184" s="325">
        <f t="shared" si="68"/>
        <v>0</v>
      </c>
      <c r="AQ184" s="325">
        <f t="shared" si="68"/>
        <v>0</v>
      </c>
      <c r="AR184" s="325">
        <f t="shared" si="68"/>
        <v>0</v>
      </c>
      <c r="AS184" s="325">
        <f t="shared" si="68"/>
        <v>0</v>
      </c>
      <c r="AT184" s="325">
        <f t="shared" si="68"/>
        <v>0</v>
      </c>
      <c r="AU184" s="325">
        <f t="shared" si="68"/>
        <v>0</v>
      </c>
      <c r="AV184" s="325">
        <f t="shared" si="68"/>
        <v>0</v>
      </c>
      <c r="AW184" s="325">
        <f t="shared" si="68"/>
        <v>0</v>
      </c>
      <c r="AX184" s="325">
        <f t="shared" si="68"/>
        <v>0</v>
      </c>
      <c r="AY184" s="325">
        <f t="shared" si="68"/>
        <v>0</v>
      </c>
      <c r="AZ184" s="325">
        <f t="shared" si="68"/>
        <v>0</v>
      </c>
      <c r="BA184" s="325">
        <f t="shared" si="68"/>
        <v>0</v>
      </c>
      <c r="BB184" s="325">
        <f t="shared" si="68"/>
        <v>0</v>
      </c>
      <c r="BC184" s="325">
        <f t="shared" si="68"/>
        <v>0</v>
      </c>
      <c r="BD184" s="325">
        <f t="shared" si="68"/>
        <v>0</v>
      </c>
      <c r="BE184" s="325">
        <f t="shared" si="68"/>
        <v>0</v>
      </c>
      <c r="BF184" s="325">
        <f t="shared" si="68"/>
        <v>0</v>
      </c>
      <c r="BG184" s="325">
        <f t="shared" si="68"/>
        <v>0</v>
      </c>
      <c r="BH184" s="325">
        <f t="shared" si="68"/>
        <v>0</v>
      </c>
      <c r="BI184" s="325">
        <f t="shared" si="68"/>
        <v>0</v>
      </c>
      <c r="BJ184" s="325">
        <f t="shared" si="68"/>
        <v>0</v>
      </c>
      <c r="BK184" s="325">
        <f t="shared" si="68"/>
        <v>0</v>
      </c>
      <c r="BL184" s="325">
        <f t="shared" si="68"/>
        <v>0</v>
      </c>
      <c r="BM184" s="325">
        <f t="shared" si="68"/>
        <v>0</v>
      </c>
      <c r="BN184" s="325">
        <f t="shared" si="68"/>
        <v>0</v>
      </c>
      <c r="BO184" s="325">
        <f t="shared" si="68"/>
        <v>0</v>
      </c>
      <c r="BP184" s="325">
        <f t="shared" si="68"/>
        <v>0</v>
      </c>
      <c r="BQ184" s="325">
        <f t="shared" si="68"/>
        <v>0</v>
      </c>
      <c r="BR184" s="325">
        <f t="shared" si="68"/>
        <v>0</v>
      </c>
      <c r="BS184" s="325">
        <f t="shared" si="68"/>
        <v>0</v>
      </c>
      <c r="BT184" s="325">
        <f t="shared" si="68"/>
        <v>0</v>
      </c>
      <c r="BU184" s="325">
        <f t="shared" si="68"/>
        <v>0</v>
      </c>
      <c r="BV184" s="325">
        <f t="shared" si="68"/>
        <v>0</v>
      </c>
      <c r="BW184" s="325">
        <f t="shared" si="68"/>
        <v>0</v>
      </c>
      <c r="BX184" s="325">
        <f t="shared" si="68"/>
        <v>0</v>
      </c>
    </row>
    <row r="185" spans="3:76">
      <c r="C185" s="318"/>
      <c r="D185" s="326" t="s">
        <v>354</v>
      </c>
      <c r="E185" s="330">
        <f>E184</f>
        <v>0</v>
      </c>
      <c r="F185" s="330">
        <f t="shared" ref="F185:BX185" si="69">E185+F184</f>
        <v>0</v>
      </c>
      <c r="G185" s="330">
        <f t="shared" si="69"/>
        <v>0</v>
      </c>
      <c r="H185" s="330">
        <f t="shared" si="69"/>
        <v>-5341205.5</v>
      </c>
      <c r="I185" s="330">
        <f t="shared" si="69"/>
        <v>-5341205.5</v>
      </c>
      <c r="J185" s="330">
        <f t="shared" si="69"/>
        <v>-5341205.5</v>
      </c>
      <c r="K185" s="330">
        <f t="shared" si="69"/>
        <v>-5341205.5</v>
      </c>
      <c r="L185" s="330">
        <f t="shared" si="69"/>
        <v>-5341205.5</v>
      </c>
      <c r="M185" s="330">
        <f t="shared" si="69"/>
        <v>-5341205.5</v>
      </c>
      <c r="N185" s="330">
        <f t="shared" si="69"/>
        <v>-5341205.5</v>
      </c>
      <c r="O185" s="330">
        <f t="shared" si="69"/>
        <v>-5341205.5</v>
      </c>
      <c r="P185" s="330">
        <f t="shared" si="69"/>
        <v>-5341205.5</v>
      </c>
      <c r="Q185" s="330">
        <f t="shared" si="69"/>
        <v>-5341205.5</v>
      </c>
      <c r="R185" s="330">
        <f t="shared" si="69"/>
        <v>-5341205.5</v>
      </c>
      <c r="S185" s="330">
        <f t="shared" si="69"/>
        <v>-5341205.5</v>
      </c>
      <c r="T185" s="330">
        <f t="shared" si="69"/>
        <v>2750000</v>
      </c>
      <c r="U185" s="330">
        <f t="shared" si="69"/>
        <v>2750000</v>
      </c>
      <c r="V185" s="331">
        <f t="shared" si="69"/>
        <v>2750000</v>
      </c>
      <c r="W185" s="331">
        <f t="shared" si="69"/>
        <v>2750000</v>
      </c>
      <c r="X185" s="331">
        <f t="shared" si="69"/>
        <v>2750000</v>
      </c>
      <c r="Y185" s="331">
        <f t="shared" si="69"/>
        <v>2750000</v>
      </c>
      <c r="Z185" s="331">
        <f t="shared" si="69"/>
        <v>2750000</v>
      </c>
      <c r="AA185" s="331">
        <f t="shared" si="69"/>
        <v>2750000</v>
      </c>
      <c r="AB185" s="331">
        <f t="shared" si="69"/>
        <v>2750000</v>
      </c>
      <c r="AC185" s="331">
        <f t="shared" si="69"/>
        <v>2750000</v>
      </c>
      <c r="AD185" s="331">
        <f t="shared" si="69"/>
        <v>2750000</v>
      </c>
      <c r="AE185" s="331">
        <f t="shared" si="69"/>
        <v>2750000</v>
      </c>
      <c r="AF185" s="331">
        <f t="shared" si="69"/>
        <v>2750000</v>
      </c>
      <c r="AG185" s="331">
        <f t="shared" si="69"/>
        <v>2750000</v>
      </c>
      <c r="AH185" s="331">
        <f t="shared" si="69"/>
        <v>2750000</v>
      </c>
      <c r="AI185" s="331">
        <f t="shared" si="69"/>
        <v>2750000</v>
      </c>
      <c r="AJ185" s="331">
        <f t="shared" si="69"/>
        <v>2750000</v>
      </c>
      <c r="AK185" s="331">
        <f t="shared" si="69"/>
        <v>2750000</v>
      </c>
      <c r="AL185" s="331">
        <f t="shared" si="69"/>
        <v>2750000</v>
      </c>
      <c r="AM185" s="331">
        <f t="shared" si="69"/>
        <v>2750000</v>
      </c>
      <c r="AN185" s="331">
        <f t="shared" si="69"/>
        <v>2750000</v>
      </c>
      <c r="AO185" s="331">
        <f t="shared" si="69"/>
        <v>2750000</v>
      </c>
      <c r="AP185" s="331">
        <f t="shared" si="69"/>
        <v>2750000</v>
      </c>
      <c r="AQ185" s="331">
        <f t="shared" si="69"/>
        <v>2750000</v>
      </c>
      <c r="AR185" s="331">
        <f t="shared" si="69"/>
        <v>2750000</v>
      </c>
      <c r="AS185" s="331">
        <f t="shared" si="69"/>
        <v>2750000</v>
      </c>
      <c r="AT185" s="331">
        <f t="shared" si="69"/>
        <v>2750000</v>
      </c>
      <c r="AU185" s="331">
        <f t="shared" si="69"/>
        <v>2750000</v>
      </c>
      <c r="AV185" s="331">
        <f t="shared" si="69"/>
        <v>2750000</v>
      </c>
      <c r="AW185" s="331">
        <f t="shared" si="69"/>
        <v>2750000</v>
      </c>
      <c r="AX185" s="331">
        <f t="shared" si="69"/>
        <v>2750000</v>
      </c>
      <c r="AY185" s="331">
        <f t="shared" si="69"/>
        <v>2750000</v>
      </c>
      <c r="AZ185" s="331">
        <f t="shared" si="69"/>
        <v>2750000</v>
      </c>
      <c r="BA185" s="331">
        <f t="shared" si="69"/>
        <v>2750000</v>
      </c>
      <c r="BB185" s="331">
        <f t="shared" si="69"/>
        <v>2750000</v>
      </c>
      <c r="BC185" s="330">
        <f t="shared" si="69"/>
        <v>2750000</v>
      </c>
      <c r="BD185" s="330">
        <f t="shared" si="69"/>
        <v>2750000</v>
      </c>
      <c r="BE185" s="330">
        <f t="shared" si="69"/>
        <v>2750000</v>
      </c>
      <c r="BF185" s="330">
        <f t="shared" si="69"/>
        <v>2750000</v>
      </c>
      <c r="BG185" s="330">
        <f t="shared" si="69"/>
        <v>2750000</v>
      </c>
      <c r="BH185" s="330">
        <f t="shared" si="69"/>
        <v>2750000</v>
      </c>
      <c r="BI185" s="330">
        <f t="shared" si="69"/>
        <v>2750000</v>
      </c>
      <c r="BJ185" s="330">
        <f t="shared" si="69"/>
        <v>2750000</v>
      </c>
      <c r="BK185" s="330">
        <f t="shared" si="69"/>
        <v>2750000</v>
      </c>
      <c r="BL185" s="330">
        <f t="shared" si="69"/>
        <v>2750000</v>
      </c>
      <c r="BM185" s="330">
        <f t="shared" si="69"/>
        <v>2750000</v>
      </c>
      <c r="BN185" s="330">
        <f t="shared" si="69"/>
        <v>2750000</v>
      </c>
      <c r="BO185" s="330">
        <f t="shared" si="69"/>
        <v>2750000</v>
      </c>
      <c r="BP185" s="330">
        <f t="shared" si="69"/>
        <v>2750000</v>
      </c>
      <c r="BQ185" s="330">
        <f t="shared" si="69"/>
        <v>2750000</v>
      </c>
      <c r="BR185" s="330">
        <f t="shared" si="69"/>
        <v>2750000</v>
      </c>
      <c r="BS185" s="330">
        <f t="shared" si="69"/>
        <v>2750000</v>
      </c>
      <c r="BT185" s="330">
        <f t="shared" si="69"/>
        <v>2750000</v>
      </c>
      <c r="BU185" s="330">
        <f t="shared" si="69"/>
        <v>2750000</v>
      </c>
      <c r="BV185" s="330">
        <f t="shared" si="69"/>
        <v>2750000</v>
      </c>
      <c r="BW185" s="330">
        <f t="shared" si="69"/>
        <v>2750000</v>
      </c>
      <c r="BX185" s="330">
        <f t="shared" si="69"/>
        <v>2750000</v>
      </c>
    </row>
    <row r="186" spans="3:76">
      <c r="C186" s="317" t="s">
        <v>339</v>
      </c>
      <c r="D186" s="326">
        <f>IRR(E184:BX184)*12</f>
        <v>0.42259732866030397</v>
      </c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  <c r="AE186" s="226"/>
      <c r="AF186" s="226"/>
      <c r="AG186" s="226"/>
      <c r="AH186" s="226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AY186" s="226"/>
      <c r="AZ186" s="226"/>
      <c r="BA186" s="226"/>
      <c r="BB186" s="226"/>
      <c r="BC186" s="226"/>
      <c r="BD186" s="226"/>
      <c r="BE186" s="226"/>
      <c r="BF186" s="226"/>
      <c r="BG186" s="226"/>
      <c r="BH186" s="226"/>
      <c r="BI186" s="226"/>
      <c r="BJ186" s="226"/>
      <c r="BK186" s="226"/>
      <c r="BL186" s="226"/>
      <c r="BM186" s="226"/>
      <c r="BN186" s="226"/>
      <c r="BO186" s="226"/>
      <c r="BP186" s="226"/>
      <c r="BQ186" s="226"/>
      <c r="BR186" s="226"/>
      <c r="BS186" s="226"/>
      <c r="BT186" s="226"/>
      <c r="BU186" s="226"/>
      <c r="BV186" s="226"/>
      <c r="BW186" s="226"/>
      <c r="BX186" s="226"/>
    </row>
    <row r="187" spans="3:76">
      <c r="C187" s="327" t="s">
        <v>347</v>
      </c>
      <c r="D187" s="328">
        <f>-MIN(M185:BL185)-D188</f>
        <v>5341205.5</v>
      </c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  <c r="AD187" s="226"/>
      <c r="AE187" s="226"/>
      <c r="AF187" s="226"/>
      <c r="AG187" s="226"/>
      <c r="AH187" s="226"/>
      <c r="AI187" s="226"/>
      <c r="AJ187" s="226"/>
      <c r="AK187" s="226"/>
      <c r="AL187" s="226"/>
      <c r="AM187" s="226"/>
      <c r="AN187" s="226"/>
      <c r="AO187" s="226"/>
      <c r="AP187" s="226"/>
      <c r="AQ187" s="226"/>
      <c r="AR187" s="226"/>
      <c r="AS187" s="226"/>
      <c r="AT187" s="226"/>
      <c r="AU187" s="226"/>
      <c r="AV187" s="226"/>
      <c r="AW187" s="226"/>
      <c r="AX187" s="226"/>
      <c r="AY187" s="226"/>
      <c r="AZ187" s="226"/>
      <c r="BA187" s="226"/>
      <c r="BB187" s="226"/>
      <c r="BC187" s="226"/>
      <c r="BD187" s="226"/>
      <c r="BE187" s="226"/>
      <c r="BF187" s="226"/>
      <c r="BG187" s="226"/>
      <c r="BH187" s="226"/>
      <c r="BI187" s="226"/>
      <c r="BJ187" s="226"/>
      <c r="BK187" s="226"/>
      <c r="BL187" s="226"/>
      <c r="BM187" s="226"/>
      <c r="BN187" s="226"/>
      <c r="BO187" s="226"/>
      <c r="BP187" s="226"/>
      <c r="BQ187" s="226"/>
      <c r="BR187" s="226"/>
      <c r="BS187" s="226"/>
      <c r="BT187" s="226"/>
      <c r="BU187" s="226"/>
      <c r="BV187" s="226"/>
      <c r="BW187" s="226"/>
      <c r="BX187" s="226"/>
    </row>
    <row r="188" spans="3:76">
      <c r="C188" s="327" t="s">
        <v>348</v>
      </c>
      <c r="D188" s="328">
        <f>-SUM(M183:BB183)</f>
        <v>0</v>
      </c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  <c r="AD188" s="226"/>
      <c r="AE188" s="226"/>
      <c r="AF188" s="226"/>
      <c r="AG188" s="226"/>
      <c r="AH188" s="226"/>
      <c r="AI188" s="226"/>
      <c r="AJ188" s="226"/>
      <c r="AK188" s="226"/>
      <c r="AL188" s="226"/>
      <c r="AM188" s="226"/>
      <c r="AN188" s="226"/>
      <c r="AO188" s="226"/>
      <c r="AP188" s="226"/>
      <c r="AQ188" s="226"/>
      <c r="AR188" s="226"/>
      <c r="AS188" s="226"/>
      <c r="AT188" s="226"/>
      <c r="AU188" s="226"/>
      <c r="AV188" s="226"/>
      <c r="AW188" s="226"/>
      <c r="AX188" s="226"/>
      <c r="AY188" s="226"/>
      <c r="AZ188" s="226"/>
      <c r="BA188" s="226"/>
      <c r="BB188" s="226"/>
      <c r="BC188" s="226"/>
      <c r="BD188" s="226"/>
      <c r="BE188" s="226"/>
      <c r="BF188" s="226"/>
      <c r="BG188" s="226"/>
      <c r="BH188" s="226"/>
      <c r="BI188" s="226"/>
      <c r="BJ188" s="226"/>
      <c r="BK188" s="226"/>
      <c r="BL188" s="226"/>
      <c r="BM188" s="226"/>
      <c r="BN188" s="226"/>
      <c r="BO188" s="226"/>
      <c r="BP188" s="226"/>
      <c r="BQ188" s="226"/>
      <c r="BR188" s="226"/>
      <c r="BS188" s="226"/>
      <c r="BT188" s="226"/>
      <c r="BU188" s="226"/>
      <c r="BV188" s="226"/>
      <c r="BW188" s="226"/>
      <c r="BX188" s="226"/>
    </row>
    <row r="189" spans="3:76">
      <c r="C189" s="317" t="s">
        <v>349</v>
      </c>
      <c r="D189" s="329">
        <f>D188+D187</f>
        <v>5341205.5</v>
      </c>
      <c r="E189" s="226"/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6"/>
      <c r="AA189" s="226"/>
      <c r="AB189" s="226"/>
      <c r="AC189" s="226"/>
      <c r="AD189" s="226"/>
      <c r="AE189" s="226"/>
      <c r="AF189" s="226"/>
      <c r="AG189" s="226"/>
      <c r="AH189" s="226"/>
      <c r="AI189" s="226"/>
      <c r="AJ189" s="226"/>
      <c r="AK189" s="226"/>
      <c r="AL189" s="226"/>
      <c r="AM189" s="226"/>
      <c r="AN189" s="226"/>
      <c r="AO189" s="226"/>
      <c r="AP189" s="226"/>
      <c r="AQ189" s="226"/>
      <c r="AR189" s="226"/>
      <c r="AS189" s="226"/>
      <c r="AT189" s="226"/>
      <c r="AU189" s="226"/>
      <c r="AV189" s="226"/>
      <c r="AW189" s="226"/>
      <c r="AX189" s="226"/>
      <c r="AY189" s="226"/>
      <c r="AZ189" s="226"/>
      <c r="BA189" s="226"/>
      <c r="BB189" s="226"/>
      <c r="BC189" s="226"/>
      <c r="BD189" s="226"/>
      <c r="BE189" s="226"/>
      <c r="BF189" s="226"/>
      <c r="BG189" s="226"/>
      <c r="BH189" s="226"/>
      <c r="BI189" s="226"/>
      <c r="BJ189" s="226"/>
      <c r="BK189" s="226"/>
      <c r="BL189" s="226"/>
      <c r="BM189" s="226"/>
      <c r="BN189" s="226"/>
      <c r="BO189" s="226"/>
      <c r="BP189" s="226"/>
      <c r="BQ189" s="226"/>
      <c r="BR189" s="226"/>
      <c r="BS189" s="226"/>
      <c r="BT189" s="226"/>
      <c r="BU189" s="226"/>
      <c r="BV189" s="226"/>
      <c r="BW189" s="226"/>
      <c r="BX189" s="226"/>
    </row>
    <row r="190" spans="3:76">
      <c r="C190" s="317" t="s">
        <v>350</v>
      </c>
      <c r="D190" s="329">
        <f>BX181+BX182</f>
        <v>0</v>
      </c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  <c r="AE190" s="226"/>
      <c r="AF190" s="226"/>
      <c r="AG190" s="226"/>
      <c r="AH190" s="226"/>
      <c r="AI190" s="226"/>
      <c r="AJ190" s="226"/>
      <c r="AK190" s="226"/>
      <c r="AL190" s="226"/>
      <c r="AM190" s="226"/>
      <c r="AN190" s="226"/>
      <c r="AO190" s="226"/>
      <c r="AP190" s="226"/>
      <c r="AQ190" s="226"/>
      <c r="AR190" s="226"/>
      <c r="AS190" s="226"/>
      <c r="AT190" s="226"/>
      <c r="AU190" s="226"/>
      <c r="AV190" s="226"/>
      <c r="AW190" s="226"/>
      <c r="AX190" s="226"/>
      <c r="AY190" s="226"/>
      <c r="AZ190" s="226"/>
      <c r="BA190" s="226"/>
      <c r="BB190" s="226"/>
      <c r="BC190" s="226"/>
      <c r="BD190" s="226"/>
      <c r="BE190" s="226"/>
      <c r="BF190" s="226"/>
      <c r="BG190" s="226"/>
      <c r="BH190" s="226"/>
      <c r="BI190" s="226"/>
      <c r="BJ190" s="226"/>
      <c r="BK190" s="226"/>
      <c r="BL190" s="226"/>
      <c r="BM190" s="226"/>
      <c r="BN190" s="226"/>
      <c r="BO190" s="226"/>
      <c r="BP190" s="226"/>
      <c r="BQ190" s="226"/>
      <c r="BR190" s="226"/>
      <c r="BS190" s="226"/>
      <c r="BT190" s="226"/>
      <c r="BU190" s="226"/>
      <c r="BV190" s="226"/>
      <c r="BW190" s="226"/>
      <c r="BX190" s="226"/>
    </row>
    <row r="191" spans="3:76">
      <c r="C191" s="317" t="s">
        <v>351</v>
      </c>
      <c r="D191" s="326">
        <f>T182/T179</f>
        <v>0.51486504310684167</v>
      </c>
      <c r="E191" s="226"/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6"/>
      <c r="AA191" s="226"/>
      <c r="AB191" s="226"/>
      <c r="AC191" s="226"/>
      <c r="AD191" s="226"/>
      <c r="AE191" s="226"/>
      <c r="AF191" s="226"/>
      <c r="AG191" s="226"/>
      <c r="AH191" s="226"/>
      <c r="AI191" s="226"/>
      <c r="AJ191" s="226"/>
      <c r="AK191" s="226"/>
      <c r="AL191" s="226"/>
      <c r="AM191" s="226"/>
      <c r="AN191" s="226"/>
      <c r="AO191" s="226"/>
      <c r="AP191" s="226"/>
      <c r="AQ191" s="226"/>
      <c r="AR191" s="226"/>
      <c r="AS191" s="226"/>
      <c r="AT191" s="226"/>
      <c r="AU191" s="226"/>
      <c r="AV191" s="226"/>
      <c r="AW191" s="226"/>
      <c r="AX191" s="226"/>
      <c r="AY191" s="226"/>
      <c r="AZ191" s="226"/>
      <c r="BA191" s="226"/>
      <c r="BB191" s="226"/>
      <c r="BC191" s="226"/>
      <c r="BD191" s="226"/>
      <c r="BE191" s="226"/>
      <c r="BF191" s="226"/>
      <c r="BG191" s="226"/>
      <c r="BH191" s="226"/>
      <c r="BI191" s="226"/>
      <c r="BJ191" s="226"/>
      <c r="BK191" s="226"/>
      <c r="BL191" s="226"/>
      <c r="BM191" s="226"/>
      <c r="BN191" s="226"/>
      <c r="BO191" s="226"/>
      <c r="BP191" s="226"/>
      <c r="BQ191" s="226"/>
      <c r="BR191" s="226"/>
      <c r="BS191" s="226"/>
      <c r="BT191" s="226"/>
      <c r="BU191" s="226"/>
      <c r="BV191" s="226"/>
      <c r="BW191" s="226"/>
      <c r="BX191" s="226"/>
    </row>
    <row r="198" spans="19:23">
      <c r="S198" s="332">
        <v>700000</v>
      </c>
      <c r="T198" s="333">
        <v>1000000</v>
      </c>
      <c r="U198" s="332">
        <v>5300000</v>
      </c>
      <c r="V198" s="332">
        <v>4750000</v>
      </c>
      <c r="W198" s="332">
        <v>1250000</v>
      </c>
    </row>
    <row r="200" spans="19:23" ht="14">
      <c r="S200" s="25">
        <f t="shared" ref="S200:W200" si="70">S198*0.8</f>
        <v>560000</v>
      </c>
      <c r="T200" s="25">
        <f t="shared" si="70"/>
        <v>800000</v>
      </c>
      <c r="U200" s="25">
        <f t="shared" si="70"/>
        <v>4240000</v>
      </c>
      <c r="V200" s="25">
        <f t="shared" si="70"/>
        <v>3800000</v>
      </c>
      <c r="W200" s="25">
        <f t="shared" si="70"/>
        <v>1000000</v>
      </c>
    </row>
  </sheetData>
  <mergeCells count="34">
    <mergeCell ref="S124:T124"/>
    <mergeCell ref="B2:C4"/>
    <mergeCell ref="B5:B8"/>
    <mergeCell ref="B9:B11"/>
    <mergeCell ref="B12:B15"/>
    <mergeCell ref="B16:C16"/>
    <mergeCell ref="B17:B97"/>
    <mergeCell ref="B98:C98"/>
    <mergeCell ref="B100:C100"/>
    <mergeCell ref="B101:C101"/>
    <mergeCell ref="D106:E106"/>
    <mergeCell ref="D109:BW109"/>
    <mergeCell ref="S123:T123"/>
    <mergeCell ref="BM2:BX2"/>
    <mergeCell ref="E2:P2"/>
    <mergeCell ref="Q2:AB2"/>
    <mergeCell ref="BY90:BZ90"/>
    <mergeCell ref="BZ91:BZ97"/>
    <mergeCell ref="BY98:BZ98"/>
    <mergeCell ref="BY100:BZ100"/>
    <mergeCell ref="BZ5:BZ8"/>
    <mergeCell ref="BZ9:BZ11"/>
    <mergeCell ref="BY16:BZ16"/>
    <mergeCell ref="BZ17:BZ89"/>
    <mergeCell ref="CC17:CC89"/>
    <mergeCell ref="CC5:CC8"/>
    <mergeCell ref="CC9:CC11"/>
    <mergeCell ref="CC12:CC15"/>
    <mergeCell ref="CB16:CC16"/>
    <mergeCell ref="AC2:AN2"/>
    <mergeCell ref="AO2:AZ2"/>
    <mergeCell ref="BA2:BL2"/>
    <mergeCell ref="BY2:BZ4"/>
    <mergeCell ref="BZ12:BZ15"/>
  </mergeCells>
  <conditionalFormatting sqref="E17:BX17 E23:BX23 E26:BX26 E34:BX34 E37:BX37 E49:BX49 E55:BX55 E63:BX63 E87:BX87 E90:BX90">
    <cfRule type="cellIs" dxfId="13" priority="1" operator="equal">
      <formula>0</formula>
    </cfRule>
  </conditionalFormatting>
  <conditionalFormatting sqref="F114:BS117 E115 BT115:BX115 E117 BT117:BX117 E131 F131:BX134 E133 E149:BX149 E163 M163:BX163 F163:L166 E165 M165:BX165 M179:T179 H179:L182 E181:G181 M181:BX181">
    <cfRule type="cellIs" dxfId="12" priority="2" operator="equal">
      <formula>0</formula>
    </cfRule>
  </conditionalFormatting>
  <dataValidations count="1">
    <dataValidation type="list" allowBlank="1" showErrorMessage="1" sqref="CB4" xr:uid="{00000000-0002-0000-1000-000000000000}">
      <formula1>$D$3:$BX$3</formula1>
    </dataValidation>
  </dataValidations>
  <pageMargins left="0" right="0" top="0" bottom="0" header="0" footer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B2:T79"/>
  <sheetViews>
    <sheetView workbookViewId="0"/>
  </sheetViews>
  <sheetFormatPr baseColWidth="10" defaultColWidth="12.6640625" defaultRowHeight="15" customHeight="1"/>
  <sheetData>
    <row r="2" spans="2:20" ht="14">
      <c r="B2" s="816" t="s">
        <v>359</v>
      </c>
      <c r="C2" s="772"/>
      <c r="D2" s="772"/>
      <c r="E2" s="772"/>
      <c r="G2" s="816" t="s">
        <v>360</v>
      </c>
      <c r="H2" s="772"/>
      <c r="I2" s="772"/>
      <c r="J2" s="772"/>
      <c r="L2" s="816" t="s">
        <v>361</v>
      </c>
      <c r="M2" s="772"/>
      <c r="N2" s="772"/>
      <c r="O2" s="772"/>
      <c r="Q2" s="816" t="s">
        <v>362</v>
      </c>
      <c r="R2" s="772"/>
      <c r="S2" s="772"/>
      <c r="T2" s="772"/>
    </row>
    <row r="3" spans="2:20" ht="15" customHeight="1">
      <c r="B3" s="772"/>
      <c r="C3" s="772"/>
      <c r="D3" s="772"/>
      <c r="E3" s="772"/>
      <c r="G3" s="772"/>
      <c r="H3" s="772"/>
      <c r="I3" s="772"/>
      <c r="J3" s="772"/>
      <c r="L3" s="772"/>
      <c r="M3" s="772"/>
      <c r="N3" s="772"/>
      <c r="O3" s="772"/>
      <c r="Q3" s="772"/>
      <c r="R3" s="772"/>
      <c r="S3" s="772"/>
      <c r="T3" s="772"/>
    </row>
    <row r="7" spans="2:20" ht="14">
      <c r="B7" s="340" t="s">
        <v>363</v>
      </c>
      <c r="C7" s="341" t="s">
        <v>364</v>
      </c>
      <c r="D7" s="342" t="s">
        <v>326</v>
      </c>
      <c r="E7" s="343" t="s">
        <v>365</v>
      </c>
      <c r="G7" s="340" t="s">
        <v>363</v>
      </c>
      <c r="H7" s="341" t="s">
        <v>364</v>
      </c>
      <c r="I7" s="342" t="s">
        <v>326</v>
      </c>
      <c r="J7" s="343" t="s">
        <v>365</v>
      </c>
      <c r="L7" s="340" t="s">
        <v>363</v>
      </c>
      <c r="M7" s="341" t="s">
        <v>364</v>
      </c>
      <c r="N7" s="342" t="s">
        <v>326</v>
      </c>
      <c r="O7" s="343" t="s">
        <v>365</v>
      </c>
      <c r="Q7" s="340" t="s">
        <v>363</v>
      </c>
      <c r="R7" s="341" t="s">
        <v>364</v>
      </c>
      <c r="S7" s="342" t="s">
        <v>326</v>
      </c>
      <c r="T7" s="343" t="s">
        <v>365</v>
      </c>
    </row>
    <row r="8" spans="2:20" ht="14">
      <c r="B8" s="344">
        <v>45292</v>
      </c>
      <c r="C8" s="345">
        <f t="array" ref="C8:C79">TRANSPOSE('Cash-flow PLAN'!E110:BX110)</f>
        <v>0</v>
      </c>
      <c r="D8" s="346">
        <f>0-C8</f>
        <v>0</v>
      </c>
      <c r="E8" s="347">
        <f>D8*'Cash-flow PLAN'!$D$54/12</f>
        <v>0</v>
      </c>
      <c r="G8" s="344">
        <v>45292</v>
      </c>
      <c r="H8" s="348">
        <f t="array" ref="H8:H79">TRANSPOSE('Cash-flow FAKT'!E128:BX128)</f>
        <v>0</v>
      </c>
      <c r="I8" s="346">
        <f>0-H8</f>
        <v>0</v>
      </c>
      <c r="J8" s="347">
        <f>I8*'Cash-flow PLAN'!$D$55/12</f>
        <v>0</v>
      </c>
      <c r="L8" s="344">
        <v>45292</v>
      </c>
      <c r="M8" s="348">
        <f t="array" ref="M8:M79">TRANSPOSE('Cash-flow PLAN'!E142:BX142)</f>
        <v>0</v>
      </c>
      <c r="N8" s="346">
        <f>0-M8</f>
        <v>0</v>
      </c>
      <c r="O8" s="347">
        <f>N8*'Cash-flow PLAN'!$D$56/12</f>
        <v>0</v>
      </c>
      <c r="Q8" s="344">
        <v>45292</v>
      </c>
      <c r="R8" s="345">
        <f t="array" ref="R8:R79">TRANSPOSE('Cash-flow PLAN'!E159:BX159)</f>
        <v>0</v>
      </c>
      <c r="S8" s="346">
        <f>0-R8</f>
        <v>0</v>
      </c>
      <c r="T8" s="347">
        <f>S8*'Cash-flow PLAN'!$D$57/12</f>
        <v>0</v>
      </c>
    </row>
    <row r="9" spans="2:20" ht="14">
      <c r="B9" s="349">
        <v>45323</v>
      </c>
      <c r="C9" s="345">
        <v>0</v>
      </c>
      <c r="D9" s="346">
        <f t="shared" ref="D9:D78" si="0">D8-C9</f>
        <v>0</v>
      </c>
      <c r="E9" s="347">
        <f>D9*'Cash-flow PLAN'!$D$54/12</f>
        <v>0</v>
      </c>
      <c r="G9" s="349">
        <v>45323</v>
      </c>
      <c r="H9" s="345">
        <v>0</v>
      </c>
      <c r="I9" s="346">
        <f t="shared" ref="I9:I12" si="1">I8-H9</f>
        <v>0</v>
      </c>
      <c r="J9" s="347">
        <f>I9*'Cash-flow PLAN'!$D$55/12</f>
        <v>0</v>
      </c>
      <c r="L9" s="349">
        <v>45323</v>
      </c>
      <c r="M9" s="345">
        <v>0</v>
      </c>
      <c r="N9" s="346">
        <f t="shared" ref="N9:N78" si="2">N8-M9</f>
        <v>0</v>
      </c>
      <c r="O9" s="347">
        <f>N9*'Cash-flow PLAN'!$D$56/12</f>
        <v>0</v>
      </c>
      <c r="Q9" s="349">
        <v>45323</v>
      </c>
      <c r="R9" s="345">
        <v>0</v>
      </c>
      <c r="S9" s="346">
        <f t="shared" ref="S9:S78" si="3">S8-R9</f>
        <v>0</v>
      </c>
      <c r="T9" s="347">
        <f>S9*'Cash-flow PLAN'!$D$57/12</f>
        <v>0</v>
      </c>
    </row>
    <row r="10" spans="2:20" ht="14">
      <c r="B10" s="349">
        <v>45352</v>
      </c>
      <c r="C10" s="345">
        <v>0</v>
      </c>
      <c r="D10" s="346">
        <f t="shared" si="0"/>
        <v>0</v>
      </c>
      <c r="E10" s="347">
        <f>D10*'Cash-flow PLAN'!$D$54/12</f>
        <v>0</v>
      </c>
      <c r="G10" s="349">
        <v>45352</v>
      </c>
      <c r="H10" s="345">
        <v>0</v>
      </c>
      <c r="I10" s="346">
        <f t="shared" si="1"/>
        <v>0</v>
      </c>
      <c r="J10" s="347">
        <f>I10*'Cash-flow PLAN'!$D$55/12</f>
        <v>0</v>
      </c>
      <c r="L10" s="349">
        <v>45352</v>
      </c>
      <c r="M10" s="345">
        <v>0</v>
      </c>
      <c r="N10" s="346">
        <f t="shared" si="2"/>
        <v>0</v>
      </c>
      <c r="O10" s="347">
        <f>N10*'Cash-flow PLAN'!$D$56/12</f>
        <v>0</v>
      </c>
      <c r="Q10" s="349">
        <v>45352</v>
      </c>
      <c r="R10" s="345">
        <v>0</v>
      </c>
      <c r="S10" s="346">
        <f t="shared" si="3"/>
        <v>0</v>
      </c>
      <c r="T10" s="347">
        <f>S10*'Cash-flow PLAN'!$D$57/12</f>
        <v>0</v>
      </c>
    </row>
    <row r="11" spans="2:20" ht="14">
      <c r="B11" s="349">
        <v>45383</v>
      </c>
      <c r="C11" s="345">
        <v>-16365002</v>
      </c>
      <c r="D11" s="346">
        <f t="shared" si="0"/>
        <v>16365002</v>
      </c>
      <c r="E11" s="347">
        <f>D11*'Cash-flow PLAN'!$D$54/12</f>
        <v>143193.76749999999</v>
      </c>
      <c r="G11" s="349">
        <v>45383</v>
      </c>
      <c r="H11" s="345">
        <v>0</v>
      </c>
      <c r="I11" s="346">
        <f t="shared" si="1"/>
        <v>0</v>
      </c>
      <c r="J11" s="347">
        <f>I11*'Cash-flow PLAN'!$D$55/12</f>
        <v>0</v>
      </c>
      <c r="L11" s="349">
        <v>45383</v>
      </c>
      <c r="M11" s="345">
        <v>-10682501</v>
      </c>
      <c r="N11" s="346">
        <f t="shared" si="2"/>
        <v>10682501</v>
      </c>
      <c r="O11" s="347">
        <f>N11*'Cash-flow PLAN'!$D$56/12</f>
        <v>93471.883749999994</v>
      </c>
      <c r="Q11" s="349">
        <v>45383</v>
      </c>
      <c r="R11" s="345">
        <v>0</v>
      </c>
      <c r="S11" s="346">
        <f t="shared" si="3"/>
        <v>0</v>
      </c>
      <c r="T11" s="347">
        <f>S11*'Cash-flow PLAN'!$D$57/12</f>
        <v>0</v>
      </c>
    </row>
    <row r="12" spans="2:20" ht="14">
      <c r="B12" s="349">
        <v>45413</v>
      </c>
      <c r="C12" s="345">
        <v>-1000000</v>
      </c>
      <c r="D12" s="346">
        <f t="shared" si="0"/>
        <v>17365002</v>
      </c>
      <c r="E12" s="347">
        <f>D12*'Cash-flow PLAN'!$D$54/12</f>
        <v>151943.76749999999</v>
      </c>
      <c r="G12" s="349">
        <v>45413</v>
      </c>
      <c r="H12" s="345">
        <v>0</v>
      </c>
      <c r="I12" s="346">
        <f t="shared" si="1"/>
        <v>0</v>
      </c>
      <c r="J12" s="347">
        <f>I12*'Cash-flow PLAN'!$D$55/12</f>
        <v>0</v>
      </c>
      <c r="L12" s="349">
        <v>45413</v>
      </c>
      <c r="M12" s="345">
        <v>0</v>
      </c>
      <c r="N12" s="346">
        <f t="shared" si="2"/>
        <v>10682501</v>
      </c>
      <c r="O12" s="347">
        <f>N12*'Cash-flow PLAN'!$D$56/12</f>
        <v>93471.883749999994</v>
      </c>
      <c r="Q12" s="349">
        <v>45413</v>
      </c>
      <c r="R12" s="345">
        <v>0</v>
      </c>
      <c r="S12" s="346">
        <f t="shared" si="3"/>
        <v>0</v>
      </c>
      <c r="T12" s="347">
        <f>S12*'Cash-flow PLAN'!$D$57/12</f>
        <v>0</v>
      </c>
    </row>
    <row r="13" spans="2:20" ht="14">
      <c r="B13" s="350">
        <v>45444</v>
      </c>
      <c r="C13" s="345">
        <v>0</v>
      </c>
      <c r="D13" s="346">
        <f t="shared" si="0"/>
        <v>17365002</v>
      </c>
      <c r="E13" s="347">
        <f>D13*'Cash-flow PLAN'!$D$54/12</f>
        <v>151943.76749999999</v>
      </c>
      <c r="G13" s="350">
        <v>45444</v>
      </c>
      <c r="H13" s="345">
        <v>-7870667</v>
      </c>
      <c r="I13" s="346" t="e">
        <f>I12-#REF!</f>
        <v>#REF!</v>
      </c>
      <c r="J13" s="347" t="e">
        <f>I13*'Cash-flow PLAN'!$D$55/12</f>
        <v>#REF!</v>
      </c>
      <c r="L13" s="350">
        <v>45444</v>
      </c>
      <c r="M13" s="345">
        <v>0</v>
      </c>
      <c r="N13" s="346">
        <f t="shared" si="2"/>
        <v>10682501</v>
      </c>
      <c r="O13" s="347">
        <f>N13*'Cash-flow PLAN'!$D$56/12</f>
        <v>93471.883749999994</v>
      </c>
      <c r="Q13" s="350">
        <v>45444</v>
      </c>
      <c r="R13" s="345">
        <v>0</v>
      </c>
      <c r="S13" s="346">
        <f t="shared" si="3"/>
        <v>0</v>
      </c>
      <c r="T13" s="347">
        <f>S13*'Cash-flow PLAN'!$D$57/12</f>
        <v>0</v>
      </c>
    </row>
    <row r="14" spans="2:20" ht="14">
      <c r="B14" s="349">
        <v>45474</v>
      </c>
      <c r="C14" s="345">
        <v>0</v>
      </c>
      <c r="D14" s="346">
        <f t="shared" si="0"/>
        <v>17365002</v>
      </c>
      <c r="E14" s="347">
        <f>D14*'Cash-flow PLAN'!$D$54/12</f>
        <v>151943.76749999999</v>
      </c>
      <c r="G14" s="349">
        <v>45474</v>
      </c>
      <c r="H14" s="345">
        <v>0</v>
      </c>
      <c r="I14" s="346" t="e">
        <f>I13-H13</f>
        <v>#REF!</v>
      </c>
      <c r="J14" s="347" t="e">
        <f>I14*'Cash-flow PLAN'!$D$55/12</f>
        <v>#REF!</v>
      </c>
      <c r="L14" s="349">
        <v>45474</v>
      </c>
      <c r="M14" s="345">
        <v>0</v>
      </c>
      <c r="N14" s="346">
        <f t="shared" si="2"/>
        <v>10682501</v>
      </c>
      <c r="O14" s="347">
        <f>N14*'Cash-flow PLAN'!$D$56/12</f>
        <v>93471.883749999994</v>
      </c>
      <c r="Q14" s="349">
        <v>45474</v>
      </c>
      <c r="R14" s="345">
        <v>0</v>
      </c>
      <c r="S14" s="346">
        <f t="shared" si="3"/>
        <v>0</v>
      </c>
      <c r="T14" s="347">
        <f>S14*'Cash-flow PLAN'!$D$57/12</f>
        <v>0</v>
      </c>
    </row>
    <row r="15" spans="2:20" ht="14">
      <c r="B15" s="349">
        <v>45505</v>
      </c>
      <c r="C15" s="345">
        <v>0</v>
      </c>
      <c r="D15" s="346">
        <f t="shared" si="0"/>
        <v>17365002</v>
      </c>
      <c r="E15" s="347">
        <f>D15*'Cash-flow PLAN'!$D$54/12</f>
        <v>151943.76749999999</v>
      </c>
      <c r="G15" s="349">
        <v>45505</v>
      </c>
      <c r="H15" s="345">
        <v>0</v>
      </c>
      <c r="I15" s="346" t="e">
        <f t="shared" ref="I15:I78" si="4">I14-H15</f>
        <v>#REF!</v>
      </c>
      <c r="J15" s="347" t="e">
        <f>I15*'Cash-flow PLAN'!$D$55/12</f>
        <v>#REF!</v>
      </c>
      <c r="L15" s="349">
        <v>45505</v>
      </c>
      <c r="M15" s="345">
        <v>0</v>
      </c>
      <c r="N15" s="346">
        <f t="shared" si="2"/>
        <v>10682501</v>
      </c>
      <c r="O15" s="347">
        <f>N15*'Cash-flow PLAN'!$D$56/12</f>
        <v>93471.883749999994</v>
      </c>
      <c r="Q15" s="349">
        <v>45505</v>
      </c>
      <c r="R15" s="345">
        <v>0</v>
      </c>
      <c r="S15" s="346">
        <f t="shared" si="3"/>
        <v>0</v>
      </c>
      <c r="T15" s="347">
        <f>S15*'Cash-flow PLAN'!$D$57/12</f>
        <v>0</v>
      </c>
    </row>
    <row r="16" spans="2:20" ht="14">
      <c r="B16" s="349">
        <v>45536</v>
      </c>
      <c r="C16" s="345">
        <v>0</v>
      </c>
      <c r="D16" s="346">
        <f t="shared" si="0"/>
        <v>17365002</v>
      </c>
      <c r="E16" s="347">
        <f>D16*'Cash-flow PLAN'!$D$54/12</f>
        <v>151943.76749999999</v>
      </c>
      <c r="G16" s="349">
        <v>45536</v>
      </c>
      <c r="H16" s="345">
        <v>0</v>
      </c>
      <c r="I16" s="346" t="e">
        <f t="shared" si="4"/>
        <v>#REF!</v>
      </c>
      <c r="J16" s="347" t="e">
        <f>I16*'Cash-flow PLAN'!$D$55/12</f>
        <v>#REF!</v>
      </c>
      <c r="L16" s="349">
        <v>45536</v>
      </c>
      <c r="M16" s="345">
        <v>0</v>
      </c>
      <c r="N16" s="346">
        <f t="shared" si="2"/>
        <v>10682501</v>
      </c>
      <c r="O16" s="347">
        <f>N16*'Cash-flow PLAN'!$D$56/12</f>
        <v>93471.883749999994</v>
      </c>
      <c r="Q16" s="349">
        <v>45536</v>
      </c>
      <c r="R16" s="345">
        <v>0</v>
      </c>
      <c r="S16" s="346">
        <f t="shared" si="3"/>
        <v>0</v>
      </c>
      <c r="T16" s="347">
        <f>S16*'Cash-flow PLAN'!$D$57/12</f>
        <v>0</v>
      </c>
    </row>
    <row r="17" spans="2:20" ht="14">
      <c r="B17" s="349">
        <v>45566</v>
      </c>
      <c r="C17" s="345">
        <v>0</v>
      </c>
      <c r="D17" s="346">
        <f t="shared" si="0"/>
        <v>17365002</v>
      </c>
      <c r="E17" s="347">
        <f>D17*'Cash-flow PLAN'!$D$54/12</f>
        <v>151943.76749999999</v>
      </c>
      <c r="G17" s="349">
        <v>45566</v>
      </c>
      <c r="H17" s="345">
        <v>0</v>
      </c>
      <c r="I17" s="346" t="e">
        <f t="shared" si="4"/>
        <v>#REF!</v>
      </c>
      <c r="J17" s="347" t="e">
        <f>I17*'Cash-flow PLAN'!$D$55/12</f>
        <v>#REF!</v>
      </c>
      <c r="L17" s="349">
        <v>45566</v>
      </c>
      <c r="M17" s="345">
        <v>0</v>
      </c>
      <c r="N17" s="346">
        <f t="shared" si="2"/>
        <v>10682501</v>
      </c>
      <c r="O17" s="347">
        <f>N17*'Cash-flow PLAN'!$D$56/12</f>
        <v>93471.883749999994</v>
      </c>
      <c r="Q17" s="349">
        <v>45566</v>
      </c>
      <c r="R17" s="345">
        <v>0</v>
      </c>
      <c r="S17" s="346">
        <f t="shared" si="3"/>
        <v>0</v>
      </c>
      <c r="T17" s="347">
        <f>S17*'Cash-flow PLAN'!$D$57/12</f>
        <v>0</v>
      </c>
    </row>
    <row r="18" spans="2:20" ht="14">
      <c r="B18" s="349">
        <v>45597</v>
      </c>
      <c r="C18" s="345">
        <v>-3000000</v>
      </c>
      <c r="D18" s="346">
        <f t="shared" si="0"/>
        <v>20365002</v>
      </c>
      <c r="E18" s="347">
        <f>D18*'Cash-flow PLAN'!$D$54/12</f>
        <v>178193.76749999999</v>
      </c>
      <c r="G18" s="349">
        <v>45597</v>
      </c>
      <c r="H18" s="345">
        <v>0</v>
      </c>
      <c r="I18" s="346" t="e">
        <f t="shared" si="4"/>
        <v>#REF!</v>
      </c>
      <c r="J18" s="347" t="e">
        <f>I18*'Cash-flow PLAN'!$D$55/12</f>
        <v>#REF!</v>
      </c>
      <c r="L18" s="349">
        <v>45597</v>
      </c>
      <c r="M18" s="345">
        <v>0</v>
      </c>
      <c r="N18" s="346">
        <f t="shared" si="2"/>
        <v>10682501</v>
      </c>
      <c r="O18" s="347">
        <f>N18*'Cash-flow PLAN'!$D$56/12</f>
        <v>93471.883749999994</v>
      </c>
      <c r="Q18" s="349">
        <v>45597</v>
      </c>
      <c r="R18" s="345">
        <v>0</v>
      </c>
      <c r="S18" s="346">
        <f t="shared" si="3"/>
        <v>0</v>
      </c>
      <c r="T18" s="347">
        <f>S18*'Cash-flow PLAN'!$D$57/12</f>
        <v>0</v>
      </c>
    </row>
    <row r="19" spans="2:20" ht="14">
      <c r="B19" s="349">
        <v>45627</v>
      </c>
      <c r="C19" s="345">
        <v>-2100000</v>
      </c>
      <c r="D19" s="346">
        <f t="shared" si="0"/>
        <v>22465002</v>
      </c>
      <c r="E19" s="347">
        <f>D19*'Cash-flow PLAN'!$D$54/12</f>
        <v>196568.76749999999</v>
      </c>
      <c r="G19" s="349">
        <v>45627</v>
      </c>
      <c r="H19" s="345">
        <v>0</v>
      </c>
      <c r="I19" s="346" t="e">
        <f t="shared" si="4"/>
        <v>#REF!</v>
      </c>
      <c r="J19" s="347" t="e">
        <f>I19*'Cash-flow PLAN'!$D$55/12</f>
        <v>#REF!</v>
      </c>
      <c r="L19" s="349">
        <v>45627</v>
      </c>
      <c r="M19" s="345">
        <v>0</v>
      </c>
      <c r="N19" s="346">
        <f t="shared" si="2"/>
        <v>10682501</v>
      </c>
      <c r="O19" s="347">
        <f>N19*'Cash-flow PLAN'!$D$56/12</f>
        <v>93471.883749999994</v>
      </c>
      <c r="Q19" s="349">
        <v>45627</v>
      </c>
      <c r="R19" s="345">
        <v>0</v>
      </c>
      <c r="S19" s="346">
        <f t="shared" si="3"/>
        <v>0</v>
      </c>
      <c r="T19" s="347">
        <f>S19*'Cash-flow PLAN'!$D$57/12</f>
        <v>0</v>
      </c>
    </row>
    <row r="20" spans="2:20" ht="14">
      <c r="B20" s="344">
        <v>45658</v>
      </c>
      <c r="C20" s="345">
        <v>0</v>
      </c>
      <c r="D20" s="346">
        <f t="shared" si="0"/>
        <v>22465002</v>
      </c>
      <c r="E20" s="347">
        <f>D20*'Cash-flow PLAN'!$D$54/12</f>
        <v>196568.76749999999</v>
      </c>
      <c r="G20" s="344">
        <v>45658</v>
      </c>
      <c r="H20" s="345">
        <v>0</v>
      </c>
      <c r="I20" s="346" t="e">
        <f t="shared" si="4"/>
        <v>#REF!</v>
      </c>
      <c r="J20" s="347" t="e">
        <f>I20*'Cash-flow PLAN'!$D$55/12</f>
        <v>#REF!</v>
      </c>
      <c r="L20" s="344">
        <v>45658</v>
      </c>
      <c r="M20" s="345">
        <v>0</v>
      </c>
      <c r="N20" s="346">
        <f t="shared" si="2"/>
        <v>10682501</v>
      </c>
      <c r="O20" s="347">
        <f>N20*'Cash-flow PLAN'!$D$56/12</f>
        <v>93471.883749999994</v>
      </c>
      <c r="Q20" s="344">
        <v>45658</v>
      </c>
      <c r="R20" s="345">
        <v>0</v>
      </c>
      <c r="S20" s="346">
        <f t="shared" si="3"/>
        <v>0</v>
      </c>
      <c r="T20" s="347">
        <f>S20*'Cash-flow PLAN'!$D$57/12</f>
        <v>0</v>
      </c>
    </row>
    <row r="21" spans="2:20" ht="14">
      <c r="B21" s="349">
        <v>45689</v>
      </c>
      <c r="C21" s="345">
        <v>0</v>
      </c>
      <c r="D21" s="346">
        <f t="shared" si="0"/>
        <v>22465002</v>
      </c>
      <c r="E21" s="347">
        <f>D21*'Cash-flow PLAN'!$D$54/12</f>
        <v>196568.76749999999</v>
      </c>
      <c r="G21" s="349">
        <v>45689</v>
      </c>
      <c r="H21" s="345">
        <v>0</v>
      </c>
      <c r="I21" s="346" t="e">
        <f t="shared" si="4"/>
        <v>#REF!</v>
      </c>
      <c r="J21" s="347" t="e">
        <f>I21*'Cash-flow PLAN'!$D$55/12</f>
        <v>#REF!</v>
      </c>
      <c r="L21" s="349">
        <v>45689</v>
      </c>
      <c r="M21" s="345">
        <v>0</v>
      </c>
      <c r="N21" s="346">
        <f t="shared" si="2"/>
        <v>10682501</v>
      </c>
      <c r="O21" s="347">
        <f>N21*'Cash-flow PLAN'!$D$56/12</f>
        <v>93471.883749999994</v>
      </c>
      <c r="Q21" s="349">
        <v>45689</v>
      </c>
      <c r="R21" s="345">
        <v>0</v>
      </c>
      <c r="S21" s="346">
        <f t="shared" si="3"/>
        <v>0</v>
      </c>
      <c r="T21" s="347">
        <f>S21*'Cash-flow PLAN'!$D$57/12</f>
        <v>0</v>
      </c>
    </row>
    <row r="22" spans="2:20" ht="14">
      <c r="B22" s="349">
        <v>45717</v>
      </c>
      <c r="C22" s="345">
        <v>0</v>
      </c>
      <c r="D22" s="346">
        <f t="shared" si="0"/>
        <v>22465002</v>
      </c>
      <c r="E22" s="347">
        <f>D22*'Cash-flow PLAN'!$D$54/12</f>
        <v>196568.76749999999</v>
      </c>
      <c r="G22" s="349">
        <v>45717</v>
      </c>
      <c r="H22" s="345">
        <v>0</v>
      </c>
      <c r="I22" s="346" t="e">
        <f t="shared" si="4"/>
        <v>#REF!</v>
      </c>
      <c r="J22" s="347" t="e">
        <f>I22*'Cash-flow PLAN'!$D$55/12</f>
        <v>#REF!</v>
      </c>
      <c r="L22" s="349">
        <v>45717</v>
      </c>
      <c r="M22" s="345">
        <v>0</v>
      </c>
      <c r="N22" s="346">
        <f t="shared" si="2"/>
        <v>10682501</v>
      </c>
      <c r="O22" s="347">
        <f>N22*'Cash-flow PLAN'!$D$56/12</f>
        <v>93471.883749999994</v>
      </c>
      <c r="Q22" s="349">
        <v>45717</v>
      </c>
      <c r="R22" s="345">
        <v>0</v>
      </c>
      <c r="S22" s="346">
        <f t="shared" si="3"/>
        <v>0</v>
      </c>
      <c r="T22" s="347">
        <f>S22*'Cash-flow PLAN'!$D$57/12</f>
        <v>0</v>
      </c>
    </row>
    <row r="23" spans="2:20" ht="14">
      <c r="B23" s="349">
        <v>45748</v>
      </c>
      <c r="C23" s="345">
        <v>22465002</v>
      </c>
      <c r="D23" s="346">
        <f t="shared" si="0"/>
        <v>0</v>
      </c>
      <c r="E23" s="347">
        <f>D23*'Cash-flow PLAN'!$D$54/12</f>
        <v>0</v>
      </c>
      <c r="G23" s="349">
        <v>45748</v>
      </c>
      <c r="H23" s="345">
        <v>7870667</v>
      </c>
      <c r="I23" s="346" t="e">
        <f t="shared" si="4"/>
        <v>#REF!</v>
      </c>
      <c r="J23" s="347" t="e">
        <f>I23*'Cash-flow PLAN'!$D$55/12</f>
        <v>#REF!</v>
      </c>
      <c r="L23" s="349">
        <v>45748</v>
      </c>
      <c r="M23" s="345">
        <v>10682501</v>
      </c>
      <c r="N23" s="346">
        <f t="shared" si="2"/>
        <v>0</v>
      </c>
      <c r="O23" s="347">
        <f>N23*'Cash-flow PLAN'!$D$56/12</f>
        <v>0</v>
      </c>
      <c r="Q23" s="349">
        <v>45748</v>
      </c>
      <c r="R23" s="345">
        <v>0</v>
      </c>
      <c r="S23" s="346">
        <f t="shared" si="3"/>
        <v>0</v>
      </c>
      <c r="T23" s="347">
        <f>S23*'Cash-flow PLAN'!$D$57/12</f>
        <v>0</v>
      </c>
    </row>
    <row r="24" spans="2:20" ht="14">
      <c r="B24" s="349">
        <v>45778</v>
      </c>
      <c r="C24" s="345">
        <v>0</v>
      </c>
      <c r="D24" s="346">
        <f t="shared" si="0"/>
        <v>0</v>
      </c>
      <c r="E24" s="347">
        <f>D24*'Cash-flow PLAN'!$D$54/12</f>
        <v>0</v>
      </c>
      <c r="G24" s="349">
        <v>45778</v>
      </c>
      <c r="H24" s="345">
        <v>0</v>
      </c>
      <c r="I24" s="346" t="e">
        <f t="shared" si="4"/>
        <v>#REF!</v>
      </c>
      <c r="J24" s="347" t="e">
        <f>I24*'Cash-flow PLAN'!$D$55/12</f>
        <v>#REF!</v>
      </c>
      <c r="L24" s="349">
        <v>45778</v>
      </c>
      <c r="M24" s="345">
        <v>0</v>
      </c>
      <c r="N24" s="346">
        <f t="shared" si="2"/>
        <v>0</v>
      </c>
      <c r="O24" s="347">
        <f>N24*'Cash-flow PLAN'!$D$56/12</f>
        <v>0</v>
      </c>
      <c r="Q24" s="349">
        <v>45778</v>
      </c>
      <c r="R24" s="345">
        <v>0</v>
      </c>
      <c r="S24" s="346">
        <f t="shared" si="3"/>
        <v>0</v>
      </c>
      <c r="T24" s="347">
        <f>S24*'Cash-flow PLAN'!$D$57/12</f>
        <v>0</v>
      </c>
    </row>
    <row r="25" spans="2:20" ht="14">
      <c r="B25" s="350">
        <v>45809</v>
      </c>
      <c r="C25" s="345">
        <v>0</v>
      </c>
      <c r="D25" s="346">
        <f t="shared" si="0"/>
        <v>0</v>
      </c>
      <c r="E25" s="347">
        <f>D25*'Cash-flow PLAN'!$D$54/12</f>
        <v>0</v>
      </c>
      <c r="G25" s="350">
        <v>45809</v>
      </c>
      <c r="H25" s="345">
        <v>0</v>
      </c>
      <c r="I25" s="346" t="e">
        <f t="shared" si="4"/>
        <v>#REF!</v>
      </c>
      <c r="J25" s="347" t="e">
        <f>I25*'Cash-flow PLAN'!$D$55/12</f>
        <v>#REF!</v>
      </c>
      <c r="L25" s="350">
        <v>45809</v>
      </c>
      <c r="M25" s="345">
        <v>0</v>
      </c>
      <c r="N25" s="346">
        <f t="shared" si="2"/>
        <v>0</v>
      </c>
      <c r="O25" s="347">
        <f>N25*'Cash-flow PLAN'!$D$56/12</f>
        <v>0</v>
      </c>
      <c r="Q25" s="350">
        <v>45809</v>
      </c>
      <c r="R25" s="345">
        <v>0</v>
      </c>
      <c r="S25" s="346">
        <f t="shared" si="3"/>
        <v>0</v>
      </c>
      <c r="T25" s="347">
        <f>S25*'Cash-flow PLAN'!$D$57/12</f>
        <v>0</v>
      </c>
    </row>
    <row r="26" spans="2:20" ht="14">
      <c r="B26" s="349">
        <v>45839</v>
      </c>
      <c r="C26" s="345">
        <v>0</v>
      </c>
      <c r="D26" s="346">
        <f t="shared" si="0"/>
        <v>0</v>
      </c>
      <c r="E26" s="347">
        <f>D26*'Cash-flow PLAN'!$D$54/12</f>
        <v>0</v>
      </c>
      <c r="G26" s="349">
        <v>45839</v>
      </c>
      <c r="H26" s="345">
        <v>0</v>
      </c>
      <c r="I26" s="346" t="e">
        <f t="shared" si="4"/>
        <v>#REF!</v>
      </c>
      <c r="J26" s="347" t="e">
        <f>I26*'Cash-flow PLAN'!$D$55/12</f>
        <v>#REF!</v>
      </c>
      <c r="L26" s="349">
        <v>45839</v>
      </c>
      <c r="M26" s="345">
        <v>0</v>
      </c>
      <c r="N26" s="346">
        <f t="shared" si="2"/>
        <v>0</v>
      </c>
      <c r="O26" s="347">
        <f>N26*'Cash-flow PLAN'!$D$56/12</f>
        <v>0</v>
      </c>
      <c r="Q26" s="349">
        <v>45839</v>
      </c>
      <c r="R26" s="345">
        <v>0</v>
      </c>
      <c r="S26" s="346">
        <f t="shared" si="3"/>
        <v>0</v>
      </c>
      <c r="T26" s="347">
        <f>S26*'Cash-flow PLAN'!$D$57/12</f>
        <v>0</v>
      </c>
    </row>
    <row r="27" spans="2:20" ht="14">
      <c r="B27" s="349">
        <v>45870</v>
      </c>
      <c r="C27" s="345">
        <v>0</v>
      </c>
      <c r="D27" s="346">
        <f t="shared" si="0"/>
        <v>0</v>
      </c>
      <c r="E27" s="347">
        <f>D27*'Cash-flow PLAN'!$D$54/12</f>
        <v>0</v>
      </c>
      <c r="G27" s="349">
        <v>45870</v>
      </c>
      <c r="H27" s="345">
        <v>0</v>
      </c>
      <c r="I27" s="346" t="e">
        <f t="shared" si="4"/>
        <v>#REF!</v>
      </c>
      <c r="J27" s="347" t="e">
        <f>I27*'Cash-flow PLAN'!$D$55/12</f>
        <v>#REF!</v>
      </c>
      <c r="L27" s="349">
        <v>45870</v>
      </c>
      <c r="M27" s="345">
        <v>0</v>
      </c>
      <c r="N27" s="346">
        <f t="shared" si="2"/>
        <v>0</v>
      </c>
      <c r="O27" s="347">
        <f>N27*'Cash-flow PLAN'!$D$56/12</f>
        <v>0</v>
      </c>
      <c r="Q27" s="349">
        <v>45870</v>
      </c>
      <c r="R27" s="345">
        <v>0</v>
      </c>
      <c r="S27" s="346">
        <f t="shared" si="3"/>
        <v>0</v>
      </c>
      <c r="T27" s="347">
        <f>S27*'Cash-flow PLAN'!$D$57/12</f>
        <v>0</v>
      </c>
    </row>
    <row r="28" spans="2:20" ht="14">
      <c r="B28" s="349">
        <v>45901</v>
      </c>
      <c r="C28" s="345">
        <v>0</v>
      </c>
      <c r="D28" s="346">
        <f t="shared" si="0"/>
        <v>0</v>
      </c>
      <c r="E28" s="347">
        <f>D28*'Cash-flow PLAN'!$D$54/12</f>
        <v>0</v>
      </c>
      <c r="G28" s="349">
        <v>45901</v>
      </c>
      <c r="H28" s="345">
        <v>0</v>
      </c>
      <c r="I28" s="346" t="e">
        <f t="shared" si="4"/>
        <v>#REF!</v>
      </c>
      <c r="J28" s="347" t="e">
        <f>I28*'Cash-flow PLAN'!$D$55/12</f>
        <v>#REF!</v>
      </c>
      <c r="L28" s="349">
        <v>45901</v>
      </c>
      <c r="M28" s="345">
        <v>0</v>
      </c>
      <c r="N28" s="346">
        <f t="shared" si="2"/>
        <v>0</v>
      </c>
      <c r="O28" s="347">
        <f>N28*'Cash-flow PLAN'!$D$56/12</f>
        <v>0</v>
      </c>
      <c r="Q28" s="349">
        <v>45901</v>
      </c>
      <c r="R28" s="345">
        <v>0</v>
      </c>
      <c r="S28" s="346">
        <f t="shared" si="3"/>
        <v>0</v>
      </c>
      <c r="T28" s="347">
        <f>S28*'Cash-flow PLAN'!$D$57/12</f>
        <v>0</v>
      </c>
    </row>
    <row r="29" spans="2:20" ht="14">
      <c r="B29" s="349">
        <v>45931</v>
      </c>
      <c r="C29" s="345">
        <v>0</v>
      </c>
      <c r="D29" s="346">
        <f t="shared" si="0"/>
        <v>0</v>
      </c>
      <c r="E29" s="347">
        <f>D29*'Cash-flow PLAN'!$D$54/12</f>
        <v>0</v>
      </c>
      <c r="G29" s="349">
        <v>45931</v>
      </c>
      <c r="H29" s="345">
        <v>0</v>
      </c>
      <c r="I29" s="346" t="e">
        <f t="shared" si="4"/>
        <v>#REF!</v>
      </c>
      <c r="J29" s="347" t="e">
        <f>I29*'Cash-flow PLAN'!$D$55/12</f>
        <v>#REF!</v>
      </c>
      <c r="L29" s="349">
        <v>45931</v>
      </c>
      <c r="M29" s="345">
        <v>0</v>
      </c>
      <c r="N29" s="346">
        <f t="shared" si="2"/>
        <v>0</v>
      </c>
      <c r="O29" s="347">
        <f>N29*'Cash-flow PLAN'!$D$56/12</f>
        <v>0</v>
      </c>
      <c r="Q29" s="349">
        <v>45931</v>
      </c>
      <c r="R29" s="345">
        <v>0</v>
      </c>
      <c r="S29" s="346">
        <f t="shared" si="3"/>
        <v>0</v>
      </c>
      <c r="T29" s="347">
        <f>S29*'Cash-flow PLAN'!$D$57/12</f>
        <v>0</v>
      </c>
    </row>
    <row r="30" spans="2:20" ht="14">
      <c r="B30" s="349">
        <v>45962</v>
      </c>
      <c r="C30" s="345">
        <v>0</v>
      </c>
      <c r="D30" s="346">
        <f t="shared" si="0"/>
        <v>0</v>
      </c>
      <c r="E30" s="347">
        <f>D30*'Cash-flow PLAN'!$D$54/12</f>
        <v>0</v>
      </c>
      <c r="G30" s="349">
        <v>45962</v>
      </c>
      <c r="H30" s="345">
        <v>0</v>
      </c>
      <c r="I30" s="346" t="e">
        <f t="shared" si="4"/>
        <v>#REF!</v>
      </c>
      <c r="J30" s="347" t="e">
        <f>I30*'Cash-flow PLAN'!$D$55/12</f>
        <v>#REF!</v>
      </c>
      <c r="L30" s="349">
        <v>45962</v>
      </c>
      <c r="M30" s="345">
        <v>0</v>
      </c>
      <c r="N30" s="346">
        <f t="shared" si="2"/>
        <v>0</v>
      </c>
      <c r="O30" s="347">
        <f>N30*'Cash-flow PLAN'!$D$56/12</f>
        <v>0</v>
      </c>
      <c r="Q30" s="349">
        <v>45962</v>
      </c>
      <c r="R30" s="345">
        <v>0</v>
      </c>
      <c r="S30" s="346">
        <f t="shared" si="3"/>
        <v>0</v>
      </c>
      <c r="T30" s="347">
        <f>S30*'Cash-flow PLAN'!$D$57/12</f>
        <v>0</v>
      </c>
    </row>
    <row r="31" spans="2:20" ht="14">
      <c r="B31" s="349">
        <v>45992</v>
      </c>
      <c r="C31" s="345">
        <v>0</v>
      </c>
      <c r="D31" s="346">
        <f t="shared" si="0"/>
        <v>0</v>
      </c>
      <c r="E31" s="347">
        <f>D31*'Cash-flow PLAN'!$D$54/12</f>
        <v>0</v>
      </c>
      <c r="G31" s="349">
        <v>45992</v>
      </c>
      <c r="H31" s="345">
        <v>0</v>
      </c>
      <c r="I31" s="346" t="e">
        <f t="shared" si="4"/>
        <v>#REF!</v>
      </c>
      <c r="J31" s="347" t="e">
        <f>I31*'Cash-flow PLAN'!$D$55/12</f>
        <v>#REF!</v>
      </c>
      <c r="L31" s="349">
        <v>45992</v>
      </c>
      <c r="M31" s="345">
        <v>0</v>
      </c>
      <c r="N31" s="346">
        <f t="shared" si="2"/>
        <v>0</v>
      </c>
      <c r="O31" s="347">
        <f>N31*'Cash-flow PLAN'!$D$56/12</f>
        <v>0</v>
      </c>
      <c r="Q31" s="349">
        <v>45992</v>
      </c>
      <c r="R31" s="345">
        <v>0</v>
      </c>
      <c r="S31" s="346">
        <f t="shared" si="3"/>
        <v>0</v>
      </c>
      <c r="T31" s="347">
        <f>S31*'Cash-flow PLAN'!$D$57/12</f>
        <v>0</v>
      </c>
    </row>
    <row r="32" spans="2:20" ht="14">
      <c r="B32" s="344">
        <v>46023</v>
      </c>
      <c r="C32" s="345">
        <v>0</v>
      </c>
      <c r="D32" s="346">
        <f t="shared" si="0"/>
        <v>0</v>
      </c>
      <c r="E32" s="347">
        <f>D32*'Cash-flow PLAN'!$D$54/12</f>
        <v>0</v>
      </c>
      <c r="G32" s="344">
        <v>46023</v>
      </c>
      <c r="H32" s="345">
        <v>0</v>
      </c>
      <c r="I32" s="346" t="e">
        <f t="shared" si="4"/>
        <v>#REF!</v>
      </c>
      <c r="J32" s="347" t="e">
        <f>I32*'Cash-flow PLAN'!$D$55/12</f>
        <v>#REF!</v>
      </c>
      <c r="L32" s="344">
        <v>46023</v>
      </c>
      <c r="M32" s="345">
        <v>0</v>
      </c>
      <c r="N32" s="346">
        <f t="shared" si="2"/>
        <v>0</v>
      </c>
      <c r="O32" s="347">
        <f>N32*'Cash-flow PLAN'!$D$56/12</f>
        <v>0</v>
      </c>
      <c r="Q32" s="344">
        <v>46023</v>
      </c>
      <c r="R32" s="345">
        <v>0</v>
      </c>
      <c r="S32" s="346">
        <f t="shared" si="3"/>
        <v>0</v>
      </c>
      <c r="T32" s="347">
        <f>S32*'Cash-flow PLAN'!$D$57/12</f>
        <v>0</v>
      </c>
    </row>
    <row r="33" spans="2:20" ht="14">
      <c r="B33" s="349">
        <v>46054</v>
      </c>
      <c r="C33" s="345">
        <v>0</v>
      </c>
      <c r="D33" s="346">
        <f t="shared" si="0"/>
        <v>0</v>
      </c>
      <c r="E33" s="347">
        <f>D33*'Cash-flow PLAN'!$D$54/12</f>
        <v>0</v>
      </c>
      <c r="G33" s="349">
        <v>46054</v>
      </c>
      <c r="H33" s="345">
        <v>0</v>
      </c>
      <c r="I33" s="346" t="e">
        <f t="shared" si="4"/>
        <v>#REF!</v>
      </c>
      <c r="J33" s="347" t="e">
        <f>I33*'Cash-flow PLAN'!$D$55/12</f>
        <v>#REF!</v>
      </c>
      <c r="L33" s="349">
        <v>46054</v>
      </c>
      <c r="M33" s="345">
        <v>0</v>
      </c>
      <c r="N33" s="346">
        <f t="shared" si="2"/>
        <v>0</v>
      </c>
      <c r="O33" s="347">
        <f>N33*'Cash-flow PLAN'!$D$56/12</f>
        <v>0</v>
      </c>
      <c r="Q33" s="349">
        <v>46054</v>
      </c>
      <c r="R33" s="345">
        <v>0</v>
      </c>
      <c r="S33" s="346">
        <f t="shared" si="3"/>
        <v>0</v>
      </c>
      <c r="T33" s="347">
        <f>S33*'Cash-flow PLAN'!$D$57/12</f>
        <v>0</v>
      </c>
    </row>
    <row r="34" spans="2:20" ht="14">
      <c r="B34" s="349">
        <v>46082</v>
      </c>
      <c r="C34" s="345">
        <v>0</v>
      </c>
      <c r="D34" s="346">
        <f t="shared" si="0"/>
        <v>0</v>
      </c>
      <c r="E34" s="347">
        <f>D34*'Cash-flow PLAN'!$D$54/12</f>
        <v>0</v>
      </c>
      <c r="G34" s="349">
        <v>46082</v>
      </c>
      <c r="H34" s="345">
        <v>0</v>
      </c>
      <c r="I34" s="346" t="e">
        <f t="shared" si="4"/>
        <v>#REF!</v>
      </c>
      <c r="J34" s="347" t="e">
        <f>I34*'Cash-flow PLAN'!$D$55/12</f>
        <v>#REF!</v>
      </c>
      <c r="L34" s="349">
        <v>46082</v>
      </c>
      <c r="M34" s="345">
        <v>0</v>
      </c>
      <c r="N34" s="346">
        <f t="shared" si="2"/>
        <v>0</v>
      </c>
      <c r="O34" s="347">
        <f>N34*'Cash-flow PLAN'!$D$56/12</f>
        <v>0</v>
      </c>
      <c r="Q34" s="349">
        <v>46082</v>
      </c>
      <c r="R34" s="345">
        <v>0</v>
      </c>
      <c r="S34" s="346">
        <f t="shared" si="3"/>
        <v>0</v>
      </c>
      <c r="T34" s="347">
        <f>S34*'Cash-flow PLAN'!$D$57/12</f>
        <v>0</v>
      </c>
    </row>
    <row r="35" spans="2:20" ht="14">
      <c r="B35" s="349">
        <v>46113</v>
      </c>
      <c r="C35" s="345">
        <v>0</v>
      </c>
      <c r="D35" s="346">
        <f t="shared" si="0"/>
        <v>0</v>
      </c>
      <c r="E35" s="347">
        <f>D35*'Cash-flow PLAN'!$D$54/12</f>
        <v>0</v>
      </c>
      <c r="G35" s="349">
        <v>46113</v>
      </c>
      <c r="H35" s="345">
        <v>0</v>
      </c>
      <c r="I35" s="346" t="e">
        <f t="shared" si="4"/>
        <v>#REF!</v>
      </c>
      <c r="J35" s="347" t="e">
        <f>I35*'Cash-flow PLAN'!$D$55/12</f>
        <v>#REF!</v>
      </c>
      <c r="L35" s="349">
        <v>46113</v>
      </c>
      <c r="M35" s="345">
        <v>0</v>
      </c>
      <c r="N35" s="346">
        <f t="shared" si="2"/>
        <v>0</v>
      </c>
      <c r="O35" s="347">
        <f>N35*'Cash-flow PLAN'!$D$56/12</f>
        <v>0</v>
      </c>
      <c r="Q35" s="349">
        <v>46113</v>
      </c>
      <c r="R35" s="345">
        <v>0</v>
      </c>
      <c r="S35" s="346">
        <f t="shared" si="3"/>
        <v>0</v>
      </c>
      <c r="T35" s="347">
        <f>S35*'Cash-flow PLAN'!$D$57/12</f>
        <v>0</v>
      </c>
    </row>
    <row r="36" spans="2:20" ht="14">
      <c r="B36" s="349">
        <v>46143</v>
      </c>
      <c r="C36" s="345">
        <v>0</v>
      </c>
      <c r="D36" s="346">
        <f t="shared" si="0"/>
        <v>0</v>
      </c>
      <c r="E36" s="347">
        <f>D36*'Cash-flow PLAN'!$D$54/12</f>
        <v>0</v>
      </c>
      <c r="G36" s="349">
        <v>46143</v>
      </c>
      <c r="H36" s="345">
        <v>0</v>
      </c>
      <c r="I36" s="346" t="e">
        <f t="shared" si="4"/>
        <v>#REF!</v>
      </c>
      <c r="J36" s="347" t="e">
        <f>I36*'Cash-flow PLAN'!$D$55/12</f>
        <v>#REF!</v>
      </c>
      <c r="L36" s="349">
        <v>46143</v>
      </c>
      <c r="M36" s="345">
        <v>0</v>
      </c>
      <c r="N36" s="346">
        <f t="shared" si="2"/>
        <v>0</v>
      </c>
      <c r="O36" s="347">
        <f>N36*'Cash-flow PLAN'!$D$56/12</f>
        <v>0</v>
      </c>
      <c r="Q36" s="349">
        <v>46143</v>
      </c>
      <c r="R36" s="345">
        <v>0</v>
      </c>
      <c r="S36" s="346">
        <f t="shared" si="3"/>
        <v>0</v>
      </c>
      <c r="T36" s="347">
        <f>S36*'Cash-flow PLAN'!$D$57/12</f>
        <v>0</v>
      </c>
    </row>
    <row r="37" spans="2:20" ht="14">
      <c r="B37" s="350">
        <v>46174</v>
      </c>
      <c r="C37" s="345">
        <v>0</v>
      </c>
      <c r="D37" s="346">
        <f t="shared" si="0"/>
        <v>0</v>
      </c>
      <c r="E37" s="347">
        <f>D37*'Cash-flow PLAN'!$D$54/12</f>
        <v>0</v>
      </c>
      <c r="G37" s="350">
        <v>46174</v>
      </c>
      <c r="H37" s="345">
        <v>0</v>
      </c>
      <c r="I37" s="346" t="e">
        <f t="shared" si="4"/>
        <v>#REF!</v>
      </c>
      <c r="J37" s="347" t="e">
        <f>I37*'Cash-flow PLAN'!$D$55/12</f>
        <v>#REF!</v>
      </c>
      <c r="L37" s="350">
        <v>46174</v>
      </c>
      <c r="M37" s="345">
        <v>0</v>
      </c>
      <c r="N37" s="346">
        <f t="shared" si="2"/>
        <v>0</v>
      </c>
      <c r="O37" s="347">
        <f>N37*'Cash-flow PLAN'!$D$56/12</f>
        <v>0</v>
      </c>
      <c r="Q37" s="350">
        <v>46174</v>
      </c>
      <c r="R37" s="345">
        <v>0</v>
      </c>
      <c r="S37" s="346">
        <f t="shared" si="3"/>
        <v>0</v>
      </c>
      <c r="T37" s="347">
        <f>S37*'Cash-flow PLAN'!$D$57/12</f>
        <v>0</v>
      </c>
    </row>
    <row r="38" spans="2:20" ht="14">
      <c r="B38" s="349">
        <v>46204</v>
      </c>
      <c r="C38" s="345">
        <v>0</v>
      </c>
      <c r="D38" s="346">
        <f t="shared" si="0"/>
        <v>0</v>
      </c>
      <c r="E38" s="347">
        <f>D38*'Cash-flow PLAN'!$D$54/12</f>
        <v>0</v>
      </c>
      <c r="G38" s="349">
        <v>46204</v>
      </c>
      <c r="H38" s="345">
        <v>0</v>
      </c>
      <c r="I38" s="346" t="e">
        <f t="shared" si="4"/>
        <v>#REF!</v>
      </c>
      <c r="J38" s="347" t="e">
        <f>I38*'Cash-flow PLAN'!$D$55/12</f>
        <v>#REF!</v>
      </c>
      <c r="L38" s="349">
        <v>46204</v>
      </c>
      <c r="M38" s="345">
        <v>0</v>
      </c>
      <c r="N38" s="346">
        <f t="shared" si="2"/>
        <v>0</v>
      </c>
      <c r="O38" s="347">
        <f>N38*'Cash-flow PLAN'!$D$56/12</f>
        <v>0</v>
      </c>
      <c r="Q38" s="349">
        <v>46204</v>
      </c>
      <c r="R38" s="345">
        <v>0</v>
      </c>
      <c r="S38" s="346">
        <f t="shared" si="3"/>
        <v>0</v>
      </c>
      <c r="T38" s="347">
        <f>S38*'Cash-flow PLAN'!$D$57/12</f>
        <v>0</v>
      </c>
    </row>
    <row r="39" spans="2:20" ht="14">
      <c r="B39" s="349">
        <v>46235</v>
      </c>
      <c r="C39" s="345">
        <v>0</v>
      </c>
      <c r="D39" s="346">
        <f t="shared" si="0"/>
        <v>0</v>
      </c>
      <c r="E39" s="347">
        <f>D39*'Cash-flow PLAN'!$D$54/12</f>
        <v>0</v>
      </c>
      <c r="G39" s="349">
        <v>46235</v>
      </c>
      <c r="H39" s="345">
        <v>0</v>
      </c>
      <c r="I39" s="346" t="e">
        <f t="shared" si="4"/>
        <v>#REF!</v>
      </c>
      <c r="J39" s="347" t="e">
        <f>I39*'Cash-flow PLAN'!$D$55/12</f>
        <v>#REF!</v>
      </c>
      <c r="L39" s="349">
        <v>46235</v>
      </c>
      <c r="M39" s="345">
        <v>0</v>
      </c>
      <c r="N39" s="346">
        <f t="shared" si="2"/>
        <v>0</v>
      </c>
      <c r="O39" s="347">
        <f>N39*'Cash-flow PLAN'!$D$56/12</f>
        <v>0</v>
      </c>
      <c r="Q39" s="349">
        <v>46235</v>
      </c>
      <c r="R39" s="345">
        <v>0</v>
      </c>
      <c r="S39" s="346">
        <f t="shared" si="3"/>
        <v>0</v>
      </c>
      <c r="T39" s="347">
        <f>S39*'Cash-flow PLAN'!$D$57/12</f>
        <v>0</v>
      </c>
    </row>
    <row r="40" spans="2:20" ht="14">
      <c r="B40" s="349">
        <v>46266</v>
      </c>
      <c r="C40" s="345">
        <v>0</v>
      </c>
      <c r="D40" s="346">
        <f t="shared" si="0"/>
        <v>0</v>
      </c>
      <c r="E40" s="347">
        <f>D40*'Cash-flow PLAN'!$D$54/12</f>
        <v>0</v>
      </c>
      <c r="G40" s="349">
        <v>46266</v>
      </c>
      <c r="H40" s="345">
        <v>0</v>
      </c>
      <c r="I40" s="346" t="e">
        <f t="shared" si="4"/>
        <v>#REF!</v>
      </c>
      <c r="J40" s="347" t="e">
        <f>I40*'Cash-flow PLAN'!$D$55/12</f>
        <v>#REF!</v>
      </c>
      <c r="L40" s="349">
        <v>46266</v>
      </c>
      <c r="M40" s="345">
        <v>0</v>
      </c>
      <c r="N40" s="346">
        <f t="shared" si="2"/>
        <v>0</v>
      </c>
      <c r="O40" s="347">
        <f>N40*'Cash-flow PLAN'!$D$56/12</f>
        <v>0</v>
      </c>
      <c r="Q40" s="349">
        <v>46266</v>
      </c>
      <c r="R40" s="345">
        <v>0</v>
      </c>
      <c r="S40" s="346">
        <f t="shared" si="3"/>
        <v>0</v>
      </c>
      <c r="T40" s="347">
        <f>S40*'Cash-flow PLAN'!$D$57/12</f>
        <v>0</v>
      </c>
    </row>
    <row r="41" spans="2:20" ht="14">
      <c r="B41" s="349">
        <v>46296</v>
      </c>
      <c r="C41" s="345">
        <v>0</v>
      </c>
      <c r="D41" s="346">
        <f t="shared" si="0"/>
        <v>0</v>
      </c>
      <c r="E41" s="347">
        <f>D41*'Cash-flow PLAN'!$D$54/12</f>
        <v>0</v>
      </c>
      <c r="G41" s="349">
        <v>46296</v>
      </c>
      <c r="H41" s="345">
        <v>0</v>
      </c>
      <c r="I41" s="346" t="e">
        <f t="shared" si="4"/>
        <v>#REF!</v>
      </c>
      <c r="J41" s="347" t="e">
        <f>I41*'Cash-flow PLAN'!$D$55/12</f>
        <v>#REF!</v>
      </c>
      <c r="L41" s="349">
        <v>46296</v>
      </c>
      <c r="M41" s="345">
        <v>0</v>
      </c>
      <c r="N41" s="346">
        <f t="shared" si="2"/>
        <v>0</v>
      </c>
      <c r="O41" s="347">
        <f>N41*'Cash-flow PLAN'!$D$56/12</f>
        <v>0</v>
      </c>
      <c r="Q41" s="349">
        <v>46296</v>
      </c>
      <c r="R41" s="345">
        <v>0</v>
      </c>
      <c r="S41" s="346">
        <f t="shared" si="3"/>
        <v>0</v>
      </c>
      <c r="T41" s="347">
        <f>S41*'Cash-flow PLAN'!$D$57/12</f>
        <v>0</v>
      </c>
    </row>
    <row r="42" spans="2:20" ht="14">
      <c r="B42" s="349">
        <v>46327</v>
      </c>
      <c r="C42" s="345">
        <v>0</v>
      </c>
      <c r="D42" s="346">
        <f t="shared" si="0"/>
        <v>0</v>
      </c>
      <c r="E42" s="347">
        <f>D42*'Cash-flow PLAN'!$D$54/12</f>
        <v>0</v>
      </c>
      <c r="G42" s="349">
        <v>46327</v>
      </c>
      <c r="H42" s="345">
        <v>0</v>
      </c>
      <c r="I42" s="346" t="e">
        <f t="shared" si="4"/>
        <v>#REF!</v>
      </c>
      <c r="J42" s="347" t="e">
        <f>I42*'Cash-flow PLAN'!$D$55/12</f>
        <v>#REF!</v>
      </c>
      <c r="L42" s="349">
        <v>46327</v>
      </c>
      <c r="M42" s="345">
        <v>0</v>
      </c>
      <c r="N42" s="346">
        <f t="shared" si="2"/>
        <v>0</v>
      </c>
      <c r="O42" s="347">
        <f>N42*'Cash-flow PLAN'!$D$56/12</f>
        <v>0</v>
      </c>
      <c r="Q42" s="349">
        <v>46327</v>
      </c>
      <c r="R42" s="345">
        <v>0</v>
      </c>
      <c r="S42" s="346">
        <f t="shared" si="3"/>
        <v>0</v>
      </c>
      <c r="T42" s="347">
        <f>S42*'Cash-flow PLAN'!$D$57/12</f>
        <v>0</v>
      </c>
    </row>
    <row r="43" spans="2:20" ht="14">
      <c r="B43" s="349">
        <v>46357</v>
      </c>
      <c r="C43" s="345">
        <v>0</v>
      </c>
      <c r="D43" s="346">
        <f t="shared" si="0"/>
        <v>0</v>
      </c>
      <c r="E43" s="347">
        <f>D43*'Cash-flow PLAN'!$D$54/12</f>
        <v>0</v>
      </c>
      <c r="G43" s="349">
        <v>46357</v>
      </c>
      <c r="H43" s="345">
        <v>0</v>
      </c>
      <c r="I43" s="346" t="e">
        <f t="shared" si="4"/>
        <v>#REF!</v>
      </c>
      <c r="J43" s="347" t="e">
        <f>I43*'Cash-flow PLAN'!$D$55/12</f>
        <v>#REF!</v>
      </c>
      <c r="L43" s="349">
        <v>46357</v>
      </c>
      <c r="M43" s="345">
        <v>0</v>
      </c>
      <c r="N43" s="346">
        <f t="shared" si="2"/>
        <v>0</v>
      </c>
      <c r="O43" s="347">
        <f>N43*'Cash-flow PLAN'!$D$56/12</f>
        <v>0</v>
      </c>
      <c r="Q43" s="349">
        <v>46357</v>
      </c>
      <c r="R43" s="345">
        <v>0</v>
      </c>
      <c r="S43" s="346">
        <f t="shared" si="3"/>
        <v>0</v>
      </c>
      <c r="T43" s="347">
        <f>S43*'Cash-flow PLAN'!$D$57/12</f>
        <v>0</v>
      </c>
    </row>
    <row r="44" spans="2:20" ht="14">
      <c r="B44" s="344">
        <v>46388</v>
      </c>
      <c r="C44" s="345">
        <v>0</v>
      </c>
      <c r="D44" s="346">
        <f t="shared" si="0"/>
        <v>0</v>
      </c>
      <c r="E44" s="347">
        <f>D44*'Cash-flow PLAN'!$D$54/12</f>
        <v>0</v>
      </c>
      <c r="G44" s="344">
        <v>46388</v>
      </c>
      <c r="H44" s="345">
        <v>0</v>
      </c>
      <c r="I44" s="346" t="e">
        <f t="shared" si="4"/>
        <v>#REF!</v>
      </c>
      <c r="J44" s="347" t="e">
        <f>I44*'Cash-flow PLAN'!$D$55/12</f>
        <v>#REF!</v>
      </c>
      <c r="L44" s="344">
        <v>46388</v>
      </c>
      <c r="M44" s="345">
        <v>0</v>
      </c>
      <c r="N44" s="346">
        <f t="shared" si="2"/>
        <v>0</v>
      </c>
      <c r="O44" s="347">
        <f>N44*'Cash-flow PLAN'!$D$56/12</f>
        <v>0</v>
      </c>
      <c r="Q44" s="344">
        <v>46388</v>
      </c>
      <c r="R44" s="345">
        <v>0</v>
      </c>
      <c r="S44" s="346">
        <f t="shared" si="3"/>
        <v>0</v>
      </c>
      <c r="T44" s="347">
        <f>S44*'Cash-flow PLAN'!$D$57/12</f>
        <v>0</v>
      </c>
    </row>
    <row r="45" spans="2:20" ht="14">
      <c r="B45" s="349">
        <v>46419</v>
      </c>
      <c r="C45" s="345">
        <v>0</v>
      </c>
      <c r="D45" s="346">
        <f t="shared" si="0"/>
        <v>0</v>
      </c>
      <c r="E45" s="347">
        <f>D45*'Cash-flow PLAN'!$D$54/12</f>
        <v>0</v>
      </c>
      <c r="G45" s="349">
        <v>46419</v>
      </c>
      <c r="H45" s="345">
        <v>0</v>
      </c>
      <c r="I45" s="346" t="e">
        <f t="shared" si="4"/>
        <v>#REF!</v>
      </c>
      <c r="J45" s="347" t="e">
        <f>I45*'Cash-flow PLAN'!$D$55/12</f>
        <v>#REF!</v>
      </c>
      <c r="L45" s="349">
        <v>46419</v>
      </c>
      <c r="M45" s="345">
        <v>0</v>
      </c>
      <c r="N45" s="346">
        <f t="shared" si="2"/>
        <v>0</v>
      </c>
      <c r="O45" s="347">
        <f>N45*'Cash-flow PLAN'!$D$56/12</f>
        <v>0</v>
      </c>
      <c r="Q45" s="349">
        <v>46419</v>
      </c>
      <c r="R45" s="345">
        <v>0</v>
      </c>
      <c r="S45" s="346">
        <f t="shared" si="3"/>
        <v>0</v>
      </c>
      <c r="T45" s="347">
        <f>S45*'Cash-flow PLAN'!$D$57/12</f>
        <v>0</v>
      </c>
    </row>
    <row r="46" spans="2:20" ht="14">
      <c r="B46" s="349">
        <v>46447</v>
      </c>
      <c r="C46" s="345">
        <v>0</v>
      </c>
      <c r="D46" s="346">
        <f t="shared" si="0"/>
        <v>0</v>
      </c>
      <c r="E46" s="347">
        <f>D46*'Cash-flow PLAN'!$D$54/12</f>
        <v>0</v>
      </c>
      <c r="G46" s="349">
        <v>46447</v>
      </c>
      <c r="H46" s="345">
        <v>0</v>
      </c>
      <c r="I46" s="346" t="e">
        <f t="shared" si="4"/>
        <v>#REF!</v>
      </c>
      <c r="J46" s="347" t="e">
        <f>I46*'Cash-flow PLAN'!$D$55/12</f>
        <v>#REF!</v>
      </c>
      <c r="L46" s="349">
        <v>46447</v>
      </c>
      <c r="M46" s="345">
        <v>0</v>
      </c>
      <c r="N46" s="346">
        <f t="shared" si="2"/>
        <v>0</v>
      </c>
      <c r="O46" s="347">
        <f>N46*'Cash-flow PLAN'!$D$56/12</f>
        <v>0</v>
      </c>
      <c r="Q46" s="349">
        <v>46447</v>
      </c>
      <c r="R46" s="345">
        <v>0</v>
      </c>
      <c r="S46" s="346">
        <f t="shared" si="3"/>
        <v>0</v>
      </c>
      <c r="T46" s="347">
        <f>S46*'Cash-flow PLAN'!$D$57/12</f>
        <v>0</v>
      </c>
    </row>
    <row r="47" spans="2:20" ht="14">
      <c r="B47" s="349">
        <v>46478</v>
      </c>
      <c r="C47" s="345">
        <v>0</v>
      </c>
      <c r="D47" s="346">
        <f t="shared" si="0"/>
        <v>0</v>
      </c>
      <c r="E47" s="347">
        <f>D47*'Cash-flow PLAN'!$D$54/12</f>
        <v>0</v>
      </c>
      <c r="G47" s="349">
        <v>46478</v>
      </c>
      <c r="H47" s="345">
        <v>0</v>
      </c>
      <c r="I47" s="346" t="e">
        <f t="shared" si="4"/>
        <v>#REF!</v>
      </c>
      <c r="J47" s="347" t="e">
        <f>I47*'Cash-flow PLAN'!$D$55/12</f>
        <v>#REF!</v>
      </c>
      <c r="L47" s="349">
        <v>46478</v>
      </c>
      <c r="M47" s="345">
        <v>0</v>
      </c>
      <c r="N47" s="346">
        <f t="shared" si="2"/>
        <v>0</v>
      </c>
      <c r="O47" s="347">
        <f>N47*'Cash-flow PLAN'!$D$56/12</f>
        <v>0</v>
      </c>
      <c r="Q47" s="349">
        <v>46478</v>
      </c>
      <c r="R47" s="345">
        <v>0</v>
      </c>
      <c r="S47" s="346">
        <f t="shared" si="3"/>
        <v>0</v>
      </c>
      <c r="T47" s="347">
        <f>S47*'Cash-flow PLAN'!$D$57/12</f>
        <v>0</v>
      </c>
    </row>
    <row r="48" spans="2:20" ht="14">
      <c r="B48" s="349">
        <v>46508</v>
      </c>
      <c r="C48" s="345">
        <v>0</v>
      </c>
      <c r="D48" s="346">
        <f t="shared" si="0"/>
        <v>0</v>
      </c>
      <c r="E48" s="347">
        <f>D48*'Cash-flow PLAN'!$D$54/12</f>
        <v>0</v>
      </c>
      <c r="G48" s="349">
        <v>46508</v>
      </c>
      <c r="H48" s="345">
        <v>0</v>
      </c>
      <c r="I48" s="346" t="e">
        <f t="shared" si="4"/>
        <v>#REF!</v>
      </c>
      <c r="J48" s="347" t="e">
        <f>I48*'Cash-flow PLAN'!$D$55/12</f>
        <v>#REF!</v>
      </c>
      <c r="L48" s="349">
        <v>46508</v>
      </c>
      <c r="M48" s="345">
        <v>0</v>
      </c>
      <c r="N48" s="346">
        <f t="shared" si="2"/>
        <v>0</v>
      </c>
      <c r="O48" s="347">
        <f>N48*'Cash-flow PLAN'!$D$56/12</f>
        <v>0</v>
      </c>
      <c r="Q48" s="349">
        <v>46508</v>
      </c>
      <c r="R48" s="345">
        <v>0</v>
      </c>
      <c r="S48" s="346">
        <f t="shared" si="3"/>
        <v>0</v>
      </c>
      <c r="T48" s="347">
        <f>S48*'Cash-flow PLAN'!$D$57/12</f>
        <v>0</v>
      </c>
    </row>
    <row r="49" spans="2:20" ht="14">
      <c r="B49" s="350">
        <v>46539</v>
      </c>
      <c r="C49" s="345">
        <v>0</v>
      </c>
      <c r="D49" s="346">
        <f t="shared" si="0"/>
        <v>0</v>
      </c>
      <c r="E49" s="347">
        <f>D49*'Cash-flow PLAN'!$D$54/12</f>
        <v>0</v>
      </c>
      <c r="G49" s="350">
        <v>46539</v>
      </c>
      <c r="H49" s="345">
        <v>0</v>
      </c>
      <c r="I49" s="346" t="e">
        <f t="shared" si="4"/>
        <v>#REF!</v>
      </c>
      <c r="J49" s="347" t="e">
        <f>I49*'Cash-flow PLAN'!$D$55/12</f>
        <v>#REF!</v>
      </c>
      <c r="L49" s="350">
        <v>46539</v>
      </c>
      <c r="M49" s="345">
        <v>0</v>
      </c>
      <c r="N49" s="346">
        <f t="shared" si="2"/>
        <v>0</v>
      </c>
      <c r="O49" s="347">
        <f>N49*'Cash-flow PLAN'!$D$56/12</f>
        <v>0</v>
      </c>
      <c r="Q49" s="350">
        <v>46539</v>
      </c>
      <c r="R49" s="345">
        <v>0</v>
      </c>
      <c r="S49" s="346">
        <f t="shared" si="3"/>
        <v>0</v>
      </c>
      <c r="T49" s="347">
        <f>S49*'Cash-flow PLAN'!$D$57/12</f>
        <v>0</v>
      </c>
    </row>
    <row r="50" spans="2:20" ht="14">
      <c r="B50" s="349">
        <v>46569</v>
      </c>
      <c r="C50" s="345">
        <v>0</v>
      </c>
      <c r="D50" s="346">
        <f t="shared" si="0"/>
        <v>0</v>
      </c>
      <c r="E50" s="347">
        <f>D50*'Cash-flow PLAN'!$D$54/12</f>
        <v>0</v>
      </c>
      <c r="G50" s="349">
        <v>46569</v>
      </c>
      <c r="H50" s="345">
        <v>0</v>
      </c>
      <c r="I50" s="346" t="e">
        <f t="shared" si="4"/>
        <v>#REF!</v>
      </c>
      <c r="J50" s="347" t="e">
        <f>I50*'Cash-flow PLAN'!$D$55/12</f>
        <v>#REF!</v>
      </c>
      <c r="L50" s="349">
        <v>46569</v>
      </c>
      <c r="M50" s="345">
        <v>0</v>
      </c>
      <c r="N50" s="346">
        <f t="shared" si="2"/>
        <v>0</v>
      </c>
      <c r="O50" s="347">
        <f>N50*'Cash-flow PLAN'!$D$56/12</f>
        <v>0</v>
      </c>
      <c r="Q50" s="349">
        <v>46569</v>
      </c>
      <c r="R50" s="345">
        <v>0</v>
      </c>
      <c r="S50" s="346">
        <f t="shared" si="3"/>
        <v>0</v>
      </c>
      <c r="T50" s="347">
        <f>S50*'Cash-flow PLAN'!$D$57/12</f>
        <v>0</v>
      </c>
    </row>
    <row r="51" spans="2:20" ht="14">
      <c r="B51" s="349">
        <v>46600</v>
      </c>
      <c r="C51" s="345">
        <v>0</v>
      </c>
      <c r="D51" s="346">
        <f t="shared" si="0"/>
        <v>0</v>
      </c>
      <c r="E51" s="347">
        <f>D51*'Cash-flow PLAN'!$D$54/12</f>
        <v>0</v>
      </c>
      <c r="G51" s="349">
        <v>46600</v>
      </c>
      <c r="H51" s="345">
        <v>0</v>
      </c>
      <c r="I51" s="346" t="e">
        <f t="shared" si="4"/>
        <v>#REF!</v>
      </c>
      <c r="J51" s="347" t="e">
        <f>I51*'Cash-flow PLAN'!$D$55/12</f>
        <v>#REF!</v>
      </c>
      <c r="L51" s="349">
        <v>46600</v>
      </c>
      <c r="M51" s="345">
        <v>0</v>
      </c>
      <c r="N51" s="346">
        <f t="shared" si="2"/>
        <v>0</v>
      </c>
      <c r="O51" s="347">
        <f>N51*'Cash-flow PLAN'!$D$56/12</f>
        <v>0</v>
      </c>
      <c r="Q51" s="349">
        <v>46600</v>
      </c>
      <c r="R51" s="345">
        <v>0</v>
      </c>
      <c r="S51" s="346">
        <f t="shared" si="3"/>
        <v>0</v>
      </c>
      <c r="T51" s="347">
        <f>S51*'Cash-flow PLAN'!$D$57/12</f>
        <v>0</v>
      </c>
    </row>
    <row r="52" spans="2:20" ht="14">
      <c r="B52" s="349">
        <v>46631</v>
      </c>
      <c r="C52" s="345">
        <v>0</v>
      </c>
      <c r="D52" s="346">
        <f t="shared" si="0"/>
        <v>0</v>
      </c>
      <c r="E52" s="347">
        <f>D52*'Cash-flow PLAN'!$D$54/12</f>
        <v>0</v>
      </c>
      <c r="G52" s="349">
        <v>46631</v>
      </c>
      <c r="H52" s="345">
        <v>0</v>
      </c>
      <c r="I52" s="346" t="e">
        <f t="shared" si="4"/>
        <v>#REF!</v>
      </c>
      <c r="J52" s="347" t="e">
        <f>I52*'Cash-flow PLAN'!$D$55/12</f>
        <v>#REF!</v>
      </c>
      <c r="L52" s="349">
        <v>46631</v>
      </c>
      <c r="M52" s="345">
        <v>0</v>
      </c>
      <c r="N52" s="346">
        <f t="shared" si="2"/>
        <v>0</v>
      </c>
      <c r="O52" s="347">
        <f>N52*'Cash-flow PLAN'!$D$56/12</f>
        <v>0</v>
      </c>
      <c r="Q52" s="349">
        <v>46631</v>
      </c>
      <c r="R52" s="345">
        <v>0</v>
      </c>
      <c r="S52" s="346">
        <f t="shared" si="3"/>
        <v>0</v>
      </c>
      <c r="T52" s="347">
        <f>S52*'Cash-flow PLAN'!$D$57/12</f>
        <v>0</v>
      </c>
    </row>
    <row r="53" spans="2:20" ht="14">
      <c r="B53" s="349">
        <v>46661</v>
      </c>
      <c r="C53" s="345">
        <v>0</v>
      </c>
      <c r="D53" s="346">
        <f t="shared" si="0"/>
        <v>0</v>
      </c>
      <c r="E53" s="347">
        <f>D53*'Cash-flow PLAN'!$D$54/12</f>
        <v>0</v>
      </c>
      <c r="G53" s="349">
        <v>46661</v>
      </c>
      <c r="H53" s="345">
        <v>0</v>
      </c>
      <c r="I53" s="346" t="e">
        <f t="shared" si="4"/>
        <v>#REF!</v>
      </c>
      <c r="J53" s="347" t="e">
        <f>I53*'Cash-flow PLAN'!$D$55/12</f>
        <v>#REF!</v>
      </c>
      <c r="L53" s="349">
        <v>46661</v>
      </c>
      <c r="M53" s="345">
        <v>0</v>
      </c>
      <c r="N53" s="346">
        <f t="shared" si="2"/>
        <v>0</v>
      </c>
      <c r="O53" s="347">
        <f>N53*'Cash-flow PLAN'!$D$56/12</f>
        <v>0</v>
      </c>
      <c r="Q53" s="349">
        <v>46661</v>
      </c>
      <c r="R53" s="345">
        <v>0</v>
      </c>
      <c r="S53" s="346">
        <f t="shared" si="3"/>
        <v>0</v>
      </c>
      <c r="T53" s="347">
        <f>S53*'Cash-flow PLAN'!$D$57/12</f>
        <v>0</v>
      </c>
    </row>
    <row r="54" spans="2:20" ht="14">
      <c r="B54" s="349">
        <v>46692</v>
      </c>
      <c r="C54" s="345">
        <v>0</v>
      </c>
      <c r="D54" s="346">
        <f t="shared" si="0"/>
        <v>0</v>
      </c>
      <c r="E54" s="347">
        <f>D54*'Cash-flow PLAN'!$D$54/12</f>
        <v>0</v>
      </c>
      <c r="G54" s="349">
        <v>46692</v>
      </c>
      <c r="H54" s="345">
        <v>0</v>
      </c>
      <c r="I54" s="346" t="e">
        <f t="shared" si="4"/>
        <v>#REF!</v>
      </c>
      <c r="J54" s="347" t="e">
        <f>I54*'Cash-flow PLAN'!$D$55/12</f>
        <v>#REF!</v>
      </c>
      <c r="L54" s="349">
        <v>46692</v>
      </c>
      <c r="M54" s="345">
        <v>0</v>
      </c>
      <c r="N54" s="346">
        <f t="shared" si="2"/>
        <v>0</v>
      </c>
      <c r="O54" s="347">
        <f>N54*'Cash-flow PLAN'!$D$56/12</f>
        <v>0</v>
      </c>
      <c r="Q54" s="349">
        <v>46692</v>
      </c>
      <c r="R54" s="345">
        <v>0</v>
      </c>
      <c r="S54" s="346">
        <f t="shared" si="3"/>
        <v>0</v>
      </c>
      <c r="T54" s="347">
        <f>S54*'Cash-flow PLAN'!$D$57/12</f>
        <v>0</v>
      </c>
    </row>
    <row r="55" spans="2:20" ht="14">
      <c r="B55" s="349">
        <v>46722</v>
      </c>
      <c r="C55" s="345">
        <v>0</v>
      </c>
      <c r="D55" s="346">
        <f t="shared" si="0"/>
        <v>0</v>
      </c>
      <c r="E55" s="347">
        <f>D55*'Cash-flow PLAN'!$D$54/12</f>
        <v>0</v>
      </c>
      <c r="G55" s="349">
        <v>46722</v>
      </c>
      <c r="H55" s="345">
        <v>0</v>
      </c>
      <c r="I55" s="346" t="e">
        <f t="shared" si="4"/>
        <v>#REF!</v>
      </c>
      <c r="J55" s="347" t="e">
        <f>I55*'Cash-flow PLAN'!$D$55/12</f>
        <v>#REF!</v>
      </c>
      <c r="L55" s="349">
        <v>46722</v>
      </c>
      <c r="M55" s="345">
        <v>0</v>
      </c>
      <c r="N55" s="346">
        <f t="shared" si="2"/>
        <v>0</v>
      </c>
      <c r="O55" s="347">
        <f>N55*'Cash-flow PLAN'!$D$56/12</f>
        <v>0</v>
      </c>
      <c r="Q55" s="349">
        <v>46722</v>
      </c>
      <c r="R55" s="345">
        <v>0</v>
      </c>
      <c r="S55" s="346">
        <f t="shared" si="3"/>
        <v>0</v>
      </c>
      <c r="T55" s="347">
        <f>S55*'Cash-flow PLAN'!$D$57/12</f>
        <v>0</v>
      </c>
    </row>
    <row r="56" spans="2:20" ht="14">
      <c r="B56" s="344">
        <v>46753</v>
      </c>
      <c r="C56" s="345">
        <v>0</v>
      </c>
      <c r="D56" s="346">
        <f t="shared" si="0"/>
        <v>0</v>
      </c>
      <c r="E56" s="347">
        <f>D56*'Cash-flow PLAN'!$D$54/12</f>
        <v>0</v>
      </c>
      <c r="G56" s="344">
        <v>46753</v>
      </c>
      <c r="H56" s="345">
        <v>0</v>
      </c>
      <c r="I56" s="346" t="e">
        <f t="shared" si="4"/>
        <v>#REF!</v>
      </c>
      <c r="J56" s="347" t="e">
        <f>I56*'Cash-flow PLAN'!$D$55/12</f>
        <v>#REF!</v>
      </c>
      <c r="L56" s="344">
        <v>46753</v>
      </c>
      <c r="M56" s="345">
        <v>0</v>
      </c>
      <c r="N56" s="346">
        <f t="shared" si="2"/>
        <v>0</v>
      </c>
      <c r="O56" s="347">
        <f>N56*'Cash-flow PLAN'!$D$56/12</f>
        <v>0</v>
      </c>
      <c r="Q56" s="344">
        <v>46753</v>
      </c>
      <c r="R56" s="345">
        <v>0</v>
      </c>
      <c r="S56" s="346">
        <f t="shared" si="3"/>
        <v>0</v>
      </c>
      <c r="T56" s="347">
        <f>S56*'Cash-flow PLAN'!$D$57/12</f>
        <v>0</v>
      </c>
    </row>
    <row r="57" spans="2:20" ht="14">
      <c r="B57" s="349">
        <v>46784</v>
      </c>
      <c r="C57" s="345">
        <v>0</v>
      </c>
      <c r="D57" s="346">
        <f t="shared" si="0"/>
        <v>0</v>
      </c>
      <c r="E57" s="347">
        <f>D57*'Cash-flow PLAN'!$D$54/12</f>
        <v>0</v>
      </c>
      <c r="G57" s="349">
        <v>46784</v>
      </c>
      <c r="H57" s="345">
        <v>0</v>
      </c>
      <c r="I57" s="346" t="e">
        <f t="shared" si="4"/>
        <v>#REF!</v>
      </c>
      <c r="J57" s="347" t="e">
        <f>I57*'Cash-flow PLAN'!$D$55/12</f>
        <v>#REF!</v>
      </c>
      <c r="L57" s="349">
        <v>46784</v>
      </c>
      <c r="M57" s="345">
        <v>0</v>
      </c>
      <c r="N57" s="346">
        <f t="shared" si="2"/>
        <v>0</v>
      </c>
      <c r="O57" s="347">
        <f>N57*'Cash-flow PLAN'!$D$56/12</f>
        <v>0</v>
      </c>
      <c r="Q57" s="349">
        <v>46784</v>
      </c>
      <c r="R57" s="345">
        <v>0</v>
      </c>
      <c r="S57" s="346">
        <f t="shared" si="3"/>
        <v>0</v>
      </c>
      <c r="T57" s="347">
        <f>S57*'Cash-flow PLAN'!$D$57/12</f>
        <v>0</v>
      </c>
    </row>
    <row r="58" spans="2:20" ht="14">
      <c r="B58" s="349">
        <v>46813</v>
      </c>
      <c r="C58" s="345">
        <v>0</v>
      </c>
      <c r="D58" s="346">
        <f t="shared" si="0"/>
        <v>0</v>
      </c>
      <c r="E58" s="347">
        <f>D58*'Cash-flow PLAN'!$D$54/12</f>
        <v>0</v>
      </c>
      <c r="G58" s="349">
        <v>46813</v>
      </c>
      <c r="H58" s="345">
        <v>0</v>
      </c>
      <c r="I58" s="346" t="e">
        <f t="shared" si="4"/>
        <v>#REF!</v>
      </c>
      <c r="J58" s="347" t="e">
        <f>I58*'Cash-flow PLAN'!$D$55/12</f>
        <v>#REF!</v>
      </c>
      <c r="L58" s="349">
        <v>46813</v>
      </c>
      <c r="M58" s="345">
        <v>0</v>
      </c>
      <c r="N58" s="346">
        <f t="shared" si="2"/>
        <v>0</v>
      </c>
      <c r="O58" s="347">
        <f>N58*'Cash-flow PLAN'!$D$56/12</f>
        <v>0</v>
      </c>
      <c r="Q58" s="349">
        <v>46813</v>
      </c>
      <c r="R58" s="345">
        <v>0</v>
      </c>
      <c r="S58" s="346">
        <f t="shared" si="3"/>
        <v>0</v>
      </c>
      <c r="T58" s="347">
        <f>S58*'Cash-flow PLAN'!$D$57/12</f>
        <v>0</v>
      </c>
    </row>
    <row r="59" spans="2:20" ht="14">
      <c r="B59" s="349">
        <v>46844</v>
      </c>
      <c r="C59" s="345">
        <v>0</v>
      </c>
      <c r="D59" s="346">
        <f t="shared" si="0"/>
        <v>0</v>
      </c>
      <c r="E59" s="347">
        <f>D59*'Cash-flow PLAN'!$D$54/12</f>
        <v>0</v>
      </c>
      <c r="G59" s="349">
        <v>46844</v>
      </c>
      <c r="H59" s="345">
        <v>0</v>
      </c>
      <c r="I59" s="346" t="e">
        <f t="shared" si="4"/>
        <v>#REF!</v>
      </c>
      <c r="J59" s="347" t="e">
        <f>I59*'Cash-flow PLAN'!$D$55/12</f>
        <v>#REF!</v>
      </c>
      <c r="L59" s="349">
        <v>46844</v>
      </c>
      <c r="M59" s="345">
        <v>0</v>
      </c>
      <c r="N59" s="346">
        <f t="shared" si="2"/>
        <v>0</v>
      </c>
      <c r="O59" s="347">
        <f>N59*'Cash-flow PLAN'!$D$56/12</f>
        <v>0</v>
      </c>
      <c r="Q59" s="349">
        <v>46844</v>
      </c>
      <c r="R59" s="345">
        <v>0</v>
      </c>
      <c r="S59" s="346">
        <f t="shared" si="3"/>
        <v>0</v>
      </c>
      <c r="T59" s="347">
        <f>S59*'Cash-flow PLAN'!$D$57/12</f>
        <v>0</v>
      </c>
    </row>
    <row r="60" spans="2:20" ht="14">
      <c r="B60" s="349">
        <v>46874</v>
      </c>
      <c r="C60" s="345">
        <v>0</v>
      </c>
      <c r="D60" s="346">
        <f t="shared" si="0"/>
        <v>0</v>
      </c>
      <c r="E60" s="347">
        <f>D60*'Cash-flow PLAN'!$D$54/12</f>
        <v>0</v>
      </c>
      <c r="G60" s="349">
        <v>46874</v>
      </c>
      <c r="H60" s="345">
        <v>0</v>
      </c>
      <c r="I60" s="346" t="e">
        <f t="shared" si="4"/>
        <v>#REF!</v>
      </c>
      <c r="J60" s="347" t="e">
        <f>I60*'Cash-flow PLAN'!$D$55/12</f>
        <v>#REF!</v>
      </c>
      <c r="L60" s="349">
        <v>46874</v>
      </c>
      <c r="M60" s="345">
        <v>0</v>
      </c>
      <c r="N60" s="346">
        <f t="shared" si="2"/>
        <v>0</v>
      </c>
      <c r="O60" s="347">
        <f>N60*'Cash-flow PLAN'!$D$56/12</f>
        <v>0</v>
      </c>
      <c r="Q60" s="349">
        <v>46874</v>
      </c>
      <c r="R60" s="345">
        <v>0</v>
      </c>
      <c r="S60" s="346">
        <f t="shared" si="3"/>
        <v>0</v>
      </c>
      <c r="T60" s="347">
        <f>S60*'Cash-flow PLAN'!$D$57/12</f>
        <v>0</v>
      </c>
    </row>
    <row r="61" spans="2:20" ht="14">
      <c r="B61" s="350">
        <v>46905</v>
      </c>
      <c r="C61" s="345">
        <v>0</v>
      </c>
      <c r="D61" s="346">
        <f t="shared" si="0"/>
        <v>0</v>
      </c>
      <c r="E61" s="347">
        <f>D61*'Cash-flow PLAN'!$D$54/12</f>
        <v>0</v>
      </c>
      <c r="G61" s="350">
        <v>46905</v>
      </c>
      <c r="H61" s="345">
        <v>0</v>
      </c>
      <c r="I61" s="346" t="e">
        <f t="shared" si="4"/>
        <v>#REF!</v>
      </c>
      <c r="J61" s="347" t="e">
        <f>I61*'Cash-flow PLAN'!$D$55/12</f>
        <v>#REF!</v>
      </c>
      <c r="L61" s="350">
        <v>46905</v>
      </c>
      <c r="M61" s="345">
        <v>0</v>
      </c>
      <c r="N61" s="346">
        <f t="shared" si="2"/>
        <v>0</v>
      </c>
      <c r="O61" s="347">
        <f>N61*'Cash-flow PLAN'!$D$56/12</f>
        <v>0</v>
      </c>
      <c r="Q61" s="350">
        <v>46905</v>
      </c>
      <c r="R61" s="345">
        <v>0</v>
      </c>
      <c r="S61" s="346">
        <f t="shared" si="3"/>
        <v>0</v>
      </c>
      <c r="T61" s="347">
        <f>S61*'Cash-flow PLAN'!$D$57/12</f>
        <v>0</v>
      </c>
    </row>
    <row r="62" spans="2:20" ht="14">
      <c r="B62" s="349">
        <v>46935</v>
      </c>
      <c r="C62" s="345">
        <v>0</v>
      </c>
      <c r="D62" s="346">
        <f t="shared" si="0"/>
        <v>0</v>
      </c>
      <c r="E62" s="347">
        <f>D62*'Cash-flow PLAN'!$D$54/12</f>
        <v>0</v>
      </c>
      <c r="G62" s="349">
        <v>46935</v>
      </c>
      <c r="H62" s="345">
        <v>0</v>
      </c>
      <c r="I62" s="346" t="e">
        <f t="shared" si="4"/>
        <v>#REF!</v>
      </c>
      <c r="J62" s="347" t="e">
        <f>I62*'Cash-flow PLAN'!$D$55/12</f>
        <v>#REF!</v>
      </c>
      <c r="L62" s="349">
        <v>46935</v>
      </c>
      <c r="M62" s="345">
        <v>0</v>
      </c>
      <c r="N62" s="346">
        <f t="shared" si="2"/>
        <v>0</v>
      </c>
      <c r="O62" s="347">
        <f>N62*'Cash-flow PLAN'!$D$56/12</f>
        <v>0</v>
      </c>
      <c r="Q62" s="349">
        <v>46935</v>
      </c>
      <c r="R62" s="345">
        <v>0</v>
      </c>
      <c r="S62" s="346">
        <f t="shared" si="3"/>
        <v>0</v>
      </c>
      <c r="T62" s="347">
        <f>S62*'Cash-flow PLAN'!$D$57/12</f>
        <v>0</v>
      </c>
    </row>
    <row r="63" spans="2:20" ht="14">
      <c r="B63" s="349">
        <v>46966</v>
      </c>
      <c r="C63" s="345">
        <v>0</v>
      </c>
      <c r="D63" s="346">
        <f t="shared" si="0"/>
        <v>0</v>
      </c>
      <c r="E63" s="347">
        <f>D63*'Cash-flow PLAN'!$D$54/12</f>
        <v>0</v>
      </c>
      <c r="G63" s="349">
        <v>46966</v>
      </c>
      <c r="H63" s="345">
        <v>0</v>
      </c>
      <c r="I63" s="346" t="e">
        <f t="shared" si="4"/>
        <v>#REF!</v>
      </c>
      <c r="J63" s="347" t="e">
        <f>I63*'Cash-flow PLAN'!$D$55/12</f>
        <v>#REF!</v>
      </c>
      <c r="L63" s="349">
        <v>46966</v>
      </c>
      <c r="M63" s="345">
        <v>0</v>
      </c>
      <c r="N63" s="346">
        <f t="shared" si="2"/>
        <v>0</v>
      </c>
      <c r="O63" s="347">
        <f>N63*'Cash-flow PLAN'!$D$56/12</f>
        <v>0</v>
      </c>
      <c r="Q63" s="349">
        <v>46966</v>
      </c>
      <c r="R63" s="345">
        <v>0</v>
      </c>
      <c r="S63" s="346">
        <f t="shared" si="3"/>
        <v>0</v>
      </c>
      <c r="T63" s="347">
        <f>S63*'Cash-flow PLAN'!$D$57/12</f>
        <v>0</v>
      </c>
    </row>
    <row r="64" spans="2:20" ht="14">
      <c r="B64" s="349">
        <v>46997</v>
      </c>
      <c r="C64" s="345">
        <v>0</v>
      </c>
      <c r="D64" s="346">
        <f t="shared" si="0"/>
        <v>0</v>
      </c>
      <c r="E64" s="347">
        <f>D64*'Cash-flow PLAN'!$D$54/12</f>
        <v>0</v>
      </c>
      <c r="G64" s="349">
        <v>46997</v>
      </c>
      <c r="H64" s="345">
        <v>0</v>
      </c>
      <c r="I64" s="346" t="e">
        <f t="shared" si="4"/>
        <v>#REF!</v>
      </c>
      <c r="J64" s="347" t="e">
        <f>I64*'Cash-flow PLAN'!$D$55/12</f>
        <v>#REF!</v>
      </c>
      <c r="L64" s="349">
        <v>46997</v>
      </c>
      <c r="M64" s="345">
        <v>0</v>
      </c>
      <c r="N64" s="346">
        <f t="shared" si="2"/>
        <v>0</v>
      </c>
      <c r="O64" s="347">
        <f>N64*'Cash-flow PLAN'!$D$56/12</f>
        <v>0</v>
      </c>
      <c r="Q64" s="349">
        <v>46997</v>
      </c>
      <c r="R64" s="345">
        <v>0</v>
      </c>
      <c r="S64" s="346">
        <f t="shared" si="3"/>
        <v>0</v>
      </c>
      <c r="T64" s="347">
        <f>S64*'Cash-flow PLAN'!$D$57/12</f>
        <v>0</v>
      </c>
    </row>
    <row r="65" spans="2:20" ht="14">
      <c r="B65" s="349">
        <v>47027</v>
      </c>
      <c r="C65" s="345">
        <v>0</v>
      </c>
      <c r="D65" s="346">
        <f t="shared" si="0"/>
        <v>0</v>
      </c>
      <c r="E65" s="347">
        <f>D65*'Cash-flow PLAN'!$D$54/12</f>
        <v>0</v>
      </c>
      <c r="G65" s="349">
        <v>47027</v>
      </c>
      <c r="H65" s="345">
        <v>0</v>
      </c>
      <c r="I65" s="346" t="e">
        <f t="shared" si="4"/>
        <v>#REF!</v>
      </c>
      <c r="J65" s="347" t="e">
        <f>I65*'Cash-flow PLAN'!$D$55/12</f>
        <v>#REF!</v>
      </c>
      <c r="L65" s="349">
        <v>47027</v>
      </c>
      <c r="M65" s="345">
        <v>0</v>
      </c>
      <c r="N65" s="346">
        <f t="shared" si="2"/>
        <v>0</v>
      </c>
      <c r="O65" s="347">
        <f>N65*'Cash-flow PLAN'!$D$56/12</f>
        <v>0</v>
      </c>
      <c r="Q65" s="349">
        <v>47027</v>
      </c>
      <c r="R65" s="345">
        <v>0</v>
      </c>
      <c r="S65" s="346">
        <f t="shared" si="3"/>
        <v>0</v>
      </c>
      <c r="T65" s="347">
        <f>S65*'Cash-flow PLAN'!$D$57/12</f>
        <v>0</v>
      </c>
    </row>
    <row r="66" spans="2:20" ht="14">
      <c r="B66" s="349">
        <v>47058</v>
      </c>
      <c r="C66" s="345">
        <v>0</v>
      </c>
      <c r="D66" s="346">
        <f t="shared" si="0"/>
        <v>0</v>
      </c>
      <c r="E66" s="347">
        <f>D66*'Cash-flow PLAN'!$D$54/12</f>
        <v>0</v>
      </c>
      <c r="G66" s="349">
        <v>47058</v>
      </c>
      <c r="H66" s="345">
        <v>0</v>
      </c>
      <c r="I66" s="346" t="e">
        <f t="shared" si="4"/>
        <v>#REF!</v>
      </c>
      <c r="J66" s="347" t="e">
        <f>I66*'Cash-flow PLAN'!$D$55/12</f>
        <v>#REF!</v>
      </c>
      <c r="L66" s="349">
        <v>47058</v>
      </c>
      <c r="M66" s="345">
        <v>0</v>
      </c>
      <c r="N66" s="346">
        <f t="shared" si="2"/>
        <v>0</v>
      </c>
      <c r="O66" s="347">
        <f>N66*'Cash-flow PLAN'!$D$56/12</f>
        <v>0</v>
      </c>
      <c r="Q66" s="349">
        <v>47058</v>
      </c>
      <c r="R66" s="345">
        <v>0</v>
      </c>
      <c r="S66" s="346">
        <f t="shared" si="3"/>
        <v>0</v>
      </c>
      <c r="T66" s="347">
        <f>S66*'Cash-flow PLAN'!$D$57/12</f>
        <v>0</v>
      </c>
    </row>
    <row r="67" spans="2:20" ht="14">
      <c r="B67" s="349">
        <v>47088</v>
      </c>
      <c r="C67" s="345">
        <v>0</v>
      </c>
      <c r="D67" s="346">
        <f t="shared" si="0"/>
        <v>0</v>
      </c>
      <c r="E67" s="347">
        <f>D67*'Cash-flow PLAN'!$D$54/12</f>
        <v>0</v>
      </c>
      <c r="G67" s="349">
        <v>47088</v>
      </c>
      <c r="H67" s="345">
        <v>0</v>
      </c>
      <c r="I67" s="346" t="e">
        <f t="shared" si="4"/>
        <v>#REF!</v>
      </c>
      <c r="J67" s="347" t="e">
        <f>I67*'Cash-flow PLAN'!$D$55/12</f>
        <v>#REF!</v>
      </c>
      <c r="L67" s="349">
        <v>47088</v>
      </c>
      <c r="M67" s="345">
        <v>0</v>
      </c>
      <c r="N67" s="346">
        <f t="shared" si="2"/>
        <v>0</v>
      </c>
      <c r="O67" s="347">
        <f>N67*'Cash-flow PLAN'!$D$56/12</f>
        <v>0</v>
      </c>
      <c r="Q67" s="349">
        <v>47088</v>
      </c>
      <c r="R67" s="345">
        <v>0</v>
      </c>
      <c r="S67" s="346">
        <f t="shared" si="3"/>
        <v>0</v>
      </c>
      <c r="T67" s="347">
        <f>S67*'Cash-flow PLAN'!$D$57/12</f>
        <v>0</v>
      </c>
    </row>
    <row r="68" spans="2:20" ht="14">
      <c r="B68" s="344">
        <v>47119</v>
      </c>
      <c r="C68" s="345">
        <v>0</v>
      </c>
      <c r="D68" s="346">
        <f t="shared" si="0"/>
        <v>0</v>
      </c>
      <c r="E68" s="347">
        <f>D68*'Cash-flow PLAN'!$D$54/12</f>
        <v>0</v>
      </c>
      <c r="G68" s="344">
        <v>47119</v>
      </c>
      <c r="H68" s="345">
        <v>0</v>
      </c>
      <c r="I68" s="346" t="e">
        <f t="shared" si="4"/>
        <v>#REF!</v>
      </c>
      <c r="J68" s="347" t="e">
        <f>I68*'Cash-flow PLAN'!$D$55/12</f>
        <v>#REF!</v>
      </c>
      <c r="L68" s="344">
        <v>47119</v>
      </c>
      <c r="M68" s="345">
        <v>0</v>
      </c>
      <c r="N68" s="346">
        <f t="shared" si="2"/>
        <v>0</v>
      </c>
      <c r="O68" s="347">
        <f>N68*'Cash-flow PLAN'!$D$56/12</f>
        <v>0</v>
      </c>
      <c r="Q68" s="344">
        <v>47119</v>
      </c>
      <c r="R68" s="345">
        <v>0</v>
      </c>
      <c r="S68" s="346">
        <f t="shared" si="3"/>
        <v>0</v>
      </c>
      <c r="T68" s="347">
        <f>S68*'Cash-flow PLAN'!$D$57/12</f>
        <v>0</v>
      </c>
    </row>
    <row r="69" spans="2:20" ht="14">
      <c r="B69" s="349">
        <v>47150</v>
      </c>
      <c r="C69" s="345">
        <v>0</v>
      </c>
      <c r="D69" s="346">
        <f t="shared" si="0"/>
        <v>0</v>
      </c>
      <c r="E69" s="347">
        <f>D69*'Cash-flow PLAN'!$D$54/12</f>
        <v>0</v>
      </c>
      <c r="G69" s="349">
        <v>47150</v>
      </c>
      <c r="H69" s="345">
        <v>0</v>
      </c>
      <c r="I69" s="346" t="e">
        <f t="shared" si="4"/>
        <v>#REF!</v>
      </c>
      <c r="J69" s="347" t="e">
        <f>I69*'Cash-flow PLAN'!$D$55/12</f>
        <v>#REF!</v>
      </c>
      <c r="L69" s="349">
        <v>47150</v>
      </c>
      <c r="M69" s="345">
        <v>0</v>
      </c>
      <c r="N69" s="346">
        <f t="shared" si="2"/>
        <v>0</v>
      </c>
      <c r="O69" s="347">
        <f>N69*'Cash-flow PLAN'!$D$56/12</f>
        <v>0</v>
      </c>
      <c r="Q69" s="349">
        <v>47150</v>
      </c>
      <c r="R69" s="345">
        <v>0</v>
      </c>
      <c r="S69" s="346">
        <f t="shared" si="3"/>
        <v>0</v>
      </c>
      <c r="T69" s="347">
        <f>S69*'Cash-flow PLAN'!$D$57/12</f>
        <v>0</v>
      </c>
    </row>
    <row r="70" spans="2:20" ht="14">
      <c r="B70" s="349">
        <v>47178</v>
      </c>
      <c r="C70" s="345">
        <v>0</v>
      </c>
      <c r="D70" s="346">
        <f t="shared" si="0"/>
        <v>0</v>
      </c>
      <c r="E70" s="347">
        <f>D70*'Cash-flow PLAN'!$D$54/12</f>
        <v>0</v>
      </c>
      <c r="G70" s="349">
        <v>47178</v>
      </c>
      <c r="H70" s="345">
        <v>0</v>
      </c>
      <c r="I70" s="346" t="e">
        <f t="shared" si="4"/>
        <v>#REF!</v>
      </c>
      <c r="J70" s="347" t="e">
        <f>I70*'Cash-flow PLAN'!$D$55/12</f>
        <v>#REF!</v>
      </c>
      <c r="L70" s="349">
        <v>47178</v>
      </c>
      <c r="M70" s="345">
        <v>0</v>
      </c>
      <c r="N70" s="346">
        <f t="shared" si="2"/>
        <v>0</v>
      </c>
      <c r="O70" s="347">
        <f>N70*'Cash-flow PLAN'!$D$56/12</f>
        <v>0</v>
      </c>
      <c r="Q70" s="349">
        <v>47178</v>
      </c>
      <c r="R70" s="345">
        <v>0</v>
      </c>
      <c r="S70" s="346">
        <f t="shared" si="3"/>
        <v>0</v>
      </c>
      <c r="T70" s="347">
        <f>S70*'Cash-flow PLAN'!$D$57/12</f>
        <v>0</v>
      </c>
    </row>
    <row r="71" spans="2:20" ht="14">
      <c r="B71" s="349">
        <v>47209</v>
      </c>
      <c r="C71" s="345">
        <v>0</v>
      </c>
      <c r="D71" s="346">
        <f t="shared" si="0"/>
        <v>0</v>
      </c>
      <c r="E71" s="347">
        <f>D71*'Cash-flow PLAN'!$D$54/12</f>
        <v>0</v>
      </c>
      <c r="G71" s="349">
        <v>47209</v>
      </c>
      <c r="H71" s="345">
        <v>0</v>
      </c>
      <c r="I71" s="346" t="e">
        <f t="shared" si="4"/>
        <v>#REF!</v>
      </c>
      <c r="J71" s="347" t="e">
        <f>I71*'Cash-flow PLAN'!$D$55/12</f>
        <v>#REF!</v>
      </c>
      <c r="L71" s="349">
        <v>47209</v>
      </c>
      <c r="M71" s="345">
        <v>0</v>
      </c>
      <c r="N71" s="346">
        <f t="shared" si="2"/>
        <v>0</v>
      </c>
      <c r="O71" s="347">
        <f>N71*'Cash-flow PLAN'!$D$56/12</f>
        <v>0</v>
      </c>
      <c r="Q71" s="349">
        <v>47209</v>
      </c>
      <c r="R71" s="345">
        <v>0</v>
      </c>
      <c r="S71" s="346">
        <f t="shared" si="3"/>
        <v>0</v>
      </c>
      <c r="T71" s="347">
        <f>S71*'Cash-flow PLAN'!$D$57/12</f>
        <v>0</v>
      </c>
    </row>
    <row r="72" spans="2:20" ht="14">
      <c r="B72" s="349">
        <v>47239</v>
      </c>
      <c r="C72" s="345">
        <v>0</v>
      </c>
      <c r="D72" s="346">
        <f t="shared" si="0"/>
        <v>0</v>
      </c>
      <c r="E72" s="347">
        <f>D72*'Cash-flow PLAN'!$D$54/12</f>
        <v>0</v>
      </c>
      <c r="G72" s="349">
        <v>47239</v>
      </c>
      <c r="H72" s="345">
        <v>0</v>
      </c>
      <c r="I72" s="346" t="e">
        <f t="shared" si="4"/>
        <v>#REF!</v>
      </c>
      <c r="J72" s="347" t="e">
        <f>I72*'Cash-flow PLAN'!$D$55/12</f>
        <v>#REF!</v>
      </c>
      <c r="L72" s="349">
        <v>47239</v>
      </c>
      <c r="M72" s="345">
        <v>0</v>
      </c>
      <c r="N72" s="346">
        <f t="shared" si="2"/>
        <v>0</v>
      </c>
      <c r="O72" s="347">
        <f>N72*'Cash-flow PLAN'!$D$56/12</f>
        <v>0</v>
      </c>
      <c r="Q72" s="349">
        <v>47239</v>
      </c>
      <c r="R72" s="345">
        <v>0</v>
      </c>
      <c r="S72" s="346">
        <f t="shared" si="3"/>
        <v>0</v>
      </c>
      <c r="T72" s="347">
        <f>S72*'Cash-flow PLAN'!$D$57/12</f>
        <v>0</v>
      </c>
    </row>
    <row r="73" spans="2:20" ht="14">
      <c r="B73" s="350">
        <v>47270</v>
      </c>
      <c r="C73" s="345">
        <v>0</v>
      </c>
      <c r="D73" s="346">
        <f t="shared" si="0"/>
        <v>0</v>
      </c>
      <c r="E73" s="347">
        <f>D73*'Cash-flow PLAN'!$D$54/12</f>
        <v>0</v>
      </c>
      <c r="G73" s="350">
        <v>47270</v>
      </c>
      <c r="H73" s="345">
        <v>0</v>
      </c>
      <c r="I73" s="346" t="e">
        <f t="shared" si="4"/>
        <v>#REF!</v>
      </c>
      <c r="J73" s="347" t="e">
        <f>I73*'Cash-flow PLAN'!$D$55/12</f>
        <v>#REF!</v>
      </c>
      <c r="L73" s="350">
        <v>47270</v>
      </c>
      <c r="M73" s="345">
        <v>0</v>
      </c>
      <c r="N73" s="346">
        <f t="shared" si="2"/>
        <v>0</v>
      </c>
      <c r="O73" s="347">
        <f>N73*'Cash-flow PLAN'!$D$56/12</f>
        <v>0</v>
      </c>
      <c r="Q73" s="350">
        <v>47270</v>
      </c>
      <c r="R73" s="345">
        <v>0</v>
      </c>
      <c r="S73" s="346">
        <f t="shared" si="3"/>
        <v>0</v>
      </c>
      <c r="T73" s="347">
        <f>S73*'Cash-flow PLAN'!$D$57/12</f>
        <v>0</v>
      </c>
    </row>
    <row r="74" spans="2:20" ht="14">
      <c r="B74" s="349">
        <v>47300</v>
      </c>
      <c r="C74" s="345">
        <v>0</v>
      </c>
      <c r="D74" s="346">
        <f t="shared" si="0"/>
        <v>0</v>
      </c>
      <c r="E74" s="347">
        <f>D74*'Cash-flow PLAN'!$D$54/12</f>
        <v>0</v>
      </c>
      <c r="G74" s="349">
        <v>47300</v>
      </c>
      <c r="H74" s="345">
        <v>0</v>
      </c>
      <c r="I74" s="346" t="e">
        <f t="shared" si="4"/>
        <v>#REF!</v>
      </c>
      <c r="J74" s="347" t="e">
        <f>I74*'Cash-flow PLAN'!$D$55/12</f>
        <v>#REF!</v>
      </c>
      <c r="L74" s="349">
        <v>47300</v>
      </c>
      <c r="M74" s="345">
        <v>0</v>
      </c>
      <c r="N74" s="346">
        <f t="shared" si="2"/>
        <v>0</v>
      </c>
      <c r="O74" s="347">
        <f>N74*'Cash-flow PLAN'!$D$56/12</f>
        <v>0</v>
      </c>
      <c r="Q74" s="349">
        <v>47300</v>
      </c>
      <c r="R74" s="345">
        <v>0</v>
      </c>
      <c r="S74" s="346">
        <f t="shared" si="3"/>
        <v>0</v>
      </c>
      <c r="T74" s="347">
        <f>S74*'Cash-flow PLAN'!$D$57/12</f>
        <v>0</v>
      </c>
    </row>
    <row r="75" spans="2:20" ht="14">
      <c r="B75" s="349">
        <v>47331</v>
      </c>
      <c r="C75" s="345">
        <v>0</v>
      </c>
      <c r="D75" s="346">
        <f t="shared" si="0"/>
        <v>0</v>
      </c>
      <c r="E75" s="347">
        <f>D75*'Cash-flow PLAN'!$D$54/12</f>
        <v>0</v>
      </c>
      <c r="G75" s="349">
        <v>47331</v>
      </c>
      <c r="H75" s="345">
        <v>0</v>
      </c>
      <c r="I75" s="346" t="e">
        <f t="shared" si="4"/>
        <v>#REF!</v>
      </c>
      <c r="J75" s="347" t="e">
        <f>I75*'Cash-flow PLAN'!$D$55/12</f>
        <v>#REF!</v>
      </c>
      <c r="L75" s="349">
        <v>47331</v>
      </c>
      <c r="M75" s="345">
        <v>0</v>
      </c>
      <c r="N75" s="346">
        <f t="shared" si="2"/>
        <v>0</v>
      </c>
      <c r="O75" s="347">
        <f>N75*'Cash-flow PLAN'!$D$56/12</f>
        <v>0</v>
      </c>
      <c r="Q75" s="349">
        <v>47331</v>
      </c>
      <c r="R75" s="345">
        <v>0</v>
      </c>
      <c r="S75" s="346">
        <f t="shared" si="3"/>
        <v>0</v>
      </c>
      <c r="T75" s="347">
        <f>S75*'Cash-flow PLAN'!$D$57/12</f>
        <v>0</v>
      </c>
    </row>
    <row r="76" spans="2:20" ht="14">
      <c r="B76" s="349">
        <v>47362</v>
      </c>
      <c r="C76" s="345">
        <v>0</v>
      </c>
      <c r="D76" s="346">
        <f t="shared" si="0"/>
        <v>0</v>
      </c>
      <c r="E76" s="347">
        <f>D76*'Cash-flow PLAN'!$D$54/12</f>
        <v>0</v>
      </c>
      <c r="G76" s="349">
        <v>47362</v>
      </c>
      <c r="H76" s="345">
        <v>0</v>
      </c>
      <c r="I76" s="346" t="e">
        <f t="shared" si="4"/>
        <v>#REF!</v>
      </c>
      <c r="J76" s="347" t="e">
        <f>I76*'Cash-flow PLAN'!$D$55/12</f>
        <v>#REF!</v>
      </c>
      <c r="L76" s="349">
        <v>47362</v>
      </c>
      <c r="M76" s="345">
        <v>0</v>
      </c>
      <c r="N76" s="346">
        <f t="shared" si="2"/>
        <v>0</v>
      </c>
      <c r="O76" s="347">
        <f>N76*'Cash-flow PLAN'!$D$56/12</f>
        <v>0</v>
      </c>
      <c r="Q76" s="349">
        <v>47362</v>
      </c>
      <c r="R76" s="345">
        <v>0</v>
      </c>
      <c r="S76" s="346">
        <f t="shared" si="3"/>
        <v>0</v>
      </c>
      <c r="T76" s="347">
        <f>S76*'Cash-flow PLAN'!$D$57/12</f>
        <v>0</v>
      </c>
    </row>
    <row r="77" spans="2:20" ht="14">
      <c r="B77" s="349">
        <v>47392</v>
      </c>
      <c r="C77" s="345">
        <v>0</v>
      </c>
      <c r="D77" s="346">
        <f t="shared" si="0"/>
        <v>0</v>
      </c>
      <c r="E77" s="347">
        <f>D77*'Cash-flow PLAN'!$D$54/12</f>
        <v>0</v>
      </c>
      <c r="G77" s="349">
        <v>47392</v>
      </c>
      <c r="H77" s="345">
        <v>0</v>
      </c>
      <c r="I77" s="346" t="e">
        <f t="shared" si="4"/>
        <v>#REF!</v>
      </c>
      <c r="J77" s="347" t="e">
        <f>I77*'Cash-flow PLAN'!$D$55/12</f>
        <v>#REF!</v>
      </c>
      <c r="L77" s="349">
        <v>47392</v>
      </c>
      <c r="M77" s="345">
        <v>0</v>
      </c>
      <c r="N77" s="346">
        <f t="shared" si="2"/>
        <v>0</v>
      </c>
      <c r="O77" s="347">
        <f>N77*'Cash-flow PLAN'!$D$56/12</f>
        <v>0</v>
      </c>
      <c r="Q77" s="349">
        <v>47392</v>
      </c>
      <c r="R77" s="345">
        <v>0</v>
      </c>
      <c r="S77" s="346">
        <f t="shared" si="3"/>
        <v>0</v>
      </c>
      <c r="T77" s="347">
        <f>S77*'Cash-flow PLAN'!$D$57/12</f>
        <v>0</v>
      </c>
    </row>
    <row r="78" spans="2:20" ht="14">
      <c r="B78" s="349">
        <v>47423</v>
      </c>
      <c r="C78" s="345">
        <v>0</v>
      </c>
      <c r="D78" s="346">
        <f t="shared" si="0"/>
        <v>0</v>
      </c>
      <c r="E78" s="347">
        <f>D78*'Cash-flow PLAN'!$D$54/12</f>
        <v>0</v>
      </c>
      <c r="G78" s="349">
        <v>47423</v>
      </c>
      <c r="H78" s="345">
        <v>0</v>
      </c>
      <c r="I78" s="346" t="e">
        <f t="shared" si="4"/>
        <v>#REF!</v>
      </c>
      <c r="J78" s="347" t="e">
        <f>I78*'Cash-flow PLAN'!$D$55/12</f>
        <v>#REF!</v>
      </c>
      <c r="L78" s="349">
        <v>47423</v>
      </c>
      <c r="M78" s="345">
        <v>0</v>
      </c>
      <c r="N78" s="346">
        <f t="shared" si="2"/>
        <v>0</v>
      </c>
      <c r="O78" s="347">
        <f>N78*'Cash-flow PLAN'!$D$56/12</f>
        <v>0</v>
      </c>
      <c r="Q78" s="349">
        <v>47423</v>
      </c>
      <c r="R78" s="345">
        <v>0</v>
      </c>
      <c r="S78" s="346">
        <f t="shared" si="3"/>
        <v>0</v>
      </c>
      <c r="T78" s="347">
        <f>S78*'Cash-flow PLAN'!$D$57/12</f>
        <v>0</v>
      </c>
    </row>
    <row r="79" spans="2:20" ht="14">
      <c r="B79" s="349">
        <v>47453</v>
      </c>
      <c r="C79" s="345">
        <v>0</v>
      </c>
      <c r="D79" s="346">
        <f>D78</f>
        <v>0</v>
      </c>
      <c r="E79" s="347">
        <f>D79*'Cash-flow PLAN'!$D$54/12</f>
        <v>0</v>
      </c>
      <c r="G79" s="349">
        <v>47453</v>
      </c>
      <c r="H79" s="345">
        <v>0</v>
      </c>
      <c r="I79" s="346" t="e">
        <f>I78</f>
        <v>#REF!</v>
      </c>
      <c r="J79" s="347" t="e">
        <f>I79*'Cash-flow PLAN'!$D$55/12</f>
        <v>#REF!</v>
      </c>
      <c r="L79" s="349">
        <v>47453</v>
      </c>
      <c r="M79" s="345">
        <v>-12071651.818826601</v>
      </c>
      <c r="N79" s="346">
        <f>N78</f>
        <v>0</v>
      </c>
      <c r="O79" s="347">
        <f>N79*'Cash-flow PLAN'!$D$56/12</f>
        <v>0</v>
      </c>
      <c r="Q79" s="349">
        <v>47453</v>
      </c>
      <c r="R79" s="345">
        <v>0</v>
      </c>
      <c r="S79" s="346">
        <f>S78</f>
        <v>0</v>
      </c>
      <c r="T79" s="347">
        <f>S79*'Cash-flow PLAN'!$D$57/12</f>
        <v>0</v>
      </c>
    </row>
  </sheetData>
  <mergeCells count="4">
    <mergeCell ref="B2:E3"/>
    <mergeCell ref="G2:J3"/>
    <mergeCell ref="L2:O3"/>
    <mergeCell ref="Q2:T3"/>
  </mergeCells>
  <pageMargins left="0" right="0" top="0" bottom="0" header="0" footer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O1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baseColWidth="10" defaultColWidth="12.6640625" defaultRowHeight="15" customHeight="1"/>
  <cols>
    <col min="1" max="1" width="25.33203125" customWidth="1"/>
    <col min="2" max="2" width="36.1640625" hidden="1" customWidth="1"/>
    <col min="3" max="3" width="10.5" customWidth="1"/>
    <col min="4" max="4" width="21.1640625" customWidth="1"/>
    <col min="5" max="5" width="44.1640625" customWidth="1"/>
    <col min="6" max="7" width="10" customWidth="1"/>
    <col min="8" max="8" width="36.1640625" customWidth="1"/>
    <col min="9" max="9" width="8.6640625" customWidth="1"/>
    <col min="10" max="10" width="9.6640625" customWidth="1"/>
    <col min="11" max="11" width="14.5" customWidth="1"/>
    <col min="12" max="12" width="6.6640625" customWidth="1"/>
    <col min="13" max="13" width="18.5" customWidth="1"/>
    <col min="14" max="15" width="37.1640625" customWidth="1"/>
    <col min="16" max="16" width="15.6640625" customWidth="1"/>
    <col min="17" max="17" width="14.6640625" customWidth="1"/>
    <col min="18" max="18" width="15.83203125" customWidth="1"/>
    <col min="19" max="19" width="13.6640625" customWidth="1"/>
    <col min="20" max="20" width="15.6640625" customWidth="1"/>
    <col min="21" max="21" width="17.5" customWidth="1"/>
    <col min="22" max="39" width="9.33203125" customWidth="1"/>
  </cols>
  <sheetData>
    <row r="1" spans="1:15" ht="15.75" customHeight="1">
      <c r="A1" s="34" t="s">
        <v>98</v>
      </c>
      <c r="B1" s="34" t="s">
        <v>99</v>
      </c>
      <c r="C1" s="34" t="s">
        <v>100</v>
      </c>
      <c r="D1" s="34" t="s">
        <v>101</v>
      </c>
      <c r="E1" s="34" t="s">
        <v>102</v>
      </c>
      <c r="F1" s="34" t="s">
        <v>103</v>
      </c>
      <c r="G1" s="34" t="s">
        <v>104</v>
      </c>
      <c r="H1" s="34" t="s">
        <v>105</v>
      </c>
      <c r="I1" s="34" t="s">
        <v>106</v>
      </c>
      <c r="J1" s="34" t="s">
        <v>107</v>
      </c>
      <c r="K1" s="34" t="s">
        <v>108</v>
      </c>
      <c r="L1" s="34" t="s">
        <v>109</v>
      </c>
      <c r="M1" s="34" t="s">
        <v>110</v>
      </c>
      <c r="N1" s="34" t="s">
        <v>111</v>
      </c>
      <c r="O1" s="34" t="s">
        <v>111</v>
      </c>
    </row>
    <row r="2" spans="1:15" ht="17">
      <c r="A2" s="35" t="s">
        <v>112</v>
      </c>
      <c r="B2" s="36" t="str">
        <f>TEXT(G2,"mm.yyyy")</f>
        <v>01.yyyy</v>
      </c>
      <c r="C2" s="37" t="s">
        <v>113</v>
      </c>
      <c r="D2" s="38">
        <v>0.05</v>
      </c>
      <c r="E2" s="39" t="s">
        <v>114</v>
      </c>
      <c r="F2" s="40"/>
      <c r="G2" s="40"/>
      <c r="H2" s="41"/>
      <c r="I2" s="41" t="b">
        <v>0</v>
      </c>
      <c r="J2" s="570"/>
      <c r="K2" s="570"/>
      <c r="L2" s="41"/>
      <c r="M2" s="41"/>
      <c r="N2" s="41"/>
      <c r="O2" s="41"/>
    </row>
    <row r="3" spans="1:15" ht="16">
      <c r="A3" s="35"/>
      <c r="B3" s="36"/>
      <c r="C3" s="37"/>
      <c r="D3" s="38"/>
      <c r="E3" s="39"/>
      <c r="F3" s="40"/>
      <c r="G3" s="40"/>
      <c r="H3" s="41"/>
      <c r="I3" s="41" t="b">
        <v>0</v>
      </c>
      <c r="J3" s="570"/>
      <c r="K3" s="570"/>
      <c r="L3" s="41"/>
      <c r="M3" s="41"/>
      <c r="N3" s="41"/>
      <c r="O3" s="41"/>
    </row>
    <row r="4" spans="1:15" ht="17">
      <c r="A4" s="35" t="s">
        <v>115</v>
      </c>
      <c r="B4" s="36" t="str">
        <f t="shared" ref="B4:B10" si="0">TEXT(G4,"mm.yyyy")</f>
        <v>01.yyyy</v>
      </c>
      <c r="C4" s="37" t="s">
        <v>116</v>
      </c>
      <c r="D4" s="38">
        <v>0.3</v>
      </c>
      <c r="E4" s="39"/>
      <c r="F4" s="40">
        <f>G2</f>
        <v>0</v>
      </c>
      <c r="G4" s="40"/>
      <c r="H4" s="41"/>
      <c r="I4" s="41" t="b">
        <v>0</v>
      </c>
      <c r="J4" s="570"/>
      <c r="K4" s="570"/>
      <c r="L4" s="41"/>
      <c r="M4" s="41"/>
      <c r="N4" s="41"/>
      <c r="O4" s="41"/>
    </row>
    <row r="5" spans="1:15" ht="16">
      <c r="A5" s="42" t="s">
        <v>117</v>
      </c>
      <c r="B5" s="36" t="str">
        <f t="shared" si="0"/>
        <v>01.yyyy</v>
      </c>
      <c r="C5" s="37" t="s">
        <v>113</v>
      </c>
      <c r="D5" s="38">
        <v>0.3</v>
      </c>
      <c r="E5" s="39"/>
      <c r="F5" s="43">
        <f t="shared" ref="F5:F6" si="1">G4</f>
        <v>0</v>
      </c>
      <c r="G5" s="40"/>
      <c r="H5" s="41"/>
      <c r="I5" s="41" t="b">
        <v>0</v>
      </c>
      <c r="J5" s="570"/>
      <c r="K5" s="570"/>
      <c r="L5" s="41"/>
      <c r="M5" s="41"/>
      <c r="N5" s="41"/>
      <c r="O5" s="41"/>
    </row>
    <row r="6" spans="1:15" ht="15.75" customHeight="1">
      <c r="A6" s="42" t="s">
        <v>118</v>
      </c>
      <c r="B6" s="36" t="str">
        <f t="shared" si="0"/>
        <v>01.yyyy</v>
      </c>
      <c r="C6" s="37" t="s">
        <v>119</v>
      </c>
      <c r="D6" s="38">
        <v>0.35</v>
      </c>
      <c r="E6" s="39"/>
      <c r="F6" s="40">
        <f t="shared" si="1"/>
        <v>0</v>
      </c>
      <c r="G6" s="43"/>
      <c r="H6" s="41"/>
      <c r="I6" s="41" t="b">
        <v>0</v>
      </c>
      <c r="J6" s="570"/>
      <c r="K6" s="570"/>
      <c r="L6" s="41"/>
      <c r="M6" s="41"/>
      <c r="N6" s="41"/>
      <c r="O6" s="41"/>
    </row>
    <row r="7" spans="1:15" ht="15.75" customHeight="1">
      <c r="A7" s="42" t="s">
        <v>120</v>
      </c>
      <c r="B7" s="36" t="str">
        <f t="shared" si="0"/>
        <v>01.yyyy</v>
      </c>
      <c r="C7" s="37"/>
      <c r="D7" s="37"/>
      <c r="E7" s="39"/>
      <c r="F7" s="41"/>
      <c r="G7" s="41"/>
      <c r="H7" s="41"/>
      <c r="I7" s="41" t="b">
        <v>0</v>
      </c>
      <c r="J7" s="570"/>
      <c r="K7" s="570"/>
      <c r="L7" s="41"/>
      <c r="M7" s="41"/>
      <c r="N7" s="41"/>
      <c r="O7" s="41"/>
    </row>
    <row r="8" spans="1:15" ht="15.75" customHeight="1">
      <c r="A8" s="42" t="s">
        <v>121</v>
      </c>
      <c r="B8" s="36" t="str">
        <f t="shared" si="0"/>
        <v>01.yyyy</v>
      </c>
      <c r="C8" s="37"/>
      <c r="D8" s="37"/>
      <c r="E8" s="39"/>
      <c r="F8" s="43"/>
      <c r="G8" s="43"/>
      <c r="H8" s="41"/>
      <c r="I8" s="41" t="b">
        <v>0</v>
      </c>
      <c r="J8" s="570"/>
      <c r="K8" s="570"/>
      <c r="L8" s="41"/>
      <c r="M8" s="44"/>
      <c r="N8" s="41"/>
      <c r="O8" s="41"/>
    </row>
    <row r="9" spans="1:15" ht="15.75" customHeight="1">
      <c r="A9" s="42" t="s">
        <v>122</v>
      </c>
      <c r="B9" s="36" t="str">
        <f t="shared" si="0"/>
        <v>01.yyyy</v>
      </c>
      <c r="C9" s="37"/>
      <c r="D9" s="37"/>
      <c r="E9" s="39"/>
      <c r="F9" s="43"/>
      <c r="G9" s="43"/>
      <c r="H9" s="41"/>
      <c r="I9" s="41" t="b">
        <v>0</v>
      </c>
      <c r="J9" s="570"/>
      <c r="K9" s="570"/>
      <c r="L9" s="41"/>
      <c r="M9" s="44"/>
      <c r="N9" s="41"/>
      <c r="O9" s="41"/>
    </row>
    <row r="10" spans="1:15" ht="15.75" customHeight="1">
      <c r="A10" s="42" t="s">
        <v>123</v>
      </c>
      <c r="B10" s="36" t="str">
        <f t="shared" si="0"/>
        <v>01.yyyy</v>
      </c>
      <c r="C10" s="37"/>
      <c r="D10" s="37"/>
      <c r="E10" s="39"/>
      <c r="F10" s="43"/>
      <c r="G10" s="43"/>
      <c r="H10" s="41"/>
      <c r="I10" s="41" t="b">
        <v>0</v>
      </c>
      <c r="J10" s="570"/>
      <c r="K10" s="570"/>
      <c r="L10" s="41"/>
      <c r="M10" s="44"/>
      <c r="N10" s="41"/>
      <c r="O10" s="41"/>
    </row>
  </sheetData>
  <conditionalFormatting sqref="B2:B10 H2:I10">
    <cfRule type="cellIs" dxfId="43" priority="1" operator="equal">
      <formula>"TRUE"</formula>
    </cfRule>
  </conditionalFormatting>
  <dataValidations count="1">
    <dataValidation type="custom" allowBlank="1" showDropDown="1" showErrorMessage="1" sqref="F2:G10" xr:uid="{00000000-0002-0000-0100-000000000000}">
      <formula1>OR(NOT(ISERROR(DATEVALUE(F2))), AND(ISNUMBER(F2), LEFT(CELL("format", F2))="D"))</formula1>
    </dataValidation>
  </dataValidations>
  <pageMargins left="0.7" right="0.7" top="0.78740157499999996" bottom="0.78740157499999996" header="0" footer="0"/>
  <pageSetup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B1:CF219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ColWidth="12.6640625" defaultRowHeight="15" customHeight="1" outlineLevelRow="2" outlineLevelCol="2"/>
  <cols>
    <col min="1" max="1" width="2.33203125" customWidth="1"/>
    <col min="3" max="3" width="40.1640625" customWidth="1"/>
    <col min="4" max="4" width="12.6640625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1" width="9.1640625" customWidth="1" outlineLevel="2"/>
    <col min="22" max="28" width="9.6640625" customWidth="1" outlineLevel="2"/>
    <col min="29" max="29" width="9.6640625" customWidth="1" outlineLevel="1" collapsed="1"/>
    <col min="30" max="40" width="6.5" hidden="1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2:84">
      <c r="B1" s="455" t="s">
        <v>246</v>
      </c>
      <c r="C1" s="456">
        <v>45473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6"/>
      <c r="CB1" s="226"/>
      <c r="CC1" s="226"/>
      <c r="CD1" s="226"/>
      <c r="CE1" s="226"/>
      <c r="CF1" s="226"/>
    </row>
    <row r="2" spans="2:84"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  <c r="CA2" s="226"/>
      <c r="CB2" s="226"/>
      <c r="CC2" s="226"/>
      <c r="CD2" s="226"/>
      <c r="CE2" s="226"/>
      <c r="CF2" s="226"/>
    </row>
    <row r="3" spans="2:84"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  <c r="CA3" s="226"/>
      <c r="CB3" s="226" t="s">
        <v>249</v>
      </c>
      <c r="CC3" s="226" t="s">
        <v>250</v>
      </c>
      <c r="CD3" s="226"/>
      <c r="CE3" s="226"/>
      <c r="CF3" s="226"/>
    </row>
    <row r="4" spans="2:84"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462">
        <v>45597</v>
      </c>
      <c r="P4" s="231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  <c r="CA4" s="226"/>
      <c r="CB4" s="226" t="s">
        <v>116</v>
      </c>
      <c r="CC4" s="226"/>
      <c r="CD4" s="226"/>
      <c r="CE4" s="226"/>
      <c r="CF4" s="226"/>
    </row>
    <row r="5" spans="2:84"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5" si="0">SUM(E5:BX5)</f>
        <v>16365002</v>
      </c>
      <c r="BZ5" s="775">
        <f>SUM(BY5:BY8)</f>
        <v>34583335</v>
      </c>
      <c r="CA5" s="226"/>
      <c r="CB5" s="237">
        <f t="shared" ref="CB5:CB15" si="1">SUM(H5:CA5)</f>
        <v>67313339</v>
      </c>
      <c r="CC5" s="775">
        <f>SUM(CB5:CB8)</f>
        <v>103750005</v>
      </c>
      <c r="CD5" s="226"/>
      <c r="CE5" s="226"/>
      <c r="CF5" s="226"/>
    </row>
    <row r="6" spans="2:84">
      <c r="B6" s="787"/>
      <c r="C6" s="232" t="s">
        <v>254</v>
      </c>
      <c r="D6" s="233" t="s">
        <v>253</v>
      </c>
      <c r="E6" s="235"/>
      <c r="F6" s="235"/>
      <c r="G6" s="235"/>
      <c r="H6" s="235"/>
      <c r="I6" s="235"/>
      <c r="J6" s="235">
        <f>5000000+3333333</f>
        <v>8333333</v>
      </c>
      <c r="K6" s="235">
        <v>885000</v>
      </c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9218333</v>
      </c>
      <c r="BZ6" s="771"/>
      <c r="CA6" s="226"/>
      <c r="CB6" s="237">
        <f t="shared" si="1"/>
        <v>18436666</v>
      </c>
      <c r="CC6" s="771"/>
      <c r="CD6" s="226"/>
      <c r="CE6" s="226"/>
      <c r="CF6" s="226"/>
    </row>
    <row r="7" spans="2:84"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>
        <f>2000000+5870667+1129333</f>
        <v>9000000</v>
      </c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9000000</v>
      </c>
      <c r="BZ7" s="771"/>
      <c r="CA7" s="226"/>
      <c r="CB7" s="237">
        <f t="shared" si="1"/>
        <v>18000000</v>
      </c>
      <c r="CC7" s="771"/>
      <c r="CD7" s="226"/>
      <c r="CE7" s="226"/>
      <c r="CF7" s="242">
        <f>1100000/9000000</f>
        <v>0.12222222222222222</v>
      </c>
    </row>
    <row r="8" spans="2:84"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  <c r="CA8" s="226"/>
      <c r="CB8" s="241">
        <f t="shared" si="1"/>
        <v>0</v>
      </c>
      <c r="CC8" s="774"/>
      <c r="CD8" s="226"/>
      <c r="CE8" s="226"/>
      <c r="CF8" s="226"/>
    </row>
    <row r="9" spans="2:84"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0</v>
      </c>
      <c r="BZ9" s="775">
        <f>SUM(BY9:BY11)</f>
        <v>45452749</v>
      </c>
      <c r="CA9" s="226"/>
      <c r="CB9" s="237">
        <f t="shared" si="1"/>
        <v>45452749</v>
      </c>
      <c r="CC9" s="775">
        <f>SUM(CB9:CB11)</f>
        <v>136358247</v>
      </c>
      <c r="CD9" s="226"/>
      <c r="CE9" s="226"/>
      <c r="CF9" s="226"/>
    </row>
    <row r="10" spans="2:84">
      <c r="B10" s="787"/>
      <c r="C10" s="236" t="s">
        <v>620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0</v>
      </c>
      <c r="BZ10" s="771"/>
      <c r="CA10" s="226"/>
      <c r="CB10" s="237">
        <f t="shared" si="1"/>
        <v>0</v>
      </c>
      <c r="CC10" s="771"/>
      <c r="CD10" s="226"/>
      <c r="CE10" s="226"/>
      <c r="CF10" s="226"/>
    </row>
    <row r="11" spans="2:84"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/>
      <c r="L11" s="240">
        <v>5500000</v>
      </c>
      <c r="M11" s="240">
        <f>22000000+165083</f>
        <v>22165083</v>
      </c>
      <c r="N11" s="240">
        <f>8700000+215833</f>
        <v>8915833</v>
      </c>
      <c r="O11" s="240">
        <f>8600000+271833</f>
        <v>8871833</v>
      </c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45452749</v>
      </c>
      <c r="BZ11" s="776"/>
      <c r="CA11" s="245"/>
      <c r="CB11" s="241">
        <f t="shared" si="1"/>
        <v>90905498</v>
      </c>
      <c r="CC11" s="776"/>
      <c r="CD11" s="245"/>
      <c r="CE11" s="245"/>
      <c r="CF11" s="245"/>
    </row>
    <row r="12" spans="2:84"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>
        <f>SUM(Rentroll!$P$2:$P$4)</f>
        <v>613346.05139999976</v>
      </c>
      <c r="R12" s="234">
        <f>SUM(Rentroll!$P$2:$P$4)</f>
        <v>613346.05139999976</v>
      </c>
      <c r="S12" s="234">
        <f>SUM(Rentroll!$P$2:$P$4)</f>
        <v>613346.05139999976</v>
      </c>
      <c r="T12" s="234">
        <f>SUM(Rentroll!$P$2:$P$4)</f>
        <v>613346.05139999976</v>
      </c>
      <c r="U12" s="234">
        <f>SUM(Rentroll!$P$2:$P$4)</f>
        <v>613346.05139999976</v>
      </c>
      <c r="V12" s="234">
        <f>SUM(Rentroll!$P$2:$P$4)</f>
        <v>613346.05139999976</v>
      </c>
      <c r="W12" s="234">
        <f>SUM(Rentroll!$P$2:$P$4)</f>
        <v>613346.05139999976</v>
      </c>
      <c r="X12" s="234">
        <f>SUM(Rentroll!$P$2:$P$4)</f>
        <v>613346.05139999976</v>
      </c>
      <c r="Y12" s="234">
        <f>SUM(Rentroll!$P$2:$P$4)</f>
        <v>613346.05139999976</v>
      </c>
      <c r="Z12" s="234">
        <f>SUM(Rentroll!$P$2:$P$4)</f>
        <v>613346.05139999976</v>
      </c>
      <c r="AA12" s="234">
        <f>SUM(Rentroll!$P$2:$P$4)</f>
        <v>613346.05139999976</v>
      </c>
      <c r="AB12" s="234">
        <f>SUM(Rentroll!$P$2:$P$4)</f>
        <v>613346.05139999976</v>
      </c>
      <c r="AC12" s="234">
        <f>SUM(Rentroll!$P$2:$P$4)</f>
        <v>613346.05139999976</v>
      </c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7973498.6681999993</v>
      </c>
      <c r="BZ12" s="775">
        <f>SUM(BY12:BY15)</f>
        <v>149099899.14342415</v>
      </c>
      <c r="CA12" s="226"/>
      <c r="CB12" s="237">
        <f t="shared" si="1"/>
        <v>165046896.47982416</v>
      </c>
      <c r="CC12" s="775">
        <f>SUM(CB12:CB15)</f>
        <v>447299697.43027246</v>
      </c>
      <c r="CD12" s="226"/>
      <c r="CE12" s="242"/>
      <c r="CF12" s="226"/>
    </row>
    <row r="13" spans="2:84"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>
        <f>Businessplan_prodej!$J$25</f>
        <v>134227900.78571424</v>
      </c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  <c r="CA13" s="226"/>
      <c r="CB13" s="237">
        <f t="shared" si="1"/>
        <v>268455801.57142848</v>
      </c>
      <c r="CC13" s="771"/>
      <c r="CD13" s="226"/>
      <c r="CE13" s="226"/>
      <c r="CF13" s="226"/>
    </row>
    <row r="14" spans="2:84"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>
        <v>6227</v>
      </c>
      <c r="J14" s="235">
        <v>14588</v>
      </c>
      <c r="K14" s="235">
        <f t="shared" ref="K14:O14" si="2">-(SUM(I23,I37)-SUM(I23,I37)/1.21)</f>
        <v>135544.58677685948</v>
      </c>
      <c r="L14" s="235">
        <f t="shared" si="2"/>
        <v>175965.38851239672</v>
      </c>
      <c r="M14" s="235">
        <f t="shared" si="2"/>
        <v>269129.15509917354</v>
      </c>
      <c r="N14" s="235">
        <f t="shared" si="2"/>
        <v>59788.500082644634</v>
      </c>
      <c r="O14" s="235">
        <f t="shared" si="2"/>
        <v>59788.500082644634</v>
      </c>
      <c r="P14" s="235">
        <f>-O15+7000000-(SUM(N23,N37)-SUM(N23,N37)/1.21)</f>
        <v>-1410211.4999173554</v>
      </c>
      <c r="Q14" s="235">
        <f>-(SUM(O23,O37)-SUM(O23,O37)/1.21)</f>
        <v>110832.96908264456</v>
      </c>
      <c r="R14" s="235">
        <f>-(SUM(Rentroll!$K$2:$K$4)+Rentroll!$N$2)-(SUM(P23,P37)-SUM(P23,P37)/1.21)</f>
        <v>-42064.712639669437</v>
      </c>
      <c r="S14" s="235">
        <f>-(SUM(Rentroll!$K$2:$K$4)+Rentroll!$N$2)-(SUM(Q23,Q37,Q63)-SUM(Q23,Q37,Q63)/1.21)</f>
        <v>-84625.578817355359</v>
      </c>
      <c r="T14" s="235">
        <f>-(SUM(Rentroll!$K$2:$K$4)+Rentroll!$N$2)-(SUM(R23,R37,R63)-SUM(R23,R37,R63)/1.21)</f>
        <v>-84625.578817355359</v>
      </c>
      <c r="U14" s="235">
        <f>-(SUM(Rentroll!$K$2:$K$4)+Rentroll!$N$2)-(SUM(S23,S37,S63)-SUM(S23,S37,S63)/1.21)</f>
        <v>-84625.578817355359</v>
      </c>
      <c r="V14" s="235">
        <f>-(SUM(Rentroll!$K$2:$K$4)+Rentroll!$N$2)-(SUM(T23,T37,T63)-SUM(T23,T37,T63)/1.21)</f>
        <v>-84625.578817355359</v>
      </c>
      <c r="W14" s="235">
        <f>-(SUM(Rentroll!$K$2:$K$4)+Rentroll!$N$2)-(SUM(U23,U37,U63)-SUM(U23,U37,U63)/1.21)</f>
        <v>-87512.268899999995</v>
      </c>
      <c r="X14" s="235">
        <f>-(SUM(Rentroll!$K$2:$K$4)+Rentroll!$N$2)-(SUM(V23,V37,V63)-SUM(V23,V37,V63)/1.21)</f>
        <v>-87512.268899999995</v>
      </c>
      <c r="Y14" s="235">
        <f>-(SUM(Rentroll!$K$2:$K$4)+Rentroll!$N$2)-(SUM(W23,W37,W63)-SUM(W23,W37,W63)/1.21)</f>
        <v>-87512.268899999995</v>
      </c>
      <c r="Z14" s="235">
        <f>-(SUM(Rentroll!$K$2:$K$4)+Rentroll!$N$2)-(SUM(X23,X37,X63)-SUM(X23,X37,X63)/1.21)</f>
        <v>-87512.268899999995</v>
      </c>
      <c r="AA14" s="235">
        <f>-(SUM(Rentroll!$K$2:$K$4)+Rentroll!$N$2)-(SUM(Y23,Y37,Y63)-SUM(Y23,Y37,Y63)/1.21)</f>
        <v>-87512.268899999995</v>
      </c>
      <c r="AB14" s="235">
        <f>-(SUM(Rentroll!$K$2:$K$4)+Rentroll!$N$2)-(SUM(Z23,Z37,Z63)-SUM(Z23,Z37,Z63)/1.21)</f>
        <v>-87512.268899999995</v>
      </c>
      <c r="AC14" s="235">
        <f>-(SUM(Rentroll!$K$2:$K$4)+Rentroll!$N$2)-(SUM(AA23,AA37,AA63)-SUM(AA23,AA37,AA63)/1.21)</f>
        <v>-87512.268899999995</v>
      </c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-1571500.3104900827</v>
      </c>
      <c r="BZ14" s="771"/>
      <c r="CA14" s="226"/>
      <c r="CB14" s="237">
        <f t="shared" si="1"/>
        <v>-3143000.6209801654</v>
      </c>
      <c r="CC14" s="771"/>
      <c r="CD14" s="226"/>
      <c r="CE14" s="226">
        <f>51450000</f>
        <v>51450000</v>
      </c>
      <c r="CF14" s="226">
        <f>BY11/24.5</f>
        <v>1855214.2448979593</v>
      </c>
    </row>
    <row r="15" spans="2:84">
      <c r="B15" s="768"/>
      <c r="C15" s="238" t="s">
        <v>265</v>
      </c>
      <c r="D15" s="239" t="s">
        <v>264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>
        <f>7000000*1.21</f>
        <v>8470000</v>
      </c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38"/>
      <c r="BY15" s="241">
        <f t="shared" si="0"/>
        <v>8470000</v>
      </c>
      <c r="BZ15" s="776"/>
      <c r="CA15" s="226"/>
      <c r="CB15" s="241">
        <f t="shared" si="1"/>
        <v>16940000</v>
      </c>
      <c r="CC15" s="776"/>
      <c r="CD15" s="226"/>
      <c r="CE15" s="226">
        <f>CE14/24.5</f>
        <v>2100000</v>
      </c>
      <c r="CF15" s="226"/>
    </row>
    <row r="16" spans="2:84" ht="16">
      <c r="B16" s="788" t="s">
        <v>266</v>
      </c>
      <c r="C16" s="774"/>
      <c r="D16" s="246"/>
      <c r="E16" s="247">
        <f t="shared" ref="E16:BX16" si="3">SUM(E5:E15)</f>
        <v>0</v>
      </c>
      <c r="F16" s="247">
        <f t="shared" si="3"/>
        <v>0</v>
      </c>
      <c r="G16" s="247">
        <f t="shared" si="3"/>
        <v>0</v>
      </c>
      <c r="H16" s="247">
        <f t="shared" si="3"/>
        <v>16365002</v>
      </c>
      <c r="I16" s="247">
        <f t="shared" si="3"/>
        <v>6227</v>
      </c>
      <c r="J16" s="247">
        <f t="shared" si="3"/>
        <v>8347921</v>
      </c>
      <c r="K16" s="247">
        <f t="shared" si="3"/>
        <v>1020544.5867768595</v>
      </c>
      <c r="L16" s="247">
        <f t="shared" si="3"/>
        <v>14675965.388512397</v>
      </c>
      <c r="M16" s="247">
        <f t="shared" si="3"/>
        <v>22434212.155099172</v>
      </c>
      <c r="N16" s="247">
        <f t="shared" si="3"/>
        <v>8975621.5000826456</v>
      </c>
      <c r="O16" s="247">
        <f t="shared" si="3"/>
        <v>17401621.500082646</v>
      </c>
      <c r="P16" s="247">
        <f t="shared" si="3"/>
        <v>-1410211.4999173554</v>
      </c>
      <c r="Q16" s="247">
        <f t="shared" si="3"/>
        <v>724179.02048264432</v>
      </c>
      <c r="R16" s="247">
        <f t="shared" si="3"/>
        <v>571281.33876033034</v>
      </c>
      <c r="S16" s="247">
        <f t="shared" si="3"/>
        <v>528720.47258264443</v>
      </c>
      <c r="T16" s="247">
        <f t="shared" si="3"/>
        <v>528720.47258264443</v>
      </c>
      <c r="U16" s="247">
        <f t="shared" si="3"/>
        <v>528720.47258264443</v>
      </c>
      <c r="V16" s="247">
        <f t="shared" si="3"/>
        <v>528720.47258264443</v>
      </c>
      <c r="W16" s="247">
        <f t="shared" si="3"/>
        <v>525833.78249999974</v>
      </c>
      <c r="X16" s="247">
        <f t="shared" si="3"/>
        <v>525833.78249999974</v>
      </c>
      <c r="Y16" s="247">
        <f t="shared" si="3"/>
        <v>525833.78249999974</v>
      </c>
      <c r="Z16" s="247">
        <f t="shared" si="3"/>
        <v>525833.78249999974</v>
      </c>
      <c r="AA16" s="247">
        <f t="shared" si="3"/>
        <v>525833.78249999974</v>
      </c>
      <c r="AB16" s="247">
        <f t="shared" si="3"/>
        <v>525833.78249999974</v>
      </c>
      <c r="AC16" s="247">
        <f t="shared" si="3"/>
        <v>134753734.56821424</v>
      </c>
      <c r="AD16" s="247">
        <f t="shared" si="3"/>
        <v>0</v>
      </c>
      <c r="AE16" s="247">
        <f t="shared" si="3"/>
        <v>0</v>
      </c>
      <c r="AF16" s="247">
        <f t="shared" si="3"/>
        <v>0</v>
      </c>
      <c r="AG16" s="247">
        <f t="shared" si="3"/>
        <v>0</v>
      </c>
      <c r="AH16" s="247">
        <f t="shared" si="3"/>
        <v>0</v>
      </c>
      <c r="AI16" s="247">
        <f t="shared" si="3"/>
        <v>0</v>
      </c>
      <c r="AJ16" s="247">
        <f t="shared" si="3"/>
        <v>0</v>
      </c>
      <c r="AK16" s="247">
        <f t="shared" si="3"/>
        <v>0</v>
      </c>
      <c r="AL16" s="247">
        <f t="shared" si="3"/>
        <v>0</v>
      </c>
      <c r="AM16" s="247">
        <f t="shared" si="3"/>
        <v>0</v>
      </c>
      <c r="AN16" s="247">
        <f t="shared" si="3"/>
        <v>0</v>
      </c>
      <c r="AO16" s="247">
        <f t="shared" si="3"/>
        <v>0</v>
      </c>
      <c r="AP16" s="247">
        <f t="shared" si="3"/>
        <v>0</v>
      </c>
      <c r="AQ16" s="247">
        <f t="shared" si="3"/>
        <v>0</v>
      </c>
      <c r="AR16" s="247">
        <f t="shared" si="3"/>
        <v>0</v>
      </c>
      <c r="AS16" s="247">
        <f t="shared" si="3"/>
        <v>0</v>
      </c>
      <c r="AT16" s="247">
        <f t="shared" si="3"/>
        <v>0</v>
      </c>
      <c r="AU16" s="247">
        <f t="shared" si="3"/>
        <v>0</v>
      </c>
      <c r="AV16" s="247">
        <f t="shared" si="3"/>
        <v>0</v>
      </c>
      <c r="AW16" s="247">
        <f t="shared" si="3"/>
        <v>0</v>
      </c>
      <c r="AX16" s="247">
        <f t="shared" si="3"/>
        <v>0</v>
      </c>
      <c r="AY16" s="247">
        <f t="shared" si="3"/>
        <v>0</v>
      </c>
      <c r="AZ16" s="247">
        <f t="shared" si="3"/>
        <v>0</v>
      </c>
      <c r="BA16" s="247">
        <f t="shared" si="3"/>
        <v>0</v>
      </c>
      <c r="BB16" s="247">
        <f t="shared" si="3"/>
        <v>0</v>
      </c>
      <c r="BC16" s="247">
        <f t="shared" si="3"/>
        <v>0</v>
      </c>
      <c r="BD16" s="247">
        <f t="shared" si="3"/>
        <v>0</v>
      </c>
      <c r="BE16" s="247">
        <f t="shared" si="3"/>
        <v>0</v>
      </c>
      <c r="BF16" s="247">
        <f t="shared" si="3"/>
        <v>0</v>
      </c>
      <c r="BG16" s="247">
        <f t="shared" si="3"/>
        <v>0</v>
      </c>
      <c r="BH16" s="247">
        <f t="shared" si="3"/>
        <v>0</v>
      </c>
      <c r="BI16" s="247">
        <f t="shared" si="3"/>
        <v>0</v>
      </c>
      <c r="BJ16" s="247">
        <f t="shared" si="3"/>
        <v>0</v>
      </c>
      <c r="BK16" s="247">
        <f t="shared" si="3"/>
        <v>0</v>
      </c>
      <c r="BL16" s="247">
        <f t="shared" si="3"/>
        <v>0</v>
      </c>
      <c r="BM16" s="247">
        <f t="shared" si="3"/>
        <v>0</v>
      </c>
      <c r="BN16" s="247">
        <f t="shared" si="3"/>
        <v>0</v>
      </c>
      <c r="BO16" s="247">
        <f t="shared" si="3"/>
        <v>0</v>
      </c>
      <c r="BP16" s="247">
        <f t="shared" si="3"/>
        <v>0</v>
      </c>
      <c r="BQ16" s="247">
        <f t="shared" si="3"/>
        <v>0</v>
      </c>
      <c r="BR16" s="247">
        <f t="shared" si="3"/>
        <v>0</v>
      </c>
      <c r="BS16" s="247">
        <f t="shared" si="3"/>
        <v>0</v>
      </c>
      <c r="BT16" s="247">
        <f t="shared" si="3"/>
        <v>0</v>
      </c>
      <c r="BU16" s="247">
        <f t="shared" si="3"/>
        <v>0</v>
      </c>
      <c r="BV16" s="247">
        <f t="shared" si="3"/>
        <v>0</v>
      </c>
      <c r="BW16" s="247">
        <f t="shared" si="3"/>
        <v>0</v>
      </c>
      <c r="BX16" s="247">
        <f t="shared" si="3"/>
        <v>0</v>
      </c>
      <c r="BY16" s="778">
        <f>BZ5+BZ9+BZ12</f>
        <v>229135983.14342415</v>
      </c>
      <c r="BZ16" s="774"/>
      <c r="CA16" s="226"/>
      <c r="CB16" s="778">
        <f>CC5+CC9+CC12</f>
        <v>687407949.43027246</v>
      </c>
      <c r="CC16" s="774"/>
      <c r="CD16" s="226"/>
      <c r="CE16" s="226"/>
      <c r="CF16" s="226"/>
    </row>
    <row r="17" spans="2:81" ht="16" collapsed="1">
      <c r="B17" s="789" t="s">
        <v>267</v>
      </c>
      <c r="C17" s="248" t="s">
        <v>268</v>
      </c>
      <c r="D17" s="249"/>
      <c r="E17" s="250">
        <f t="shared" ref="E17:BY17" si="4">SUM(E18:E22)</f>
        <v>0</v>
      </c>
      <c r="F17" s="250">
        <f t="shared" si="4"/>
        <v>0</v>
      </c>
      <c r="G17" s="250">
        <f t="shared" si="4"/>
        <v>0</v>
      </c>
      <c r="H17" s="250">
        <f t="shared" si="4"/>
        <v>-10620712</v>
      </c>
      <c r="I17" s="250">
        <f t="shared" si="4"/>
        <v>0</v>
      </c>
      <c r="J17" s="250">
        <f t="shared" si="4"/>
        <v>-808333</v>
      </c>
      <c r="K17" s="250">
        <f t="shared" si="4"/>
        <v>0</v>
      </c>
      <c r="L17" s="250">
        <f t="shared" si="4"/>
        <v>0</v>
      </c>
      <c r="M17" s="250">
        <f t="shared" si="4"/>
        <v>0</v>
      </c>
      <c r="N17" s="250">
        <f t="shared" si="4"/>
        <v>0</v>
      </c>
      <c r="O17" s="250">
        <f t="shared" si="4"/>
        <v>0</v>
      </c>
      <c r="P17" s="250">
        <f t="shared" si="4"/>
        <v>0</v>
      </c>
      <c r="Q17" s="250">
        <f t="shared" si="4"/>
        <v>0</v>
      </c>
      <c r="R17" s="250">
        <f t="shared" si="4"/>
        <v>0</v>
      </c>
      <c r="S17" s="250">
        <f t="shared" si="4"/>
        <v>0</v>
      </c>
      <c r="T17" s="250">
        <f t="shared" si="4"/>
        <v>0</v>
      </c>
      <c r="U17" s="250">
        <f t="shared" si="4"/>
        <v>0</v>
      </c>
      <c r="V17" s="250">
        <f t="shared" si="4"/>
        <v>0</v>
      </c>
      <c r="W17" s="250">
        <f t="shared" si="4"/>
        <v>0</v>
      </c>
      <c r="X17" s="250">
        <f t="shared" si="4"/>
        <v>0</v>
      </c>
      <c r="Y17" s="250">
        <f t="shared" si="4"/>
        <v>0</v>
      </c>
      <c r="Z17" s="250">
        <f t="shared" si="4"/>
        <v>0</v>
      </c>
      <c r="AA17" s="250">
        <f t="shared" si="4"/>
        <v>0</v>
      </c>
      <c r="AB17" s="250">
        <f t="shared" si="4"/>
        <v>0</v>
      </c>
      <c r="AC17" s="250">
        <f t="shared" si="4"/>
        <v>0</v>
      </c>
      <c r="AD17" s="250">
        <f t="shared" si="4"/>
        <v>0</v>
      </c>
      <c r="AE17" s="250">
        <f t="shared" si="4"/>
        <v>0</v>
      </c>
      <c r="AF17" s="250">
        <f t="shared" si="4"/>
        <v>0</v>
      </c>
      <c r="AG17" s="250">
        <f t="shared" si="4"/>
        <v>0</v>
      </c>
      <c r="AH17" s="250">
        <f t="shared" si="4"/>
        <v>0</v>
      </c>
      <c r="AI17" s="250">
        <f t="shared" si="4"/>
        <v>0</v>
      </c>
      <c r="AJ17" s="250">
        <f t="shared" si="4"/>
        <v>0</v>
      </c>
      <c r="AK17" s="250">
        <f t="shared" si="4"/>
        <v>0</v>
      </c>
      <c r="AL17" s="250">
        <f t="shared" si="4"/>
        <v>0</v>
      </c>
      <c r="AM17" s="250">
        <f t="shared" si="4"/>
        <v>0</v>
      </c>
      <c r="AN17" s="250">
        <f t="shared" si="4"/>
        <v>0</v>
      </c>
      <c r="AO17" s="250">
        <f t="shared" si="4"/>
        <v>0</v>
      </c>
      <c r="AP17" s="250">
        <f t="shared" si="4"/>
        <v>0</v>
      </c>
      <c r="AQ17" s="250">
        <f t="shared" si="4"/>
        <v>0</v>
      </c>
      <c r="AR17" s="250">
        <f t="shared" si="4"/>
        <v>0</v>
      </c>
      <c r="AS17" s="250">
        <f t="shared" si="4"/>
        <v>0</v>
      </c>
      <c r="AT17" s="250">
        <f t="shared" si="4"/>
        <v>0</v>
      </c>
      <c r="AU17" s="250">
        <f t="shared" si="4"/>
        <v>0</v>
      </c>
      <c r="AV17" s="250">
        <f t="shared" si="4"/>
        <v>0</v>
      </c>
      <c r="AW17" s="250">
        <f t="shared" si="4"/>
        <v>0</v>
      </c>
      <c r="AX17" s="250">
        <f t="shared" si="4"/>
        <v>0</v>
      </c>
      <c r="AY17" s="250">
        <f t="shared" si="4"/>
        <v>0</v>
      </c>
      <c r="AZ17" s="250">
        <f t="shared" si="4"/>
        <v>0</v>
      </c>
      <c r="BA17" s="250">
        <f t="shared" si="4"/>
        <v>0</v>
      </c>
      <c r="BB17" s="250">
        <f t="shared" si="4"/>
        <v>0</v>
      </c>
      <c r="BC17" s="250">
        <f t="shared" si="4"/>
        <v>0</v>
      </c>
      <c r="BD17" s="250">
        <f t="shared" si="4"/>
        <v>0</v>
      </c>
      <c r="BE17" s="250">
        <f t="shared" si="4"/>
        <v>0</v>
      </c>
      <c r="BF17" s="250">
        <f t="shared" si="4"/>
        <v>0</v>
      </c>
      <c r="BG17" s="250">
        <f t="shared" si="4"/>
        <v>0</v>
      </c>
      <c r="BH17" s="250">
        <f t="shared" si="4"/>
        <v>0</v>
      </c>
      <c r="BI17" s="250">
        <f t="shared" si="4"/>
        <v>0</v>
      </c>
      <c r="BJ17" s="250">
        <f t="shared" si="4"/>
        <v>0</v>
      </c>
      <c r="BK17" s="250">
        <f t="shared" si="4"/>
        <v>0</v>
      </c>
      <c r="BL17" s="250">
        <f t="shared" si="4"/>
        <v>0</v>
      </c>
      <c r="BM17" s="250">
        <f t="shared" si="4"/>
        <v>0</v>
      </c>
      <c r="BN17" s="250">
        <f t="shared" si="4"/>
        <v>0</v>
      </c>
      <c r="BO17" s="250">
        <f t="shared" si="4"/>
        <v>0</v>
      </c>
      <c r="BP17" s="250">
        <f t="shared" si="4"/>
        <v>0</v>
      </c>
      <c r="BQ17" s="250">
        <f t="shared" si="4"/>
        <v>0</v>
      </c>
      <c r="BR17" s="250">
        <f t="shared" si="4"/>
        <v>0</v>
      </c>
      <c r="BS17" s="250">
        <f t="shared" si="4"/>
        <v>0</v>
      </c>
      <c r="BT17" s="250">
        <f t="shared" si="4"/>
        <v>0</v>
      </c>
      <c r="BU17" s="250">
        <f t="shared" si="4"/>
        <v>0</v>
      </c>
      <c r="BV17" s="250">
        <f t="shared" si="4"/>
        <v>0</v>
      </c>
      <c r="BW17" s="250">
        <f t="shared" si="4"/>
        <v>0</v>
      </c>
      <c r="BX17" s="250">
        <f t="shared" si="4"/>
        <v>0</v>
      </c>
      <c r="BY17" s="251">
        <f t="shared" si="4"/>
        <v>-11429045</v>
      </c>
      <c r="BZ17" s="777">
        <f>BY17+BY23+BY26+BY34+BY37+BY49+BY55+BY63+BY87</f>
        <v>-84998328.758083329</v>
      </c>
      <c r="CA17" s="226"/>
      <c r="CB17" s="252"/>
      <c r="CC17" s="777"/>
    </row>
    <row r="18" spans="2:81" ht="16" hidden="1" outlineLevel="1">
      <c r="B18" s="787"/>
      <c r="C18" s="253" t="s">
        <v>269</v>
      </c>
      <c r="D18" s="254" t="s">
        <v>270</v>
      </c>
      <c r="E18" s="255"/>
      <c r="F18" s="255"/>
      <c r="G18" s="255"/>
      <c r="H18" s="256">
        <f>-8458812-2161900</f>
        <v>-10620712</v>
      </c>
      <c r="I18" s="256"/>
      <c r="J18" s="256">
        <f>-657296-151037</f>
        <v>-808333</v>
      </c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7">
        <f t="shared" ref="BY18:BY22" si="5">SUM(E18:BX18)</f>
        <v>-11429045</v>
      </c>
      <c r="BZ18" s="771"/>
      <c r="CA18" s="226"/>
      <c r="CB18" s="252"/>
      <c r="CC18" s="771"/>
    </row>
    <row r="19" spans="2:81" ht="16" hidden="1" outlineLevel="1">
      <c r="B19" s="787"/>
      <c r="C19" s="253" t="s">
        <v>271</v>
      </c>
      <c r="D19" s="254" t="s">
        <v>270</v>
      </c>
      <c r="E19" s="255"/>
      <c r="F19" s="255"/>
      <c r="G19" s="255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si="5"/>
        <v>0</v>
      </c>
      <c r="BZ19" s="771"/>
      <c r="CA19" s="226"/>
      <c r="CB19" s="252"/>
      <c r="CC19" s="771"/>
    </row>
    <row r="20" spans="2:81" ht="16" hidden="1" outlineLevel="1">
      <c r="B20" s="787"/>
      <c r="C20" s="253" t="s">
        <v>272</v>
      </c>
      <c r="D20" s="254" t="s">
        <v>270</v>
      </c>
      <c r="E20" s="255"/>
      <c r="F20" s="255"/>
      <c r="G20" s="255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5"/>
        <v>0</v>
      </c>
      <c r="BZ20" s="771"/>
      <c r="CA20" s="226"/>
      <c r="CB20" s="252"/>
      <c r="CC20" s="771"/>
    </row>
    <row r="21" spans="2:81" ht="16" hidden="1" outlineLevel="1">
      <c r="B21" s="787"/>
      <c r="C21" s="253" t="s">
        <v>273</v>
      </c>
      <c r="D21" s="254" t="s">
        <v>270</v>
      </c>
      <c r="E21" s="255"/>
      <c r="F21" s="255"/>
      <c r="G21" s="255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5"/>
        <v>0</v>
      </c>
      <c r="BZ21" s="771"/>
      <c r="CA21" s="226"/>
      <c r="CB21" s="252"/>
      <c r="CC21" s="771"/>
    </row>
    <row r="22" spans="2:81" ht="16" hidden="1" outlineLevel="1">
      <c r="B22" s="787"/>
      <c r="C22" s="253" t="s">
        <v>274</v>
      </c>
      <c r="D22" s="258" t="s">
        <v>270</v>
      </c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5"/>
        <v>0</v>
      </c>
      <c r="BZ22" s="771"/>
      <c r="CA22" s="226"/>
      <c r="CB22" s="252"/>
      <c r="CC22" s="771"/>
    </row>
    <row r="23" spans="2:81" ht="16">
      <c r="B23" s="787"/>
      <c r="C23" s="248" t="s">
        <v>275</v>
      </c>
      <c r="D23" s="249"/>
      <c r="E23" s="250">
        <f t="shared" ref="E23:BY23" si="6">SUM(E24:E25)</f>
        <v>0</v>
      </c>
      <c r="F23" s="250">
        <f t="shared" si="6"/>
        <v>0</v>
      </c>
      <c r="G23" s="250">
        <f t="shared" si="6"/>
        <v>0</v>
      </c>
      <c r="H23" s="250">
        <f t="shared" si="6"/>
        <v>0</v>
      </c>
      <c r="I23" s="250">
        <f t="shared" si="6"/>
        <v>-366025</v>
      </c>
      <c r="J23" s="250">
        <f t="shared" si="6"/>
        <v>0</v>
      </c>
      <c r="K23" s="250">
        <f t="shared" si="6"/>
        <v>-288524.5</v>
      </c>
      <c r="L23" s="250">
        <f t="shared" si="6"/>
        <v>0</v>
      </c>
      <c r="M23" s="250">
        <f t="shared" si="6"/>
        <v>0</v>
      </c>
      <c r="N23" s="250">
        <f t="shared" si="6"/>
        <v>0</v>
      </c>
      <c r="O23" s="250">
        <f t="shared" si="6"/>
        <v>0</v>
      </c>
      <c r="P23" s="250">
        <f t="shared" si="6"/>
        <v>0</v>
      </c>
      <c r="Q23" s="250">
        <f t="shared" si="6"/>
        <v>0</v>
      </c>
      <c r="R23" s="250">
        <f t="shared" si="6"/>
        <v>0</v>
      </c>
      <c r="S23" s="250">
        <f t="shared" si="6"/>
        <v>0</v>
      </c>
      <c r="T23" s="250">
        <f t="shared" si="6"/>
        <v>0</v>
      </c>
      <c r="U23" s="250">
        <f t="shared" si="6"/>
        <v>0</v>
      </c>
      <c r="V23" s="250">
        <f t="shared" si="6"/>
        <v>0</v>
      </c>
      <c r="W23" s="250">
        <f t="shared" si="6"/>
        <v>0</v>
      </c>
      <c r="X23" s="250">
        <f t="shared" si="6"/>
        <v>0</v>
      </c>
      <c r="Y23" s="250">
        <f t="shared" si="6"/>
        <v>0</v>
      </c>
      <c r="Z23" s="250">
        <f t="shared" si="6"/>
        <v>0</v>
      </c>
      <c r="AA23" s="250">
        <f t="shared" si="6"/>
        <v>0</v>
      </c>
      <c r="AB23" s="250">
        <f t="shared" si="6"/>
        <v>0</v>
      </c>
      <c r="AC23" s="250">
        <f t="shared" si="6"/>
        <v>0</v>
      </c>
      <c r="AD23" s="250">
        <f t="shared" si="6"/>
        <v>0</v>
      </c>
      <c r="AE23" s="250">
        <f t="shared" si="6"/>
        <v>0</v>
      </c>
      <c r="AF23" s="250">
        <f t="shared" si="6"/>
        <v>0</v>
      </c>
      <c r="AG23" s="250">
        <f t="shared" si="6"/>
        <v>0</v>
      </c>
      <c r="AH23" s="250">
        <f t="shared" si="6"/>
        <v>0</v>
      </c>
      <c r="AI23" s="250">
        <f t="shared" si="6"/>
        <v>0</v>
      </c>
      <c r="AJ23" s="250">
        <f t="shared" si="6"/>
        <v>0</v>
      </c>
      <c r="AK23" s="250">
        <f t="shared" si="6"/>
        <v>0</v>
      </c>
      <c r="AL23" s="250">
        <f t="shared" si="6"/>
        <v>0</v>
      </c>
      <c r="AM23" s="250">
        <f t="shared" si="6"/>
        <v>0</v>
      </c>
      <c r="AN23" s="250">
        <f t="shared" si="6"/>
        <v>0</v>
      </c>
      <c r="AO23" s="250">
        <f t="shared" si="6"/>
        <v>0</v>
      </c>
      <c r="AP23" s="250">
        <f t="shared" si="6"/>
        <v>0</v>
      </c>
      <c r="AQ23" s="250">
        <f t="shared" si="6"/>
        <v>0</v>
      </c>
      <c r="AR23" s="250">
        <f t="shared" si="6"/>
        <v>0</v>
      </c>
      <c r="AS23" s="250">
        <f t="shared" si="6"/>
        <v>0</v>
      </c>
      <c r="AT23" s="250">
        <f t="shared" si="6"/>
        <v>0</v>
      </c>
      <c r="AU23" s="250">
        <f t="shared" si="6"/>
        <v>0</v>
      </c>
      <c r="AV23" s="250">
        <f t="shared" si="6"/>
        <v>0</v>
      </c>
      <c r="AW23" s="250">
        <f t="shared" si="6"/>
        <v>0</v>
      </c>
      <c r="AX23" s="250">
        <f t="shared" si="6"/>
        <v>0</v>
      </c>
      <c r="AY23" s="250">
        <f t="shared" si="6"/>
        <v>0</v>
      </c>
      <c r="AZ23" s="250">
        <f t="shared" si="6"/>
        <v>0</v>
      </c>
      <c r="BA23" s="250">
        <f t="shared" si="6"/>
        <v>0</v>
      </c>
      <c r="BB23" s="250">
        <f t="shared" si="6"/>
        <v>0</v>
      </c>
      <c r="BC23" s="250">
        <f t="shared" si="6"/>
        <v>0</v>
      </c>
      <c r="BD23" s="250">
        <f t="shared" si="6"/>
        <v>0</v>
      </c>
      <c r="BE23" s="250">
        <f t="shared" si="6"/>
        <v>0</v>
      </c>
      <c r="BF23" s="250">
        <f t="shared" si="6"/>
        <v>0</v>
      </c>
      <c r="BG23" s="250">
        <f t="shared" si="6"/>
        <v>0</v>
      </c>
      <c r="BH23" s="250">
        <f t="shared" si="6"/>
        <v>0</v>
      </c>
      <c r="BI23" s="250">
        <f t="shared" si="6"/>
        <v>0</v>
      </c>
      <c r="BJ23" s="250">
        <f t="shared" si="6"/>
        <v>0</v>
      </c>
      <c r="BK23" s="250">
        <f t="shared" si="6"/>
        <v>0</v>
      </c>
      <c r="BL23" s="250">
        <f t="shared" si="6"/>
        <v>0</v>
      </c>
      <c r="BM23" s="250">
        <f t="shared" si="6"/>
        <v>0</v>
      </c>
      <c r="BN23" s="250">
        <f t="shared" si="6"/>
        <v>0</v>
      </c>
      <c r="BO23" s="250">
        <f t="shared" si="6"/>
        <v>0</v>
      </c>
      <c r="BP23" s="250">
        <f t="shared" si="6"/>
        <v>0</v>
      </c>
      <c r="BQ23" s="250">
        <f t="shared" si="6"/>
        <v>0</v>
      </c>
      <c r="BR23" s="250">
        <f t="shared" si="6"/>
        <v>0</v>
      </c>
      <c r="BS23" s="250">
        <f t="shared" si="6"/>
        <v>0</v>
      </c>
      <c r="BT23" s="250">
        <f t="shared" si="6"/>
        <v>0</v>
      </c>
      <c r="BU23" s="250">
        <f t="shared" si="6"/>
        <v>0</v>
      </c>
      <c r="BV23" s="250">
        <f t="shared" si="6"/>
        <v>0</v>
      </c>
      <c r="BW23" s="250">
        <f t="shared" si="6"/>
        <v>0</v>
      </c>
      <c r="BX23" s="250">
        <f t="shared" si="6"/>
        <v>0</v>
      </c>
      <c r="BY23" s="251">
        <f t="shared" si="6"/>
        <v>-654549.5</v>
      </c>
      <c r="BZ23" s="771"/>
      <c r="CA23" s="226"/>
      <c r="CB23" s="252"/>
      <c r="CC23" s="771"/>
    </row>
    <row r="24" spans="2:81" ht="16" outlineLevel="1">
      <c r="B24" s="787"/>
      <c r="C24" s="253" t="s">
        <v>276</v>
      </c>
      <c r="D24" s="258" t="s">
        <v>270</v>
      </c>
      <c r="E24" s="259"/>
      <c r="F24" s="259"/>
      <c r="G24" s="259"/>
      <c r="H24" s="260"/>
      <c r="I24" s="260">
        <f>-302500*1.21</f>
        <v>-366025</v>
      </c>
      <c r="J24" s="260"/>
      <c r="K24" s="260">
        <f>-152500*1.21</f>
        <v>-184525</v>
      </c>
      <c r="L24" s="260"/>
      <c r="M24" s="260"/>
      <c r="N24" s="260"/>
      <c r="O24" s="260"/>
      <c r="P24" s="260"/>
      <c r="Q24" s="260"/>
      <c r="R24" s="260"/>
      <c r="S24" s="260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57">
        <f t="shared" ref="BY24:BY25" si="7">SUM(E24:BX24)</f>
        <v>-550550</v>
      </c>
      <c r="BZ24" s="771"/>
      <c r="CA24" s="226"/>
      <c r="CB24" s="252"/>
      <c r="CC24" s="771"/>
    </row>
    <row r="25" spans="2:81" ht="16" outlineLevel="1">
      <c r="B25" s="787"/>
      <c r="C25" s="253" t="s">
        <v>277</v>
      </c>
      <c r="D25" s="258" t="s">
        <v>270</v>
      </c>
      <c r="E25" s="259"/>
      <c r="F25" s="259"/>
      <c r="G25" s="259"/>
      <c r="H25" s="260"/>
      <c r="I25" s="260"/>
      <c r="J25" s="260"/>
      <c r="K25" s="260">
        <f>-Businessplan_prodej!$F$22*1.21</f>
        <v>-103999.5</v>
      </c>
      <c r="L25" s="260"/>
      <c r="M25" s="260"/>
      <c r="N25" s="260"/>
      <c r="O25" s="260"/>
      <c r="P25" s="260"/>
      <c r="Q25" s="260"/>
      <c r="R25" s="260"/>
      <c r="S25" s="260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57">
        <f t="shared" si="7"/>
        <v>-103999.5</v>
      </c>
      <c r="BZ25" s="771"/>
      <c r="CA25" s="226"/>
      <c r="CB25" s="252"/>
      <c r="CC25" s="771"/>
    </row>
    <row r="26" spans="2:81" ht="16">
      <c r="B26" s="787"/>
      <c r="C26" s="248" t="s">
        <v>278</v>
      </c>
      <c r="D26" s="249"/>
      <c r="E26" s="250">
        <f t="shared" ref="E26:BX26" si="8">SUM(E27:E33)</f>
        <v>0</v>
      </c>
      <c r="F26" s="250">
        <f t="shared" si="8"/>
        <v>0</v>
      </c>
      <c r="G26" s="250">
        <f t="shared" si="8"/>
        <v>0</v>
      </c>
      <c r="H26" s="250">
        <f t="shared" si="8"/>
        <v>-2420</v>
      </c>
      <c r="I26" s="250">
        <f t="shared" si="8"/>
        <v>-1081909</v>
      </c>
      <c r="J26" s="250">
        <f t="shared" si="8"/>
        <v>0</v>
      </c>
      <c r="K26" s="250">
        <f t="shared" si="8"/>
        <v>-7031181</v>
      </c>
      <c r="L26" s="250">
        <f t="shared" si="8"/>
        <v>-7899681</v>
      </c>
      <c r="M26" s="250">
        <f t="shared" si="8"/>
        <v>-21093542</v>
      </c>
      <c r="N26" s="250">
        <f t="shared" si="8"/>
        <v>-8788976</v>
      </c>
      <c r="O26" s="250">
        <f t="shared" si="8"/>
        <v>-8788977</v>
      </c>
      <c r="P26" s="250">
        <f t="shared" si="8"/>
        <v>-5859318</v>
      </c>
      <c r="Q26" s="250">
        <f t="shared" si="8"/>
        <v>0</v>
      </c>
      <c r="R26" s="250">
        <f t="shared" si="8"/>
        <v>0</v>
      </c>
      <c r="S26" s="250">
        <f t="shared" si="8"/>
        <v>0</v>
      </c>
      <c r="T26" s="250">
        <f t="shared" si="8"/>
        <v>0</v>
      </c>
      <c r="U26" s="250">
        <f t="shared" si="8"/>
        <v>0</v>
      </c>
      <c r="V26" s="250">
        <f t="shared" si="8"/>
        <v>0</v>
      </c>
      <c r="W26" s="250">
        <f t="shared" si="8"/>
        <v>0</v>
      </c>
      <c r="X26" s="250">
        <f t="shared" si="8"/>
        <v>0</v>
      </c>
      <c r="Y26" s="250">
        <f t="shared" si="8"/>
        <v>0</v>
      </c>
      <c r="Z26" s="250">
        <f t="shared" si="8"/>
        <v>0</v>
      </c>
      <c r="AA26" s="250">
        <f t="shared" si="8"/>
        <v>0</v>
      </c>
      <c r="AB26" s="250">
        <f t="shared" si="8"/>
        <v>0</v>
      </c>
      <c r="AC26" s="250">
        <f t="shared" si="8"/>
        <v>0</v>
      </c>
      <c r="AD26" s="250">
        <f t="shared" si="8"/>
        <v>0</v>
      </c>
      <c r="AE26" s="250">
        <f t="shared" si="8"/>
        <v>0</v>
      </c>
      <c r="AF26" s="250">
        <f t="shared" si="8"/>
        <v>0</v>
      </c>
      <c r="AG26" s="250">
        <f t="shared" si="8"/>
        <v>0</v>
      </c>
      <c r="AH26" s="250">
        <f t="shared" si="8"/>
        <v>0</v>
      </c>
      <c r="AI26" s="250">
        <f t="shared" si="8"/>
        <v>0</v>
      </c>
      <c r="AJ26" s="250">
        <f t="shared" si="8"/>
        <v>0</v>
      </c>
      <c r="AK26" s="250">
        <f t="shared" si="8"/>
        <v>0</v>
      </c>
      <c r="AL26" s="250">
        <f t="shared" si="8"/>
        <v>0</v>
      </c>
      <c r="AM26" s="250">
        <f t="shared" si="8"/>
        <v>0</v>
      </c>
      <c r="AN26" s="250">
        <f t="shared" si="8"/>
        <v>0</v>
      </c>
      <c r="AO26" s="250">
        <f t="shared" si="8"/>
        <v>0</v>
      </c>
      <c r="AP26" s="250">
        <f t="shared" si="8"/>
        <v>0</v>
      </c>
      <c r="AQ26" s="250">
        <f t="shared" si="8"/>
        <v>0</v>
      </c>
      <c r="AR26" s="250">
        <f t="shared" si="8"/>
        <v>0</v>
      </c>
      <c r="AS26" s="250">
        <f t="shared" si="8"/>
        <v>0</v>
      </c>
      <c r="AT26" s="250">
        <f t="shared" si="8"/>
        <v>0</v>
      </c>
      <c r="AU26" s="250">
        <f t="shared" si="8"/>
        <v>0</v>
      </c>
      <c r="AV26" s="250">
        <f t="shared" si="8"/>
        <v>0</v>
      </c>
      <c r="AW26" s="250">
        <f t="shared" si="8"/>
        <v>0</v>
      </c>
      <c r="AX26" s="250">
        <f t="shared" si="8"/>
        <v>0</v>
      </c>
      <c r="AY26" s="250">
        <f t="shared" si="8"/>
        <v>0</v>
      </c>
      <c r="AZ26" s="250">
        <f t="shared" si="8"/>
        <v>0</v>
      </c>
      <c r="BA26" s="250">
        <f t="shared" si="8"/>
        <v>0</v>
      </c>
      <c r="BB26" s="250">
        <f t="shared" si="8"/>
        <v>0</v>
      </c>
      <c r="BC26" s="250">
        <f t="shared" si="8"/>
        <v>0</v>
      </c>
      <c r="BD26" s="250">
        <f t="shared" si="8"/>
        <v>0</v>
      </c>
      <c r="BE26" s="250">
        <f t="shared" si="8"/>
        <v>0</v>
      </c>
      <c r="BF26" s="250">
        <f t="shared" si="8"/>
        <v>0</v>
      </c>
      <c r="BG26" s="250">
        <f t="shared" si="8"/>
        <v>0</v>
      </c>
      <c r="BH26" s="250">
        <f t="shared" si="8"/>
        <v>0</v>
      </c>
      <c r="BI26" s="250">
        <f t="shared" si="8"/>
        <v>0</v>
      </c>
      <c r="BJ26" s="250">
        <f t="shared" si="8"/>
        <v>0</v>
      </c>
      <c r="BK26" s="250">
        <f t="shared" si="8"/>
        <v>0</v>
      </c>
      <c r="BL26" s="250">
        <f t="shared" si="8"/>
        <v>0</v>
      </c>
      <c r="BM26" s="250">
        <f t="shared" si="8"/>
        <v>0</v>
      </c>
      <c r="BN26" s="250">
        <f t="shared" si="8"/>
        <v>0</v>
      </c>
      <c r="BO26" s="250">
        <f t="shared" si="8"/>
        <v>0</v>
      </c>
      <c r="BP26" s="250">
        <f t="shared" si="8"/>
        <v>0</v>
      </c>
      <c r="BQ26" s="250">
        <f t="shared" si="8"/>
        <v>0</v>
      </c>
      <c r="BR26" s="250">
        <f t="shared" si="8"/>
        <v>0</v>
      </c>
      <c r="BS26" s="250">
        <f t="shared" si="8"/>
        <v>0</v>
      </c>
      <c r="BT26" s="250">
        <f t="shared" si="8"/>
        <v>0</v>
      </c>
      <c r="BU26" s="250">
        <f t="shared" si="8"/>
        <v>0</v>
      </c>
      <c r="BV26" s="250">
        <f t="shared" si="8"/>
        <v>0</v>
      </c>
      <c r="BW26" s="250">
        <f t="shared" si="8"/>
        <v>0</v>
      </c>
      <c r="BX26" s="250">
        <f t="shared" si="8"/>
        <v>0</v>
      </c>
      <c r="BY26" s="252">
        <f>SUM(BY27:BY33)</f>
        <v>-60546004</v>
      </c>
      <c r="BZ26" s="771"/>
      <c r="CA26" s="226"/>
      <c r="CB26" s="252"/>
      <c r="CC26" s="771"/>
    </row>
    <row r="27" spans="2:81" ht="16" outlineLevel="1">
      <c r="B27" s="787"/>
      <c r="C27" s="253" t="s">
        <v>279</v>
      </c>
      <c r="D27" s="254" t="s">
        <v>270</v>
      </c>
      <c r="E27" s="255"/>
      <c r="F27" s="255"/>
      <c r="G27" s="255"/>
      <c r="H27" s="256"/>
      <c r="I27" s="256"/>
      <c r="J27" s="256"/>
      <c r="K27" s="256">
        <f t="shared" ref="K27:L27" si="9">-7031181</f>
        <v>-7031181</v>
      </c>
      <c r="L27" s="256">
        <f t="shared" si="9"/>
        <v>-7031181</v>
      </c>
      <c r="M27" s="256">
        <f>-6445249-5859317-5859317-2929659</f>
        <v>-21093542</v>
      </c>
      <c r="N27" s="256">
        <f>-2929659-5859317</f>
        <v>-8788976</v>
      </c>
      <c r="O27" s="256">
        <f>-2929659-2929659-2929659</f>
        <v>-8788977</v>
      </c>
      <c r="P27" s="256">
        <f>-2929659-2929659</f>
        <v>-5859318</v>
      </c>
      <c r="Q27" s="256"/>
      <c r="R27" s="256"/>
      <c r="S27" s="256"/>
      <c r="T27" s="256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64"/>
      <c r="BY27" s="257">
        <f t="shared" ref="BY27:BY33" si="10">SUM(E27:BX27)</f>
        <v>-58593175</v>
      </c>
      <c r="BZ27" s="771"/>
      <c r="CA27" s="226"/>
      <c r="CB27" s="252"/>
      <c r="CC27" s="771"/>
    </row>
    <row r="28" spans="2:81" ht="16" outlineLevel="1">
      <c r="B28" s="787"/>
      <c r="C28" s="253" t="s">
        <v>280</v>
      </c>
      <c r="D28" s="254" t="s">
        <v>270</v>
      </c>
      <c r="E28" s="255"/>
      <c r="F28" s="255"/>
      <c r="G28" s="255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57">
        <f t="shared" si="10"/>
        <v>0</v>
      </c>
      <c r="BZ28" s="771"/>
      <c r="CA28" s="226"/>
      <c r="CB28" s="252"/>
      <c r="CC28" s="771"/>
    </row>
    <row r="29" spans="2:81" ht="16" outlineLevel="1">
      <c r="B29" s="787"/>
      <c r="C29" s="253" t="s">
        <v>281</v>
      </c>
      <c r="D29" s="254" t="s">
        <v>270</v>
      </c>
      <c r="E29" s="255"/>
      <c r="F29" s="255"/>
      <c r="G29" s="255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57">
        <f t="shared" si="10"/>
        <v>0</v>
      </c>
      <c r="BZ29" s="771"/>
      <c r="CA29" s="226"/>
      <c r="CB29" s="252"/>
      <c r="CC29" s="771"/>
    </row>
    <row r="30" spans="2:81" ht="16" outlineLevel="1">
      <c r="B30" s="787"/>
      <c r="C30" s="253" t="s">
        <v>282</v>
      </c>
      <c r="D30" s="254" t="s">
        <v>270</v>
      </c>
      <c r="E30" s="255"/>
      <c r="F30" s="255"/>
      <c r="G30" s="255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5"/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57">
        <f t="shared" si="10"/>
        <v>0</v>
      </c>
      <c r="BZ30" s="771"/>
      <c r="CA30" s="226"/>
      <c r="CB30" s="252"/>
      <c r="CC30" s="771"/>
    </row>
    <row r="31" spans="2:81" ht="16" outlineLevel="1">
      <c r="B31" s="787"/>
      <c r="C31" s="253" t="s">
        <v>283</v>
      </c>
      <c r="D31" s="254" t="s">
        <v>270</v>
      </c>
      <c r="E31" s="255"/>
      <c r="F31" s="255"/>
      <c r="G31" s="255"/>
      <c r="H31" s="256">
        <f>-2420</f>
        <v>-2420</v>
      </c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5"/>
      <c r="V31" s="255"/>
      <c r="W31" s="255"/>
      <c r="X31" s="255"/>
      <c r="Y31" s="255"/>
      <c r="Z31" s="255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57">
        <f t="shared" si="10"/>
        <v>-2420</v>
      </c>
      <c r="BZ31" s="771"/>
      <c r="CA31" s="226"/>
      <c r="CB31" s="252"/>
      <c r="CC31" s="771"/>
    </row>
    <row r="32" spans="2:81" ht="16" outlineLevel="1">
      <c r="B32" s="787"/>
      <c r="C32" s="267" t="s">
        <v>284</v>
      </c>
      <c r="D32" s="254" t="s">
        <v>270</v>
      </c>
      <c r="E32" s="255"/>
      <c r="F32" s="255"/>
      <c r="G32" s="255"/>
      <c r="H32" s="256"/>
      <c r="I32" s="256">
        <f>-1081909</f>
        <v>-1081909</v>
      </c>
      <c r="J32" s="256"/>
      <c r="K32" s="256"/>
      <c r="L32" s="256">
        <f>-868500</f>
        <v>-868500</v>
      </c>
      <c r="M32" s="256"/>
      <c r="N32" s="256"/>
      <c r="O32" s="256"/>
      <c r="P32" s="256"/>
      <c r="Q32" s="256"/>
      <c r="R32" s="256"/>
      <c r="S32" s="256"/>
      <c r="T32" s="256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57">
        <f t="shared" si="10"/>
        <v>-1950409</v>
      </c>
      <c r="BZ32" s="771"/>
      <c r="CA32" s="226"/>
      <c r="CB32" s="252"/>
      <c r="CC32" s="771"/>
    </row>
    <row r="33" spans="2:81" ht="16" outlineLevel="1">
      <c r="B33" s="787"/>
      <c r="C33" s="253" t="s">
        <v>285</v>
      </c>
      <c r="D33" s="258" t="s">
        <v>270</v>
      </c>
      <c r="E33" s="255"/>
      <c r="F33" s="255"/>
      <c r="G33" s="255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57">
        <f t="shared" si="10"/>
        <v>0</v>
      </c>
      <c r="BZ33" s="771"/>
      <c r="CA33" s="226"/>
      <c r="CB33" s="252"/>
      <c r="CC33" s="771"/>
    </row>
    <row r="34" spans="2:81" ht="16" collapsed="1">
      <c r="B34" s="787"/>
      <c r="C34" s="248" t="s">
        <v>286</v>
      </c>
      <c r="D34" s="249"/>
      <c r="E34" s="250">
        <f t="shared" ref="E34:BX34" si="11">SUM(E35:E36)</f>
        <v>0</v>
      </c>
      <c r="F34" s="250">
        <f t="shared" si="11"/>
        <v>0</v>
      </c>
      <c r="G34" s="250">
        <f t="shared" si="11"/>
        <v>0</v>
      </c>
      <c r="H34" s="250">
        <f t="shared" si="11"/>
        <v>0</v>
      </c>
      <c r="I34" s="250">
        <f t="shared" si="11"/>
        <v>0</v>
      </c>
      <c r="J34" s="250">
        <f t="shared" si="11"/>
        <v>0</v>
      </c>
      <c r="K34" s="250">
        <f t="shared" si="11"/>
        <v>0</v>
      </c>
      <c r="L34" s="250">
        <f t="shared" si="11"/>
        <v>0</v>
      </c>
      <c r="M34" s="250">
        <f t="shared" si="11"/>
        <v>0</v>
      </c>
      <c r="N34" s="250">
        <f t="shared" si="11"/>
        <v>0</v>
      </c>
      <c r="O34" s="250">
        <f t="shared" si="11"/>
        <v>0</v>
      </c>
      <c r="P34" s="250">
        <f t="shared" si="11"/>
        <v>0</v>
      </c>
      <c r="Q34" s="250">
        <f t="shared" si="11"/>
        <v>0</v>
      </c>
      <c r="R34" s="250">
        <f t="shared" si="11"/>
        <v>0</v>
      </c>
      <c r="S34" s="250">
        <f t="shared" si="11"/>
        <v>0</v>
      </c>
      <c r="T34" s="250">
        <f t="shared" si="11"/>
        <v>0</v>
      </c>
      <c r="U34" s="250">
        <f t="shared" si="11"/>
        <v>0</v>
      </c>
      <c r="V34" s="250">
        <f t="shared" si="11"/>
        <v>0</v>
      </c>
      <c r="W34" s="250">
        <f t="shared" si="11"/>
        <v>0</v>
      </c>
      <c r="X34" s="250">
        <f t="shared" si="11"/>
        <v>0</v>
      </c>
      <c r="Y34" s="250">
        <f t="shared" si="11"/>
        <v>0</v>
      </c>
      <c r="Z34" s="250">
        <f t="shared" si="11"/>
        <v>0</v>
      </c>
      <c r="AA34" s="250">
        <f t="shared" si="11"/>
        <v>0</v>
      </c>
      <c r="AB34" s="250">
        <f t="shared" si="11"/>
        <v>0</v>
      </c>
      <c r="AC34" s="250">
        <f t="shared" si="11"/>
        <v>0</v>
      </c>
      <c r="AD34" s="250">
        <f t="shared" si="11"/>
        <v>0</v>
      </c>
      <c r="AE34" s="250">
        <f t="shared" si="11"/>
        <v>0</v>
      </c>
      <c r="AF34" s="250">
        <f t="shared" si="11"/>
        <v>0</v>
      </c>
      <c r="AG34" s="250">
        <f t="shared" si="11"/>
        <v>0</v>
      </c>
      <c r="AH34" s="250">
        <f t="shared" si="11"/>
        <v>0</v>
      </c>
      <c r="AI34" s="250">
        <f t="shared" si="11"/>
        <v>0</v>
      </c>
      <c r="AJ34" s="250">
        <f t="shared" si="11"/>
        <v>0</v>
      </c>
      <c r="AK34" s="250">
        <f t="shared" si="11"/>
        <v>0</v>
      </c>
      <c r="AL34" s="250">
        <f t="shared" si="11"/>
        <v>0</v>
      </c>
      <c r="AM34" s="250">
        <f t="shared" si="11"/>
        <v>0</v>
      </c>
      <c r="AN34" s="250">
        <f t="shared" si="11"/>
        <v>0</v>
      </c>
      <c r="AO34" s="250">
        <f t="shared" si="11"/>
        <v>0</v>
      </c>
      <c r="AP34" s="250">
        <f t="shared" si="11"/>
        <v>0</v>
      </c>
      <c r="AQ34" s="250">
        <f t="shared" si="11"/>
        <v>0</v>
      </c>
      <c r="AR34" s="250">
        <f t="shared" si="11"/>
        <v>0</v>
      </c>
      <c r="AS34" s="250">
        <f t="shared" si="11"/>
        <v>0</v>
      </c>
      <c r="AT34" s="250">
        <f t="shared" si="11"/>
        <v>0</v>
      </c>
      <c r="AU34" s="250">
        <f t="shared" si="11"/>
        <v>0</v>
      </c>
      <c r="AV34" s="250">
        <f t="shared" si="11"/>
        <v>0</v>
      </c>
      <c r="AW34" s="250">
        <f t="shared" si="11"/>
        <v>0</v>
      </c>
      <c r="AX34" s="250">
        <f t="shared" si="11"/>
        <v>0</v>
      </c>
      <c r="AY34" s="250">
        <f t="shared" si="11"/>
        <v>0</v>
      </c>
      <c r="AZ34" s="250">
        <f t="shared" si="11"/>
        <v>0</v>
      </c>
      <c r="BA34" s="250">
        <f t="shared" si="11"/>
        <v>0</v>
      </c>
      <c r="BB34" s="250">
        <f t="shared" si="11"/>
        <v>0</v>
      </c>
      <c r="BC34" s="250">
        <f t="shared" si="11"/>
        <v>0</v>
      </c>
      <c r="BD34" s="250">
        <f t="shared" si="11"/>
        <v>0</v>
      </c>
      <c r="BE34" s="250">
        <f t="shared" si="11"/>
        <v>0</v>
      </c>
      <c r="BF34" s="250">
        <f t="shared" si="11"/>
        <v>0</v>
      </c>
      <c r="BG34" s="250">
        <f t="shared" si="11"/>
        <v>0</v>
      </c>
      <c r="BH34" s="250">
        <f t="shared" si="11"/>
        <v>0</v>
      </c>
      <c r="BI34" s="250">
        <f t="shared" si="11"/>
        <v>0</v>
      </c>
      <c r="BJ34" s="250">
        <f t="shared" si="11"/>
        <v>0</v>
      </c>
      <c r="BK34" s="250">
        <f t="shared" si="11"/>
        <v>0</v>
      </c>
      <c r="BL34" s="250">
        <f t="shared" si="11"/>
        <v>0</v>
      </c>
      <c r="BM34" s="250">
        <f t="shared" si="11"/>
        <v>0</v>
      </c>
      <c r="BN34" s="250">
        <f t="shared" si="11"/>
        <v>0</v>
      </c>
      <c r="BO34" s="250">
        <f t="shared" si="11"/>
        <v>0</v>
      </c>
      <c r="BP34" s="250">
        <f t="shared" si="11"/>
        <v>0</v>
      </c>
      <c r="BQ34" s="250">
        <f t="shared" si="11"/>
        <v>0</v>
      </c>
      <c r="BR34" s="250">
        <f t="shared" si="11"/>
        <v>0</v>
      </c>
      <c r="BS34" s="250">
        <f t="shared" si="11"/>
        <v>0</v>
      </c>
      <c r="BT34" s="250">
        <f t="shared" si="11"/>
        <v>0</v>
      </c>
      <c r="BU34" s="250">
        <f t="shared" si="11"/>
        <v>0</v>
      </c>
      <c r="BV34" s="250">
        <f t="shared" si="11"/>
        <v>0</v>
      </c>
      <c r="BW34" s="250">
        <f t="shared" si="11"/>
        <v>0</v>
      </c>
      <c r="BX34" s="250">
        <f t="shared" si="11"/>
        <v>0</v>
      </c>
      <c r="BY34" s="252">
        <f>SUM(BY35:BY36)</f>
        <v>0</v>
      </c>
      <c r="BZ34" s="771"/>
      <c r="CA34" s="226"/>
      <c r="CB34" s="252"/>
      <c r="CC34" s="771"/>
    </row>
    <row r="35" spans="2:81" ht="16" hidden="1" outlineLevel="1">
      <c r="B35" s="787"/>
      <c r="C35" s="253" t="s">
        <v>287</v>
      </c>
      <c r="D35" s="254" t="s">
        <v>270</v>
      </c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70"/>
      <c r="T35" s="255"/>
      <c r="U35" s="255"/>
      <c r="V35" s="255"/>
      <c r="W35" s="255"/>
      <c r="X35" s="255"/>
      <c r="Y35" s="255"/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64"/>
      <c r="BY35" s="257">
        <f t="shared" ref="BY35:BY36" si="12">SUM(E35:BX35)</f>
        <v>0</v>
      </c>
      <c r="BZ35" s="771"/>
      <c r="CA35" s="226"/>
      <c r="CB35" s="252"/>
      <c r="CC35" s="771"/>
    </row>
    <row r="36" spans="2:81" ht="16" hidden="1" outlineLevel="1">
      <c r="B36" s="787"/>
      <c r="C36" s="253" t="s">
        <v>288</v>
      </c>
      <c r="D36" s="258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70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57">
        <f t="shared" si="12"/>
        <v>0</v>
      </c>
      <c r="BZ36" s="771"/>
      <c r="CA36" s="226"/>
      <c r="CB36" s="252"/>
      <c r="CC36" s="771"/>
    </row>
    <row r="37" spans="2:81" ht="16" collapsed="1">
      <c r="B37" s="787"/>
      <c r="C37" s="248" t="s">
        <v>289</v>
      </c>
      <c r="D37" s="249"/>
      <c r="E37" s="250">
        <f t="shared" ref="E37:G37" si="13">SUM(E38:E48)</f>
        <v>0</v>
      </c>
      <c r="F37" s="250">
        <f t="shared" si="13"/>
        <v>0</v>
      </c>
      <c r="G37" s="250">
        <f t="shared" si="13"/>
        <v>0</v>
      </c>
      <c r="H37" s="250">
        <f t="shared" ref="H37:BM37" si="14">SUM(H38:H41,H42,H45,H46:H48)</f>
        <v>-113225.2</v>
      </c>
      <c r="I37" s="250">
        <f t="shared" si="14"/>
        <v>-414970</v>
      </c>
      <c r="J37" s="250">
        <f t="shared" si="14"/>
        <v>-1013895.81</v>
      </c>
      <c r="K37" s="250">
        <f t="shared" si="14"/>
        <v>-1262172.0603333334</v>
      </c>
      <c r="L37" s="250">
        <f t="shared" si="14"/>
        <v>-344495.64333333331</v>
      </c>
      <c r="M37" s="250">
        <f t="shared" si="14"/>
        <v>-344495.64333333331</v>
      </c>
      <c r="N37" s="250">
        <f t="shared" si="14"/>
        <v>-344495.64333333331</v>
      </c>
      <c r="O37" s="250">
        <f t="shared" si="14"/>
        <v>-638609.01233333326</v>
      </c>
      <c r="P37" s="250">
        <f t="shared" si="14"/>
        <v>-368053.18333333329</v>
      </c>
      <c r="Q37" s="250">
        <f t="shared" si="14"/>
        <v>-25102.833333333336</v>
      </c>
      <c r="R37" s="250">
        <f t="shared" si="14"/>
        <v>-25102.833333333336</v>
      </c>
      <c r="S37" s="250">
        <f t="shared" si="14"/>
        <v>-25102.833333333336</v>
      </c>
      <c r="T37" s="250">
        <f t="shared" si="14"/>
        <v>-25102.833333333336</v>
      </c>
      <c r="U37" s="250">
        <f t="shared" si="14"/>
        <v>-8470</v>
      </c>
      <c r="V37" s="250">
        <f t="shared" si="14"/>
        <v>-8470</v>
      </c>
      <c r="W37" s="250">
        <f t="shared" si="14"/>
        <v>-8470</v>
      </c>
      <c r="X37" s="250">
        <f t="shared" si="14"/>
        <v>-8470</v>
      </c>
      <c r="Y37" s="250">
        <f t="shared" si="14"/>
        <v>-8470</v>
      </c>
      <c r="Z37" s="250">
        <f t="shared" si="14"/>
        <v>-8470</v>
      </c>
      <c r="AA37" s="250">
        <f t="shared" si="14"/>
        <v>-8470</v>
      </c>
      <c r="AB37" s="250">
        <f t="shared" si="14"/>
        <v>-8470</v>
      </c>
      <c r="AC37" s="250">
        <f t="shared" si="14"/>
        <v>-67363.850000000006</v>
      </c>
      <c r="AD37" s="250">
        <f t="shared" si="14"/>
        <v>0</v>
      </c>
      <c r="AE37" s="250">
        <f t="shared" si="14"/>
        <v>0</v>
      </c>
      <c r="AF37" s="250">
        <f t="shared" si="14"/>
        <v>0</v>
      </c>
      <c r="AG37" s="250">
        <f t="shared" si="14"/>
        <v>0</v>
      </c>
      <c r="AH37" s="250">
        <f t="shared" si="14"/>
        <v>0</v>
      </c>
      <c r="AI37" s="250">
        <f t="shared" si="14"/>
        <v>0</v>
      </c>
      <c r="AJ37" s="250">
        <f t="shared" si="14"/>
        <v>0</v>
      </c>
      <c r="AK37" s="250">
        <f t="shared" si="14"/>
        <v>0</v>
      </c>
      <c r="AL37" s="250">
        <f t="shared" si="14"/>
        <v>0</v>
      </c>
      <c r="AM37" s="250">
        <f t="shared" si="14"/>
        <v>0</v>
      </c>
      <c r="AN37" s="250">
        <f t="shared" si="14"/>
        <v>0</v>
      </c>
      <c r="AO37" s="250">
        <f t="shared" si="14"/>
        <v>0</v>
      </c>
      <c r="AP37" s="250">
        <f t="shared" si="14"/>
        <v>0</v>
      </c>
      <c r="AQ37" s="250">
        <f t="shared" si="14"/>
        <v>0</v>
      </c>
      <c r="AR37" s="250">
        <f t="shared" si="14"/>
        <v>0</v>
      </c>
      <c r="AS37" s="250">
        <f t="shared" si="14"/>
        <v>0</v>
      </c>
      <c r="AT37" s="250">
        <f t="shared" si="14"/>
        <v>0</v>
      </c>
      <c r="AU37" s="250">
        <f t="shared" si="14"/>
        <v>0</v>
      </c>
      <c r="AV37" s="250">
        <f t="shared" si="14"/>
        <v>0</v>
      </c>
      <c r="AW37" s="250">
        <f t="shared" si="14"/>
        <v>0</v>
      </c>
      <c r="AX37" s="250">
        <f t="shared" si="14"/>
        <v>0</v>
      </c>
      <c r="AY37" s="250">
        <f t="shared" si="14"/>
        <v>0</v>
      </c>
      <c r="AZ37" s="250">
        <f t="shared" si="14"/>
        <v>0</v>
      </c>
      <c r="BA37" s="250">
        <f t="shared" si="14"/>
        <v>0</v>
      </c>
      <c r="BB37" s="250">
        <f t="shared" si="14"/>
        <v>0</v>
      </c>
      <c r="BC37" s="250">
        <f t="shared" si="14"/>
        <v>0</v>
      </c>
      <c r="BD37" s="250">
        <f t="shared" si="14"/>
        <v>0</v>
      </c>
      <c r="BE37" s="250">
        <f t="shared" si="14"/>
        <v>0</v>
      </c>
      <c r="BF37" s="250">
        <f t="shared" si="14"/>
        <v>0</v>
      </c>
      <c r="BG37" s="250">
        <f t="shared" si="14"/>
        <v>0</v>
      </c>
      <c r="BH37" s="250">
        <f t="shared" si="14"/>
        <v>0</v>
      </c>
      <c r="BI37" s="250">
        <f t="shared" si="14"/>
        <v>0</v>
      </c>
      <c r="BJ37" s="250">
        <f t="shared" si="14"/>
        <v>0</v>
      </c>
      <c r="BK37" s="250">
        <f t="shared" si="14"/>
        <v>0</v>
      </c>
      <c r="BL37" s="250">
        <f t="shared" si="14"/>
        <v>0</v>
      </c>
      <c r="BM37" s="250">
        <f t="shared" si="14"/>
        <v>0</v>
      </c>
      <c r="BN37" s="250">
        <f t="shared" ref="BN37:BX37" si="15">SUM(BN38:BN48)</f>
        <v>0</v>
      </c>
      <c r="BO37" s="250">
        <f t="shared" si="15"/>
        <v>0</v>
      </c>
      <c r="BP37" s="250">
        <f t="shared" si="15"/>
        <v>0</v>
      </c>
      <c r="BQ37" s="250">
        <f t="shared" si="15"/>
        <v>0</v>
      </c>
      <c r="BR37" s="250">
        <f t="shared" si="15"/>
        <v>0</v>
      </c>
      <c r="BS37" s="250">
        <f t="shared" si="15"/>
        <v>0</v>
      </c>
      <c r="BT37" s="250">
        <f t="shared" si="15"/>
        <v>0</v>
      </c>
      <c r="BU37" s="250">
        <f t="shared" si="15"/>
        <v>0</v>
      </c>
      <c r="BV37" s="250">
        <f t="shared" si="15"/>
        <v>0</v>
      </c>
      <c r="BW37" s="250">
        <f t="shared" si="15"/>
        <v>0</v>
      </c>
      <c r="BX37" s="250">
        <f t="shared" si="15"/>
        <v>0</v>
      </c>
      <c r="BY37" s="252">
        <f>SUM(BY38:BY48)</f>
        <v>-5079947.379333334</v>
      </c>
      <c r="BZ37" s="771"/>
      <c r="CA37" s="226"/>
      <c r="CB37" s="252"/>
      <c r="CC37" s="771"/>
    </row>
    <row r="38" spans="2:81" ht="16" hidden="1" outlineLevel="1">
      <c r="B38" s="787"/>
      <c r="C38" s="267" t="s">
        <v>216</v>
      </c>
      <c r="D38" s="254" t="s">
        <v>270</v>
      </c>
      <c r="E38" s="259"/>
      <c r="F38" s="259"/>
      <c r="G38" s="259"/>
      <c r="H38" s="260"/>
      <c r="I38" s="260">
        <f>-400000</f>
        <v>-400000</v>
      </c>
      <c r="J38" s="260">
        <f>-661353-(23520+28160+192281+20000)*1.21</f>
        <v>-980745.81</v>
      </c>
      <c r="K38" s="260">
        <f t="shared" ref="K38:P38" si="16">-(23520+28160+192281+20000)*1.21</f>
        <v>-319392.81</v>
      </c>
      <c r="L38" s="260">
        <f t="shared" si="16"/>
        <v>-319392.81</v>
      </c>
      <c r="M38" s="260">
        <f t="shared" si="16"/>
        <v>-319392.81</v>
      </c>
      <c r="N38" s="260">
        <f t="shared" si="16"/>
        <v>-319392.81</v>
      </c>
      <c r="O38" s="260">
        <f t="shared" si="16"/>
        <v>-319392.81</v>
      </c>
      <c r="P38" s="260">
        <f t="shared" si="16"/>
        <v>-319392.81</v>
      </c>
      <c r="Q38" s="260"/>
      <c r="R38" s="260"/>
      <c r="S38" s="272"/>
      <c r="T38" s="260"/>
      <c r="U38" s="259"/>
      <c r="V38" s="259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71"/>
      <c r="BY38" s="257">
        <f t="shared" ref="BY38:BY42" si="17">SUM(E38:BX38)</f>
        <v>-3297102.6700000004</v>
      </c>
      <c r="BZ38" s="771"/>
      <c r="CA38" s="226"/>
      <c r="CB38" s="252"/>
      <c r="CC38" s="771"/>
    </row>
    <row r="39" spans="2:81" ht="16" hidden="1" outlineLevel="1">
      <c r="B39" s="787"/>
      <c r="C39" s="267" t="s">
        <v>217</v>
      </c>
      <c r="D39" s="254" t="s">
        <v>270</v>
      </c>
      <c r="E39" s="259"/>
      <c r="F39" s="259"/>
      <c r="G39" s="259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/>
      <c r="S39" s="272"/>
      <c r="T39" s="260"/>
      <c r="U39" s="259"/>
      <c r="V39" s="259"/>
      <c r="W39" s="259"/>
      <c r="X39" s="259"/>
      <c r="Y39" s="259"/>
      <c r="Z39" s="259"/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57">
        <f t="shared" si="17"/>
        <v>0</v>
      </c>
      <c r="BZ39" s="771"/>
      <c r="CA39" s="226"/>
      <c r="CB39" s="252"/>
      <c r="CC39" s="771"/>
    </row>
    <row r="40" spans="2:81" ht="16" hidden="1" outlineLevel="1">
      <c r="B40" s="787"/>
      <c r="C40" s="267" t="s">
        <v>218</v>
      </c>
      <c r="D40" s="254" t="s">
        <v>270</v>
      </c>
      <c r="E40" s="259"/>
      <c r="F40" s="259"/>
      <c r="G40" s="259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72"/>
      <c r="T40" s="260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57">
        <f t="shared" si="17"/>
        <v>0</v>
      </c>
      <c r="BZ40" s="771"/>
      <c r="CA40" s="226"/>
      <c r="CB40" s="252"/>
      <c r="CC40" s="771"/>
    </row>
    <row r="41" spans="2:81" ht="16" hidden="1" outlineLevel="1">
      <c r="B41" s="787"/>
      <c r="C41" s="267" t="s">
        <v>222</v>
      </c>
      <c r="D41" s="254" t="s">
        <v>270</v>
      </c>
      <c r="E41" s="259"/>
      <c r="F41" s="259"/>
      <c r="G41" s="259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272"/>
      <c r="T41" s="260"/>
      <c r="U41" s="259"/>
      <c r="V41" s="259"/>
      <c r="W41" s="259"/>
      <c r="X41" s="259"/>
      <c r="Y41" s="259"/>
      <c r="Z41" s="259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57">
        <f t="shared" si="17"/>
        <v>0</v>
      </c>
      <c r="BZ41" s="771"/>
      <c r="CA41" s="226"/>
      <c r="CB41" s="252"/>
      <c r="CC41" s="771"/>
    </row>
    <row r="42" spans="2:81" ht="16" hidden="1" outlineLevel="1">
      <c r="B42" s="787"/>
      <c r="C42" s="253" t="s">
        <v>223</v>
      </c>
      <c r="D42" s="273" t="s">
        <v>270</v>
      </c>
      <c r="E42" s="274"/>
      <c r="F42" s="275"/>
      <c r="G42" s="275"/>
      <c r="H42" s="275">
        <f t="shared" ref="H42:BM42" si="18">SUM(H43:H44)</f>
        <v>-36364</v>
      </c>
      <c r="I42" s="275">
        <f t="shared" si="18"/>
        <v>-8194</v>
      </c>
      <c r="J42" s="275">
        <f t="shared" si="18"/>
        <v>-33050</v>
      </c>
      <c r="K42" s="275">
        <f t="shared" si="18"/>
        <v>-6050</v>
      </c>
      <c r="L42" s="275">
        <f t="shared" si="18"/>
        <v>-6050</v>
      </c>
      <c r="M42" s="275">
        <f t="shared" si="18"/>
        <v>-6050</v>
      </c>
      <c r="N42" s="275">
        <f t="shared" si="18"/>
        <v>-6050</v>
      </c>
      <c r="O42" s="275">
        <f t="shared" si="18"/>
        <v>-6050</v>
      </c>
      <c r="P42" s="275">
        <f t="shared" si="18"/>
        <v>-6050</v>
      </c>
      <c r="Q42" s="275">
        <f t="shared" si="18"/>
        <v>-6050</v>
      </c>
      <c r="R42" s="275">
        <f t="shared" si="18"/>
        <v>-6050</v>
      </c>
      <c r="S42" s="275">
        <f t="shared" si="18"/>
        <v>-6050</v>
      </c>
      <c r="T42" s="275">
        <f t="shared" si="18"/>
        <v>-6050</v>
      </c>
      <c r="U42" s="275">
        <f t="shared" si="18"/>
        <v>-6050</v>
      </c>
      <c r="V42" s="275">
        <f t="shared" si="18"/>
        <v>-6050</v>
      </c>
      <c r="W42" s="275">
        <f t="shared" si="18"/>
        <v>-6050</v>
      </c>
      <c r="X42" s="275">
        <f t="shared" si="18"/>
        <v>-6050</v>
      </c>
      <c r="Y42" s="275">
        <f t="shared" si="18"/>
        <v>-6050</v>
      </c>
      <c r="Z42" s="275">
        <f t="shared" si="18"/>
        <v>-6050</v>
      </c>
      <c r="AA42" s="275">
        <f t="shared" si="18"/>
        <v>-6050</v>
      </c>
      <c r="AB42" s="275">
        <f t="shared" si="18"/>
        <v>-6050</v>
      </c>
      <c r="AC42" s="275">
        <f t="shared" si="18"/>
        <v>-6050</v>
      </c>
      <c r="AD42" s="275">
        <f t="shared" si="18"/>
        <v>0</v>
      </c>
      <c r="AE42" s="275">
        <f t="shared" si="18"/>
        <v>0</v>
      </c>
      <c r="AF42" s="275">
        <f t="shared" si="18"/>
        <v>0</v>
      </c>
      <c r="AG42" s="275">
        <f t="shared" si="18"/>
        <v>0</v>
      </c>
      <c r="AH42" s="275">
        <f t="shared" si="18"/>
        <v>0</v>
      </c>
      <c r="AI42" s="275">
        <f t="shared" si="18"/>
        <v>0</v>
      </c>
      <c r="AJ42" s="275">
        <f t="shared" si="18"/>
        <v>0</v>
      </c>
      <c r="AK42" s="275">
        <f t="shared" si="18"/>
        <v>0</v>
      </c>
      <c r="AL42" s="275">
        <f t="shared" si="18"/>
        <v>0</v>
      </c>
      <c r="AM42" s="275">
        <f t="shared" si="18"/>
        <v>0</v>
      </c>
      <c r="AN42" s="275">
        <f t="shared" si="18"/>
        <v>0</v>
      </c>
      <c r="AO42" s="275">
        <f t="shared" si="18"/>
        <v>0</v>
      </c>
      <c r="AP42" s="275">
        <f t="shared" si="18"/>
        <v>0</v>
      </c>
      <c r="AQ42" s="275">
        <f t="shared" si="18"/>
        <v>0</v>
      </c>
      <c r="AR42" s="275">
        <f t="shared" si="18"/>
        <v>0</v>
      </c>
      <c r="AS42" s="275">
        <f t="shared" si="18"/>
        <v>0</v>
      </c>
      <c r="AT42" s="275">
        <f t="shared" si="18"/>
        <v>0</v>
      </c>
      <c r="AU42" s="275">
        <f t="shared" si="18"/>
        <v>0</v>
      </c>
      <c r="AV42" s="275">
        <f t="shared" si="18"/>
        <v>0</v>
      </c>
      <c r="AW42" s="275">
        <f t="shared" si="18"/>
        <v>0</v>
      </c>
      <c r="AX42" s="275">
        <f t="shared" si="18"/>
        <v>0</v>
      </c>
      <c r="AY42" s="275">
        <f t="shared" si="18"/>
        <v>0</v>
      </c>
      <c r="AZ42" s="275">
        <f t="shared" si="18"/>
        <v>0</v>
      </c>
      <c r="BA42" s="275">
        <f t="shared" si="18"/>
        <v>0</v>
      </c>
      <c r="BB42" s="275">
        <f t="shared" si="18"/>
        <v>0</v>
      </c>
      <c r="BC42" s="275">
        <f t="shared" si="18"/>
        <v>0</v>
      </c>
      <c r="BD42" s="275">
        <f t="shared" si="18"/>
        <v>0</v>
      </c>
      <c r="BE42" s="275">
        <f t="shared" si="18"/>
        <v>0</v>
      </c>
      <c r="BF42" s="275">
        <f t="shared" si="18"/>
        <v>0</v>
      </c>
      <c r="BG42" s="275">
        <f t="shared" si="18"/>
        <v>0</v>
      </c>
      <c r="BH42" s="275">
        <f t="shared" si="18"/>
        <v>0</v>
      </c>
      <c r="BI42" s="275">
        <f t="shared" si="18"/>
        <v>0</v>
      </c>
      <c r="BJ42" s="275">
        <f t="shared" si="18"/>
        <v>0</v>
      </c>
      <c r="BK42" s="275">
        <f t="shared" si="18"/>
        <v>0</v>
      </c>
      <c r="BL42" s="275">
        <f t="shared" si="18"/>
        <v>0</v>
      </c>
      <c r="BM42" s="275">
        <f t="shared" si="18"/>
        <v>0</v>
      </c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64"/>
      <c r="BY42" s="257">
        <f t="shared" si="17"/>
        <v>-192558</v>
      </c>
      <c r="BZ42" s="771"/>
      <c r="CA42" s="226"/>
      <c r="CB42" s="252"/>
      <c r="CC42" s="771"/>
    </row>
    <row r="43" spans="2:81" ht="16" hidden="1" outlineLevel="2">
      <c r="B43" s="787"/>
      <c r="C43" s="277" t="s">
        <v>290</v>
      </c>
      <c r="D43" s="254" t="s">
        <v>270</v>
      </c>
      <c r="E43" s="255"/>
      <c r="F43" s="255"/>
      <c r="G43" s="255"/>
      <c r="H43" s="278">
        <f>-11364</f>
        <v>-11364</v>
      </c>
      <c r="I43" s="278">
        <f>-8194</f>
        <v>-8194</v>
      </c>
      <c r="J43" s="278">
        <f t="shared" ref="J43:AC43" si="19">-5000*1.21</f>
        <v>-6050</v>
      </c>
      <c r="K43" s="278">
        <f t="shared" si="19"/>
        <v>-6050</v>
      </c>
      <c r="L43" s="278">
        <f t="shared" si="19"/>
        <v>-6050</v>
      </c>
      <c r="M43" s="278">
        <f t="shared" si="19"/>
        <v>-6050</v>
      </c>
      <c r="N43" s="278">
        <f t="shared" si="19"/>
        <v>-6050</v>
      </c>
      <c r="O43" s="278">
        <f t="shared" si="19"/>
        <v>-6050</v>
      </c>
      <c r="P43" s="278">
        <f t="shared" si="19"/>
        <v>-6050</v>
      </c>
      <c r="Q43" s="278">
        <f t="shared" si="19"/>
        <v>-6050</v>
      </c>
      <c r="R43" s="278">
        <f t="shared" si="19"/>
        <v>-6050</v>
      </c>
      <c r="S43" s="278">
        <f t="shared" si="19"/>
        <v>-6050</v>
      </c>
      <c r="T43" s="278">
        <f t="shared" si="19"/>
        <v>-6050</v>
      </c>
      <c r="U43" s="278">
        <f t="shared" si="19"/>
        <v>-6050</v>
      </c>
      <c r="V43" s="278">
        <f t="shared" si="19"/>
        <v>-6050</v>
      </c>
      <c r="W43" s="278">
        <f t="shared" si="19"/>
        <v>-6050</v>
      </c>
      <c r="X43" s="278">
        <f t="shared" si="19"/>
        <v>-6050</v>
      </c>
      <c r="Y43" s="278">
        <f t="shared" si="19"/>
        <v>-6050</v>
      </c>
      <c r="Z43" s="278">
        <f t="shared" si="19"/>
        <v>-6050</v>
      </c>
      <c r="AA43" s="278">
        <f t="shared" si="19"/>
        <v>-6050</v>
      </c>
      <c r="AB43" s="278">
        <f t="shared" si="19"/>
        <v>-6050</v>
      </c>
      <c r="AC43" s="278">
        <f t="shared" si="19"/>
        <v>-6050</v>
      </c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57"/>
      <c r="BZ43" s="771"/>
      <c r="CA43" s="226"/>
      <c r="CB43" s="252"/>
      <c r="CC43" s="771"/>
    </row>
    <row r="44" spans="2:81" ht="16" hidden="1" outlineLevel="2">
      <c r="B44" s="787"/>
      <c r="C44" s="277" t="s">
        <v>291</v>
      </c>
      <c r="D44" s="254" t="s">
        <v>270</v>
      </c>
      <c r="E44" s="255"/>
      <c r="F44" s="255"/>
      <c r="G44" s="255"/>
      <c r="H44" s="278">
        <f>-25000</f>
        <v>-25000</v>
      </c>
      <c r="I44" s="278"/>
      <c r="J44" s="278">
        <f>-27000</f>
        <v>-27000</v>
      </c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278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57"/>
      <c r="BZ44" s="771"/>
      <c r="CA44" s="226"/>
      <c r="CB44" s="252"/>
      <c r="CC44" s="771"/>
    </row>
    <row r="45" spans="2:81" ht="16" hidden="1" outlineLevel="1">
      <c r="B45" s="787"/>
      <c r="C45" s="253" t="s">
        <v>224</v>
      </c>
      <c r="D45" s="254" t="s">
        <v>270</v>
      </c>
      <c r="E45" s="255"/>
      <c r="F45" s="255"/>
      <c r="G45" s="255"/>
      <c r="H45" s="256">
        <f>-1000</f>
        <v>-1000</v>
      </c>
      <c r="I45" s="256"/>
      <c r="J45" s="256">
        <f>-100</f>
        <v>-100</v>
      </c>
      <c r="K45" s="256">
        <f>-Businessplan_prodej!$F$68/12*1.21</f>
        <v>-19052.833333333336</v>
      </c>
      <c r="L45" s="256">
        <f>-Businessplan_prodej!$F$68/12*1.21</f>
        <v>-19052.833333333336</v>
      </c>
      <c r="M45" s="256">
        <f>-Businessplan_prodej!$F$68/12*1.21</f>
        <v>-19052.833333333336</v>
      </c>
      <c r="N45" s="256">
        <f>-Businessplan_prodej!$F$68/12*1.21</f>
        <v>-19052.833333333336</v>
      </c>
      <c r="O45" s="256">
        <f>-Businessplan_prodej!$F$68/12*1.21</f>
        <v>-19052.833333333336</v>
      </c>
      <c r="P45" s="256">
        <f>-Businessplan_prodej!$F$68/12*1.21</f>
        <v>-19052.833333333336</v>
      </c>
      <c r="Q45" s="256">
        <f>-Businessplan_prodej!$F$68/12*1.21</f>
        <v>-19052.833333333336</v>
      </c>
      <c r="R45" s="256">
        <f>-Businessplan_prodej!$F$68/12*1.21</f>
        <v>-19052.833333333336</v>
      </c>
      <c r="S45" s="256">
        <f>-Businessplan_prodej!$F$68/12*1.21</f>
        <v>-19052.833333333336</v>
      </c>
      <c r="T45" s="256">
        <f>-Businessplan_prodej!$F$68/12*1.21</f>
        <v>-19052.833333333336</v>
      </c>
      <c r="U45" s="255">
        <f t="shared" ref="U45:AC45" si="20">-2000*1.21</f>
        <v>-2420</v>
      </c>
      <c r="V45" s="255">
        <f t="shared" si="20"/>
        <v>-2420</v>
      </c>
      <c r="W45" s="255">
        <f t="shared" si="20"/>
        <v>-2420</v>
      </c>
      <c r="X45" s="255">
        <f t="shared" si="20"/>
        <v>-2420</v>
      </c>
      <c r="Y45" s="255">
        <f t="shared" si="20"/>
        <v>-2420</v>
      </c>
      <c r="Z45" s="255">
        <f t="shared" si="20"/>
        <v>-2420</v>
      </c>
      <c r="AA45" s="255">
        <f t="shared" si="20"/>
        <v>-2420</v>
      </c>
      <c r="AB45" s="255">
        <f t="shared" si="20"/>
        <v>-2420</v>
      </c>
      <c r="AC45" s="255">
        <f t="shared" si="20"/>
        <v>-2420</v>
      </c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57">
        <f t="shared" ref="BY45:BY48" si="21">SUM(E45:BX45)</f>
        <v>-213408.3333333334</v>
      </c>
      <c r="BZ45" s="771"/>
      <c r="CA45" s="226"/>
      <c r="CB45" s="252"/>
      <c r="CC45" s="771"/>
    </row>
    <row r="46" spans="2:81" ht="14.25" hidden="1" customHeight="1" outlineLevel="1">
      <c r="B46" s="787"/>
      <c r="C46" s="253" t="s">
        <v>225</v>
      </c>
      <c r="D46" s="254" t="s">
        <v>270</v>
      </c>
      <c r="E46" s="255"/>
      <c r="F46" s="255"/>
      <c r="G46" s="255"/>
      <c r="H46" s="256">
        <f>-10188.2-65673</f>
        <v>-75861.2</v>
      </c>
      <c r="I46" s="256">
        <f>-6776</f>
        <v>-6776</v>
      </c>
      <c r="J46" s="256"/>
      <c r="K46" s="256">
        <f>-Businessplan_prodej!$F$69*0.3*1.21</f>
        <v>-35336.31</v>
      </c>
      <c r="L46" s="256"/>
      <c r="M46" s="256"/>
      <c r="N46" s="256"/>
      <c r="O46" s="256"/>
      <c r="P46" s="256">
        <f>-Businessplan_prodej!$F$69*0.2*1.21</f>
        <v>-23557.54</v>
      </c>
      <c r="Q46" s="256"/>
      <c r="R46" s="256"/>
      <c r="S46" s="256"/>
      <c r="T46" s="256"/>
      <c r="U46" s="255"/>
      <c r="V46" s="255"/>
      <c r="W46" s="255"/>
      <c r="X46" s="255"/>
      <c r="Y46" s="255"/>
      <c r="Z46" s="255"/>
      <c r="AA46" s="255"/>
      <c r="AB46" s="255"/>
      <c r="AC46" s="256">
        <f>-Businessplan_prodej!$F$69*0.5*1.21</f>
        <v>-58893.85</v>
      </c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57">
        <f t="shared" si="21"/>
        <v>-200424.9</v>
      </c>
      <c r="BZ46" s="771"/>
      <c r="CA46" s="226"/>
      <c r="CB46" s="252"/>
      <c r="CC46" s="771"/>
    </row>
    <row r="47" spans="2:81" ht="14.25" hidden="1" customHeight="1" outlineLevel="1">
      <c r="B47" s="787"/>
      <c r="C47" s="253" t="s">
        <v>226</v>
      </c>
      <c r="D47" s="254" t="s">
        <v>270</v>
      </c>
      <c r="E47" s="255"/>
      <c r="F47" s="255"/>
      <c r="G47" s="255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5"/>
      <c r="V47" s="255"/>
      <c r="W47" s="255"/>
      <c r="X47" s="255"/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5"/>
      <c r="BS47" s="255"/>
      <c r="BT47" s="255"/>
      <c r="BU47" s="255"/>
      <c r="BV47" s="255"/>
      <c r="BW47" s="255"/>
      <c r="BX47" s="264"/>
      <c r="BY47" s="257">
        <f t="shared" si="21"/>
        <v>0</v>
      </c>
      <c r="BZ47" s="771"/>
      <c r="CA47" s="226"/>
      <c r="CB47" s="252"/>
      <c r="CC47" s="771"/>
    </row>
    <row r="48" spans="2:81" ht="14.25" hidden="1" customHeight="1" outlineLevel="1">
      <c r="B48" s="787"/>
      <c r="C48" s="253" t="s">
        <v>227</v>
      </c>
      <c r="D48" s="258" t="s">
        <v>270</v>
      </c>
      <c r="E48" s="255"/>
      <c r="F48" s="255"/>
      <c r="G48" s="255"/>
      <c r="H48" s="256"/>
      <c r="I48" s="256"/>
      <c r="J48" s="256"/>
      <c r="K48" s="256">
        <f>-((17529*2*25.2+44407*2)*1.21)*75%</f>
        <v>-882340.10700000008</v>
      </c>
      <c r="L48" s="256"/>
      <c r="M48" s="256"/>
      <c r="N48" s="256"/>
      <c r="O48" s="256">
        <f>-((17529*2*25.2+44407*2)*1.21)*25%</f>
        <v>-294113.36900000001</v>
      </c>
      <c r="P48" s="256"/>
      <c r="Q48" s="256"/>
      <c r="R48" s="256"/>
      <c r="S48" s="256"/>
      <c r="T48" s="256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57">
        <f t="shared" si="21"/>
        <v>-1176453.476</v>
      </c>
      <c r="BZ48" s="771"/>
      <c r="CA48" s="226"/>
      <c r="CB48" s="252"/>
      <c r="CC48" s="771"/>
    </row>
    <row r="49" spans="2:81" ht="16">
      <c r="B49" s="787"/>
      <c r="C49" s="248" t="s">
        <v>292</v>
      </c>
      <c r="D49" s="249"/>
      <c r="E49" s="250">
        <f t="shared" ref="E49:BX49" si="22">SUM(E50:E54)</f>
        <v>0</v>
      </c>
      <c r="F49" s="250">
        <f t="shared" si="22"/>
        <v>0</v>
      </c>
      <c r="G49" s="250">
        <f t="shared" si="22"/>
        <v>0</v>
      </c>
      <c r="H49" s="250">
        <f t="shared" si="22"/>
        <v>-1442.155</v>
      </c>
      <c r="I49" s="250">
        <f t="shared" si="22"/>
        <v>-4792.1949999999997</v>
      </c>
      <c r="J49" s="250">
        <f t="shared" si="22"/>
        <v>-1444.855</v>
      </c>
      <c r="K49" s="250">
        <f t="shared" si="22"/>
        <v>-102076.35291666667</v>
      </c>
      <c r="L49" s="250">
        <f t="shared" si="22"/>
        <v>-2076.3529166666667</v>
      </c>
      <c r="M49" s="250">
        <f t="shared" si="22"/>
        <v>-2076.3529166666667</v>
      </c>
      <c r="N49" s="250">
        <f t="shared" si="22"/>
        <v>-2076.3529166666667</v>
      </c>
      <c r="O49" s="250">
        <f t="shared" si="22"/>
        <v>-2076.3529166666667</v>
      </c>
      <c r="P49" s="250">
        <f t="shared" si="22"/>
        <v>-2076.3529166666667</v>
      </c>
      <c r="Q49" s="250">
        <f t="shared" si="22"/>
        <v>-2076.3529166666667</v>
      </c>
      <c r="R49" s="250">
        <f t="shared" si="22"/>
        <v>-2076.3529166666667</v>
      </c>
      <c r="S49" s="250">
        <f t="shared" si="22"/>
        <v>-2076.3529166666667</v>
      </c>
      <c r="T49" s="250">
        <f t="shared" si="22"/>
        <v>-2076.3529166666667</v>
      </c>
      <c r="U49" s="250">
        <f t="shared" si="22"/>
        <v>-2076.3529166666667</v>
      </c>
      <c r="V49" s="250">
        <f t="shared" si="22"/>
        <v>-2076.3529166666667</v>
      </c>
      <c r="W49" s="250">
        <f t="shared" si="22"/>
        <v>-2076.3529166666667</v>
      </c>
      <c r="X49" s="250">
        <f t="shared" si="22"/>
        <v>-2076.3529166666667</v>
      </c>
      <c r="Y49" s="250">
        <f t="shared" si="22"/>
        <v>-2076.3529166666667</v>
      </c>
      <c r="Z49" s="250">
        <f t="shared" si="22"/>
        <v>-2076.3529166666667</v>
      </c>
      <c r="AA49" s="250">
        <f t="shared" si="22"/>
        <v>-2076.3529166666667</v>
      </c>
      <c r="AB49" s="250">
        <f t="shared" si="22"/>
        <v>-2076.3529166666667</v>
      </c>
      <c r="AC49" s="250">
        <f t="shared" si="22"/>
        <v>-2076.3529166666667</v>
      </c>
      <c r="AD49" s="250">
        <f t="shared" si="22"/>
        <v>0</v>
      </c>
      <c r="AE49" s="250">
        <f t="shared" si="22"/>
        <v>0</v>
      </c>
      <c r="AF49" s="250">
        <f t="shared" si="22"/>
        <v>0</v>
      </c>
      <c r="AG49" s="250">
        <f t="shared" si="22"/>
        <v>0</v>
      </c>
      <c r="AH49" s="250">
        <f t="shared" si="22"/>
        <v>0</v>
      </c>
      <c r="AI49" s="250">
        <f t="shared" si="22"/>
        <v>0</v>
      </c>
      <c r="AJ49" s="250">
        <f t="shared" si="22"/>
        <v>0</v>
      </c>
      <c r="AK49" s="250">
        <f t="shared" si="22"/>
        <v>0</v>
      </c>
      <c r="AL49" s="250">
        <f t="shared" si="22"/>
        <v>0</v>
      </c>
      <c r="AM49" s="250">
        <f t="shared" si="22"/>
        <v>0</v>
      </c>
      <c r="AN49" s="250">
        <f t="shared" si="22"/>
        <v>0</v>
      </c>
      <c r="AO49" s="250">
        <f t="shared" si="22"/>
        <v>0</v>
      </c>
      <c r="AP49" s="250">
        <f t="shared" si="22"/>
        <v>0</v>
      </c>
      <c r="AQ49" s="250">
        <f t="shared" si="22"/>
        <v>0</v>
      </c>
      <c r="AR49" s="250">
        <f t="shared" si="22"/>
        <v>0</v>
      </c>
      <c r="AS49" s="250">
        <f t="shared" si="22"/>
        <v>0</v>
      </c>
      <c r="AT49" s="250">
        <f t="shared" si="22"/>
        <v>0</v>
      </c>
      <c r="AU49" s="250">
        <f t="shared" si="22"/>
        <v>0</v>
      </c>
      <c r="AV49" s="250">
        <f t="shared" si="22"/>
        <v>0</v>
      </c>
      <c r="AW49" s="250">
        <f t="shared" si="22"/>
        <v>0</v>
      </c>
      <c r="AX49" s="250">
        <f t="shared" si="22"/>
        <v>0</v>
      </c>
      <c r="AY49" s="250">
        <f t="shared" si="22"/>
        <v>0</v>
      </c>
      <c r="AZ49" s="250">
        <f t="shared" si="22"/>
        <v>0</v>
      </c>
      <c r="BA49" s="250">
        <f t="shared" si="22"/>
        <v>0</v>
      </c>
      <c r="BB49" s="250">
        <f t="shared" si="22"/>
        <v>0</v>
      </c>
      <c r="BC49" s="250">
        <f t="shared" si="22"/>
        <v>0</v>
      </c>
      <c r="BD49" s="250">
        <f t="shared" si="22"/>
        <v>0</v>
      </c>
      <c r="BE49" s="250">
        <f t="shared" si="22"/>
        <v>0</v>
      </c>
      <c r="BF49" s="250">
        <f t="shared" si="22"/>
        <v>0</v>
      </c>
      <c r="BG49" s="250">
        <f t="shared" si="22"/>
        <v>0</v>
      </c>
      <c r="BH49" s="250">
        <f t="shared" si="22"/>
        <v>0</v>
      </c>
      <c r="BI49" s="250">
        <f t="shared" si="22"/>
        <v>0</v>
      </c>
      <c r="BJ49" s="250">
        <f t="shared" si="22"/>
        <v>0</v>
      </c>
      <c r="BK49" s="250">
        <f t="shared" si="22"/>
        <v>0</v>
      </c>
      <c r="BL49" s="250">
        <f t="shared" si="22"/>
        <v>0</v>
      </c>
      <c r="BM49" s="250">
        <f t="shared" si="22"/>
        <v>0</v>
      </c>
      <c r="BN49" s="250">
        <f t="shared" si="22"/>
        <v>0</v>
      </c>
      <c r="BO49" s="250">
        <f t="shared" si="22"/>
        <v>0</v>
      </c>
      <c r="BP49" s="250">
        <f t="shared" si="22"/>
        <v>0</v>
      </c>
      <c r="BQ49" s="250">
        <f t="shared" si="22"/>
        <v>0</v>
      </c>
      <c r="BR49" s="250">
        <f t="shared" si="22"/>
        <v>0</v>
      </c>
      <c r="BS49" s="250">
        <f t="shared" si="22"/>
        <v>0</v>
      </c>
      <c r="BT49" s="250">
        <f t="shared" si="22"/>
        <v>0</v>
      </c>
      <c r="BU49" s="250">
        <f t="shared" si="22"/>
        <v>0</v>
      </c>
      <c r="BV49" s="250">
        <f t="shared" si="22"/>
        <v>0</v>
      </c>
      <c r="BW49" s="250">
        <f t="shared" si="22"/>
        <v>0</v>
      </c>
      <c r="BX49" s="250">
        <f t="shared" si="22"/>
        <v>0</v>
      </c>
      <c r="BY49" s="252">
        <f>SUM(BY50:BY54)</f>
        <v>-147129.91041666668</v>
      </c>
      <c r="BZ49" s="771"/>
      <c r="CA49" s="226"/>
      <c r="CB49" s="252"/>
      <c r="CC49" s="771"/>
    </row>
    <row r="50" spans="2:81" ht="16" outlineLevel="1">
      <c r="B50" s="787"/>
      <c r="C50" s="253" t="s">
        <v>229</v>
      </c>
      <c r="D50" s="254" t="s">
        <v>270</v>
      </c>
      <c r="E50" s="255"/>
      <c r="F50" s="255"/>
      <c r="G50" s="255"/>
      <c r="H50" s="256"/>
      <c r="I50" s="256"/>
      <c r="J50" s="256"/>
      <c r="K50" s="256">
        <f>-Businessplan_prodej!$F$98</f>
        <v>-100000</v>
      </c>
      <c r="L50" s="256"/>
      <c r="M50" s="256"/>
      <c r="N50" s="256"/>
      <c r="O50" s="256"/>
      <c r="P50" s="256"/>
      <c r="Q50" s="256"/>
      <c r="R50" s="256"/>
      <c r="S50" s="256"/>
      <c r="T50" s="256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64"/>
      <c r="BY50" s="257">
        <f t="shared" ref="BY50:BY54" si="23">SUM(E50:BX50)</f>
        <v>-100000</v>
      </c>
      <c r="BZ50" s="771"/>
      <c r="CA50" s="226"/>
      <c r="CB50" s="252"/>
      <c r="CC50" s="771"/>
    </row>
    <row r="51" spans="2:81" ht="16" outlineLevel="1">
      <c r="B51" s="787"/>
      <c r="C51" s="253" t="s">
        <v>293</v>
      </c>
      <c r="D51" s="254" t="s">
        <v>270</v>
      </c>
      <c r="E51" s="255"/>
      <c r="F51" s="255"/>
      <c r="G51" s="255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57">
        <f t="shared" si="23"/>
        <v>0</v>
      </c>
      <c r="BZ51" s="771"/>
      <c r="CA51" s="226"/>
      <c r="CB51" s="252"/>
      <c r="CC51" s="771"/>
    </row>
    <row r="52" spans="2:81" ht="16" outlineLevel="1">
      <c r="B52" s="787"/>
      <c r="C52" s="253" t="s">
        <v>294</v>
      </c>
      <c r="D52" s="254" t="s">
        <v>270</v>
      </c>
      <c r="E52" s="255"/>
      <c r="F52" s="255"/>
      <c r="G52" s="255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6"/>
      <c r="V52" s="256"/>
      <c r="W52" s="256"/>
      <c r="X52" s="256"/>
      <c r="Y52" s="256"/>
      <c r="Z52" s="256"/>
      <c r="AA52" s="256"/>
      <c r="AB52" s="256"/>
      <c r="AC52" s="256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57">
        <f t="shared" si="23"/>
        <v>0</v>
      </c>
      <c r="BZ52" s="771"/>
      <c r="CA52" s="226"/>
      <c r="CB52" s="252"/>
      <c r="CC52" s="771"/>
    </row>
    <row r="53" spans="2:81" ht="16" outlineLevel="1">
      <c r="B53" s="787"/>
      <c r="C53" s="253" t="s">
        <v>236</v>
      </c>
      <c r="D53" s="254" t="s">
        <v>270</v>
      </c>
      <c r="E53" s="255"/>
      <c r="F53" s="255"/>
      <c r="G53" s="255"/>
      <c r="H53" s="256">
        <f>-3-12-5-200-2-12-400-36-(0.02+0.09+0.21+17.06)*22-15.91*24.5</f>
        <v>-1442.155</v>
      </c>
      <c r="I53" s="256">
        <f>-6-5-200-12-400-24-2-16.19*24.5-17.57*22</f>
        <v>-1432.1949999999999</v>
      </c>
      <c r="J53" s="256">
        <f>-3-32-5-6-200-15-400-2-(0.01+0.08+15.98+0.2)*24.5-(0.02+0.09+0.21+17.1)*22</f>
        <v>-1444.855</v>
      </c>
      <c r="K53" s="256">
        <f>-Businessplan_prodej!$F$101/12</f>
        <v>-2076.3529166666667</v>
      </c>
      <c r="L53" s="256">
        <f>-Businessplan_prodej!$F$101/12</f>
        <v>-2076.3529166666667</v>
      </c>
      <c r="M53" s="256">
        <f>-Businessplan_prodej!$F$101/12</f>
        <v>-2076.3529166666667</v>
      </c>
      <c r="N53" s="256">
        <f>-Businessplan_prodej!$F$101/12</f>
        <v>-2076.3529166666667</v>
      </c>
      <c r="O53" s="256">
        <f>-Businessplan_prodej!$F$101/12</f>
        <v>-2076.3529166666667</v>
      </c>
      <c r="P53" s="256">
        <f>-Businessplan_prodej!$F$101/12</f>
        <v>-2076.3529166666667</v>
      </c>
      <c r="Q53" s="256">
        <f>-Businessplan_prodej!$F$101/12</f>
        <v>-2076.3529166666667</v>
      </c>
      <c r="R53" s="256">
        <f>-Businessplan_prodej!$F$101/12</f>
        <v>-2076.3529166666667</v>
      </c>
      <c r="S53" s="256">
        <f>-Businessplan_prodej!$F$101/12</f>
        <v>-2076.3529166666667</v>
      </c>
      <c r="T53" s="256">
        <f>-Businessplan_prodej!$F$101/12</f>
        <v>-2076.3529166666667</v>
      </c>
      <c r="U53" s="256">
        <f>-Businessplan_prodej!$F$101/12</f>
        <v>-2076.3529166666667</v>
      </c>
      <c r="V53" s="256">
        <f>-Businessplan_prodej!$F$101/12</f>
        <v>-2076.3529166666667</v>
      </c>
      <c r="W53" s="256">
        <f>-Businessplan_prodej!$F$101/12</f>
        <v>-2076.3529166666667</v>
      </c>
      <c r="X53" s="256">
        <f>-Businessplan_prodej!$F$101/12</f>
        <v>-2076.3529166666667</v>
      </c>
      <c r="Y53" s="256">
        <f>-Businessplan_prodej!$F$101/12</f>
        <v>-2076.3529166666667</v>
      </c>
      <c r="Z53" s="256">
        <f>-Businessplan_prodej!$F$101/12</f>
        <v>-2076.3529166666667</v>
      </c>
      <c r="AA53" s="256">
        <f>-Businessplan_prodej!$F$101/12</f>
        <v>-2076.3529166666667</v>
      </c>
      <c r="AB53" s="256">
        <f>-Businessplan_prodej!$F$101/12</f>
        <v>-2076.3529166666667</v>
      </c>
      <c r="AC53" s="256">
        <f>-Businessplan_prodej!$F$101/12</f>
        <v>-2076.3529166666667</v>
      </c>
      <c r="AD53" s="255"/>
      <c r="AE53" s="255"/>
      <c r="AF53" s="255"/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  <c r="AT53" s="255"/>
      <c r="AU53" s="255"/>
      <c r="AV53" s="255"/>
      <c r="AW53" s="255"/>
      <c r="AX53" s="255"/>
      <c r="AY53" s="255"/>
      <c r="AZ53" s="255"/>
      <c r="BA53" s="255"/>
      <c r="BB53" s="255"/>
      <c r="BC53" s="255"/>
      <c r="BD53" s="255"/>
      <c r="BE53" s="255"/>
      <c r="BF53" s="255"/>
      <c r="BG53" s="255"/>
      <c r="BH53" s="255"/>
      <c r="BI53" s="255"/>
      <c r="BJ53" s="255"/>
      <c r="BK53" s="255"/>
      <c r="BL53" s="255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64"/>
      <c r="BY53" s="257">
        <f t="shared" si="23"/>
        <v>-43769.91041666668</v>
      </c>
      <c r="BZ53" s="771"/>
      <c r="CA53" s="226"/>
      <c r="CB53" s="252"/>
      <c r="CC53" s="771"/>
    </row>
    <row r="54" spans="2:81" ht="16" outlineLevel="1">
      <c r="B54" s="787"/>
      <c r="C54" s="253" t="s">
        <v>237</v>
      </c>
      <c r="D54" s="258" t="s">
        <v>270</v>
      </c>
      <c r="E54" s="259"/>
      <c r="F54" s="259"/>
      <c r="G54" s="255"/>
      <c r="H54" s="256"/>
      <c r="I54" s="256">
        <f>-3360</f>
        <v>-3360</v>
      </c>
      <c r="J54" s="256"/>
      <c r="K54" s="256"/>
      <c r="L54" s="256"/>
      <c r="M54" s="256"/>
      <c r="N54" s="256"/>
      <c r="O54" s="256"/>
      <c r="P54" s="256"/>
      <c r="Q54" s="256"/>
      <c r="R54" s="256"/>
      <c r="S54" s="256"/>
      <c r="T54" s="256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55"/>
      <c r="BN54" s="255"/>
      <c r="BO54" s="255"/>
      <c r="BP54" s="255"/>
      <c r="BQ54" s="255"/>
      <c r="BR54" s="255"/>
      <c r="BS54" s="255"/>
      <c r="BT54" s="255"/>
      <c r="BU54" s="255"/>
      <c r="BV54" s="255"/>
      <c r="BW54" s="255"/>
      <c r="BX54" s="264"/>
      <c r="BY54" s="257">
        <f t="shared" si="23"/>
        <v>-3360</v>
      </c>
      <c r="BZ54" s="771"/>
      <c r="CA54" s="226"/>
      <c r="CB54" s="252"/>
      <c r="CC54" s="771"/>
    </row>
    <row r="55" spans="2:81" ht="16">
      <c r="B55" s="787"/>
      <c r="C55" s="248" t="s">
        <v>295</v>
      </c>
      <c r="D55" s="249"/>
      <c r="E55" s="250">
        <f t="shared" ref="E55:BX55" si="24">SUM(E56:E62)</f>
        <v>0</v>
      </c>
      <c r="F55" s="250">
        <f t="shared" si="24"/>
        <v>0</v>
      </c>
      <c r="G55" s="250">
        <f t="shared" si="24"/>
        <v>0</v>
      </c>
      <c r="H55" s="250">
        <f t="shared" si="24"/>
        <v>0</v>
      </c>
      <c r="I55" s="250">
        <f t="shared" si="24"/>
        <v>0</v>
      </c>
      <c r="J55" s="250">
        <f t="shared" si="24"/>
        <v>0</v>
      </c>
      <c r="K55" s="250">
        <f t="shared" si="24"/>
        <v>0</v>
      </c>
      <c r="L55" s="250">
        <f t="shared" si="24"/>
        <v>-8112.5</v>
      </c>
      <c r="M55" s="250">
        <f t="shared" si="24"/>
        <v>-165083.33333333334</v>
      </c>
      <c r="N55" s="250">
        <f t="shared" si="24"/>
        <v>-215833.33333333337</v>
      </c>
      <c r="O55" s="250">
        <f t="shared" si="24"/>
        <v>-271833.33333333337</v>
      </c>
      <c r="P55" s="250">
        <f t="shared" si="24"/>
        <v>-278614</v>
      </c>
      <c r="Q55" s="250">
        <f t="shared" si="24"/>
        <v>-265141.03583333333</v>
      </c>
      <c r="R55" s="250">
        <f t="shared" si="24"/>
        <v>-265141.03583333333</v>
      </c>
      <c r="S55" s="250">
        <f t="shared" si="24"/>
        <v>-265141.03583333333</v>
      </c>
      <c r="T55" s="250">
        <f t="shared" si="24"/>
        <v>-265141.03583333333</v>
      </c>
      <c r="U55" s="250">
        <f t="shared" si="24"/>
        <v>-265141.03583333333</v>
      </c>
      <c r="V55" s="250">
        <f t="shared" si="24"/>
        <v>-265141.03583333333</v>
      </c>
      <c r="W55" s="250">
        <f t="shared" si="24"/>
        <v>-265141.03583333333</v>
      </c>
      <c r="X55" s="250">
        <f t="shared" si="24"/>
        <v>-265141.03583333333</v>
      </c>
      <c r="Y55" s="250">
        <f t="shared" si="24"/>
        <v>-265141.03583333333</v>
      </c>
      <c r="Z55" s="250">
        <f t="shared" si="24"/>
        <v>-265141.03583333333</v>
      </c>
      <c r="AA55" s="250">
        <f t="shared" si="24"/>
        <v>-265141.03583333333</v>
      </c>
      <c r="AB55" s="250">
        <f t="shared" si="24"/>
        <v>-265141.03583333333</v>
      </c>
      <c r="AC55" s="250">
        <f t="shared" si="24"/>
        <v>-1750141.0358333334</v>
      </c>
      <c r="AD55" s="250">
        <f t="shared" si="24"/>
        <v>0</v>
      </c>
      <c r="AE55" s="250">
        <f t="shared" si="24"/>
        <v>0</v>
      </c>
      <c r="AF55" s="250">
        <f t="shared" si="24"/>
        <v>0</v>
      </c>
      <c r="AG55" s="250">
        <f t="shared" si="24"/>
        <v>0</v>
      </c>
      <c r="AH55" s="250">
        <f t="shared" si="24"/>
        <v>0</v>
      </c>
      <c r="AI55" s="250">
        <f t="shared" si="24"/>
        <v>0</v>
      </c>
      <c r="AJ55" s="250">
        <f t="shared" si="24"/>
        <v>0</v>
      </c>
      <c r="AK55" s="250">
        <f t="shared" si="24"/>
        <v>0</v>
      </c>
      <c r="AL55" s="250">
        <f t="shared" si="24"/>
        <v>0</v>
      </c>
      <c r="AM55" s="250">
        <f t="shared" si="24"/>
        <v>0</v>
      </c>
      <c r="AN55" s="250">
        <f t="shared" si="24"/>
        <v>0</v>
      </c>
      <c r="AO55" s="250">
        <f t="shared" si="24"/>
        <v>0</v>
      </c>
      <c r="AP55" s="250">
        <f t="shared" si="24"/>
        <v>0</v>
      </c>
      <c r="AQ55" s="250">
        <f t="shared" si="24"/>
        <v>0</v>
      </c>
      <c r="AR55" s="250">
        <f t="shared" si="24"/>
        <v>0</v>
      </c>
      <c r="AS55" s="250">
        <f t="shared" si="24"/>
        <v>0</v>
      </c>
      <c r="AT55" s="250">
        <f t="shared" si="24"/>
        <v>0</v>
      </c>
      <c r="AU55" s="250">
        <f t="shared" si="24"/>
        <v>0</v>
      </c>
      <c r="AV55" s="250">
        <f t="shared" si="24"/>
        <v>0</v>
      </c>
      <c r="AW55" s="250">
        <f t="shared" si="24"/>
        <v>0</v>
      </c>
      <c r="AX55" s="250">
        <f t="shared" si="24"/>
        <v>0</v>
      </c>
      <c r="AY55" s="250">
        <f t="shared" si="24"/>
        <v>0</v>
      </c>
      <c r="AZ55" s="250">
        <f t="shared" si="24"/>
        <v>0</v>
      </c>
      <c r="BA55" s="250">
        <f t="shared" si="24"/>
        <v>0</v>
      </c>
      <c r="BB55" s="250">
        <f t="shared" si="24"/>
        <v>0</v>
      </c>
      <c r="BC55" s="250">
        <f t="shared" si="24"/>
        <v>0</v>
      </c>
      <c r="BD55" s="250">
        <f t="shared" si="24"/>
        <v>0</v>
      </c>
      <c r="BE55" s="250">
        <f t="shared" si="24"/>
        <v>0</v>
      </c>
      <c r="BF55" s="250">
        <f t="shared" si="24"/>
        <v>0</v>
      </c>
      <c r="BG55" s="250">
        <f t="shared" si="24"/>
        <v>0</v>
      </c>
      <c r="BH55" s="250">
        <f t="shared" si="24"/>
        <v>0</v>
      </c>
      <c r="BI55" s="250">
        <f t="shared" si="24"/>
        <v>0</v>
      </c>
      <c r="BJ55" s="250">
        <f t="shared" si="24"/>
        <v>0</v>
      </c>
      <c r="BK55" s="250">
        <f t="shared" si="24"/>
        <v>0</v>
      </c>
      <c r="BL55" s="250">
        <f t="shared" si="24"/>
        <v>0</v>
      </c>
      <c r="BM55" s="250">
        <f t="shared" si="24"/>
        <v>0</v>
      </c>
      <c r="BN55" s="250">
        <f t="shared" si="24"/>
        <v>0</v>
      </c>
      <c r="BO55" s="250">
        <f t="shared" si="24"/>
        <v>0</v>
      </c>
      <c r="BP55" s="250">
        <f t="shared" si="24"/>
        <v>0</v>
      </c>
      <c r="BQ55" s="250">
        <f t="shared" si="24"/>
        <v>0</v>
      </c>
      <c r="BR55" s="250">
        <f t="shared" si="24"/>
        <v>0</v>
      </c>
      <c r="BS55" s="250">
        <f t="shared" si="24"/>
        <v>0</v>
      </c>
      <c r="BT55" s="250">
        <f t="shared" si="24"/>
        <v>0</v>
      </c>
      <c r="BU55" s="250">
        <f t="shared" si="24"/>
        <v>0</v>
      </c>
      <c r="BV55" s="250">
        <f t="shared" si="24"/>
        <v>0</v>
      </c>
      <c r="BW55" s="250">
        <f t="shared" si="24"/>
        <v>0</v>
      </c>
      <c r="BX55" s="250">
        <f t="shared" si="24"/>
        <v>0</v>
      </c>
      <c r="BY55" s="252">
        <f>SUM(BY56:BY62)</f>
        <v>-5871309.9658333324</v>
      </c>
      <c r="BZ55" s="771"/>
      <c r="CA55" s="226"/>
      <c r="CB55" s="252"/>
      <c r="CC55" s="771"/>
    </row>
    <row r="56" spans="2:81" ht="16" outlineLevel="1">
      <c r="B56" s="787"/>
      <c r="C56" s="253" t="s">
        <v>296</v>
      </c>
      <c r="D56" s="279">
        <v>0</v>
      </c>
      <c r="E56" s="255"/>
      <c r="F56" s="255"/>
      <c r="G56" s="255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57">
        <f t="shared" ref="BY56:BY62" si="25">SUM(E56:BX56)</f>
        <v>0</v>
      </c>
      <c r="BZ56" s="771"/>
      <c r="CA56" s="226"/>
      <c r="CB56" s="252"/>
      <c r="CC56" s="771"/>
    </row>
    <row r="57" spans="2:81" ht="16" outlineLevel="1">
      <c r="B57" s="787"/>
      <c r="C57" s="253" t="s">
        <v>297</v>
      </c>
      <c r="D57" s="279">
        <v>0.11</v>
      </c>
      <c r="E57" s="255"/>
      <c r="F57" s="255"/>
      <c r="G57" s="255"/>
      <c r="H57" s="256"/>
      <c r="I57" s="256"/>
      <c r="J57" s="256"/>
      <c r="K57" s="256"/>
      <c r="L57" s="256">
        <f>-K6*D57/12</f>
        <v>-8112.5</v>
      </c>
      <c r="M57" s="256"/>
      <c r="N57" s="256"/>
      <c r="O57" s="256"/>
      <c r="P57" s="256"/>
      <c r="Q57" s="256"/>
      <c r="R57" s="256"/>
      <c r="S57" s="256"/>
      <c r="T57" s="256"/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57">
        <f t="shared" si="25"/>
        <v>-8112.5</v>
      </c>
      <c r="BZ57" s="771"/>
      <c r="CA57" s="226"/>
      <c r="CB57" s="252"/>
      <c r="CC57" s="771"/>
    </row>
    <row r="58" spans="2:81" ht="16" outlineLevel="1">
      <c r="B58" s="787"/>
      <c r="C58" s="253" t="s">
        <v>298</v>
      </c>
      <c r="D58" s="279">
        <v>0.11</v>
      </c>
      <c r="E58" s="255"/>
      <c r="F58" s="255"/>
      <c r="G58" s="255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5"/>
      <c r="V58" s="255"/>
      <c r="W58" s="255"/>
      <c r="X58" s="255"/>
      <c r="Y58" s="255"/>
      <c r="Z58" s="255"/>
      <c r="AA58" s="255"/>
      <c r="AB58" s="255"/>
      <c r="AC58" s="255">
        <f>-SUM('Interest Calc Cash-flow M 22.7.'!J14:J31)-'Interest Calc Cash-flow M 22.7.'!J31</f>
        <v>-1485000</v>
      </c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57">
        <f t="shared" si="25"/>
        <v>-1485000</v>
      </c>
      <c r="BZ58" s="771"/>
      <c r="CA58" s="226"/>
      <c r="CB58" s="252"/>
      <c r="CC58" s="771"/>
    </row>
    <row r="59" spans="2:81" ht="16" outlineLevel="1">
      <c r="B59" s="787"/>
      <c r="C59" s="253" t="s">
        <v>299</v>
      </c>
      <c r="D59" s="279">
        <v>0.105</v>
      </c>
      <c r="E59" s="255"/>
      <c r="F59" s="255"/>
      <c r="G59" s="255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57">
        <f t="shared" si="25"/>
        <v>0</v>
      </c>
      <c r="BZ59" s="771"/>
      <c r="CA59" s="226"/>
      <c r="CB59" s="252"/>
      <c r="CC59" s="771"/>
    </row>
    <row r="60" spans="2:81" ht="16" outlineLevel="1">
      <c r="B60" s="787"/>
      <c r="C60" s="253" t="s">
        <v>300</v>
      </c>
      <c r="D60" s="279">
        <v>0.15</v>
      </c>
      <c r="E60" s="255"/>
      <c r="F60" s="255"/>
      <c r="G60" s="255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5"/>
      <c r="AL60" s="255"/>
      <c r="AM60" s="255"/>
      <c r="AN60" s="255"/>
      <c r="AO60" s="255"/>
      <c r="AP60" s="255"/>
      <c r="AQ60" s="255"/>
      <c r="AR60" s="255"/>
      <c r="AS60" s="255"/>
      <c r="AT60" s="255"/>
      <c r="AU60" s="255"/>
      <c r="AV60" s="255"/>
      <c r="AW60" s="255"/>
      <c r="AX60" s="255"/>
      <c r="AY60" s="255"/>
      <c r="AZ60" s="255"/>
      <c r="BA60" s="255"/>
      <c r="BB60" s="255"/>
      <c r="BC60" s="255"/>
      <c r="BD60" s="255"/>
      <c r="BE60" s="255"/>
      <c r="BF60" s="255"/>
      <c r="BG60" s="255"/>
      <c r="BH60" s="255"/>
      <c r="BI60" s="255"/>
      <c r="BJ60" s="255"/>
      <c r="BK60" s="255"/>
      <c r="BL60" s="255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57">
        <f t="shared" si="25"/>
        <v>0</v>
      </c>
      <c r="BZ60" s="771"/>
      <c r="CA60" s="226"/>
      <c r="CB60" s="252"/>
      <c r="CC60" s="771"/>
    </row>
    <row r="61" spans="2:81" ht="16" outlineLevel="1">
      <c r="B61" s="787"/>
      <c r="C61" s="253" t="s">
        <v>622</v>
      </c>
      <c r="D61" s="283">
        <f>25%/12</f>
        <v>2.0833333333333332E-2</v>
      </c>
      <c r="E61" s="259"/>
      <c r="F61" s="259"/>
      <c r="G61" s="259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59"/>
      <c r="V61" s="259"/>
      <c r="W61" s="259"/>
      <c r="X61" s="259"/>
      <c r="Y61" s="259"/>
      <c r="Z61" s="259"/>
      <c r="AA61" s="259"/>
      <c r="AB61" s="259"/>
      <c r="AC61" s="259"/>
      <c r="AD61" s="259"/>
      <c r="AE61" s="259"/>
      <c r="AF61" s="259"/>
      <c r="AG61" s="259"/>
      <c r="AH61" s="259"/>
      <c r="AI61" s="259"/>
      <c r="AJ61" s="259"/>
      <c r="AK61" s="259"/>
      <c r="AL61" s="259"/>
      <c r="AM61" s="259"/>
      <c r="AN61" s="259"/>
      <c r="AO61" s="259"/>
      <c r="AP61" s="259"/>
      <c r="AQ61" s="259"/>
      <c r="AR61" s="259"/>
      <c r="AS61" s="259"/>
      <c r="AT61" s="259"/>
      <c r="AU61" s="259"/>
      <c r="AV61" s="259"/>
      <c r="AW61" s="259"/>
      <c r="AX61" s="259"/>
      <c r="AY61" s="259"/>
      <c r="AZ61" s="259"/>
      <c r="BA61" s="259"/>
      <c r="BB61" s="259"/>
      <c r="BC61" s="259"/>
      <c r="BD61" s="259"/>
      <c r="BE61" s="259"/>
      <c r="BF61" s="259"/>
      <c r="BG61" s="259"/>
      <c r="BH61" s="259"/>
      <c r="BI61" s="259"/>
      <c r="BJ61" s="259"/>
      <c r="BK61" s="259"/>
      <c r="BL61" s="255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57">
        <f t="shared" si="25"/>
        <v>0</v>
      </c>
      <c r="BZ61" s="771"/>
      <c r="CA61" s="226"/>
      <c r="CB61" s="252"/>
      <c r="CC61" s="771"/>
    </row>
    <row r="62" spans="2:81" ht="16" outlineLevel="1">
      <c r="B62" s="787"/>
      <c r="C62" s="284" t="s">
        <v>302</v>
      </c>
      <c r="D62" s="285">
        <v>7.0000000000000007E-2</v>
      </c>
      <c r="E62" s="286"/>
      <c r="F62" s="286"/>
      <c r="G62" s="286"/>
      <c r="H62" s="287"/>
      <c r="I62" s="287"/>
      <c r="J62" s="287"/>
      <c r="K62" s="287"/>
      <c r="L62" s="287"/>
      <c r="M62" s="287">
        <v>-165083.33333333334</v>
      </c>
      <c r="N62" s="287">
        <v>-215833.33333333337</v>
      </c>
      <c r="O62" s="287">
        <v>-271833.33333333337</v>
      </c>
      <c r="P62" s="287">
        <f>-280000+1386</f>
        <v>-278614</v>
      </c>
      <c r="Q62" s="287">
        <f t="shared" ref="Q62:AC62" si="26">-SUM($K$11:Q11)*$D$62/12</f>
        <v>-265141.03583333333</v>
      </c>
      <c r="R62" s="287">
        <f t="shared" si="26"/>
        <v>-265141.03583333333</v>
      </c>
      <c r="S62" s="287">
        <f t="shared" si="26"/>
        <v>-265141.03583333333</v>
      </c>
      <c r="T62" s="287">
        <f t="shared" si="26"/>
        <v>-265141.03583333333</v>
      </c>
      <c r="U62" s="287">
        <f t="shared" si="26"/>
        <v>-265141.03583333333</v>
      </c>
      <c r="V62" s="287">
        <f t="shared" si="26"/>
        <v>-265141.03583333333</v>
      </c>
      <c r="W62" s="287">
        <f t="shared" si="26"/>
        <v>-265141.03583333333</v>
      </c>
      <c r="X62" s="287">
        <f t="shared" si="26"/>
        <v>-265141.03583333333</v>
      </c>
      <c r="Y62" s="287">
        <f t="shared" si="26"/>
        <v>-265141.03583333333</v>
      </c>
      <c r="Z62" s="287">
        <f t="shared" si="26"/>
        <v>-265141.03583333333</v>
      </c>
      <c r="AA62" s="287">
        <f t="shared" si="26"/>
        <v>-265141.03583333333</v>
      </c>
      <c r="AB62" s="287">
        <f t="shared" si="26"/>
        <v>-265141.03583333333</v>
      </c>
      <c r="AC62" s="287">
        <f t="shared" si="26"/>
        <v>-265141.03583333333</v>
      </c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8"/>
      <c r="BN62" s="288"/>
      <c r="BO62" s="288"/>
      <c r="BP62" s="288"/>
      <c r="BQ62" s="288"/>
      <c r="BR62" s="288"/>
      <c r="BS62" s="288"/>
      <c r="BT62" s="288"/>
      <c r="BU62" s="288"/>
      <c r="BV62" s="288"/>
      <c r="BW62" s="288"/>
      <c r="BX62" s="288"/>
      <c r="BY62" s="257">
        <f t="shared" si="25"/>
        <v>-4378197.4658333324</v>
      </c>
      <c r="BZ62" s="771"/>
      <c r="CA62" s="226"/>
      <c r="CB62" s="252"/>
      <c r="CC62" s="771"/>
    </row>
    <row r="63" spans="2:81" ht="16" collapsed="1">
      <c r="B63" s="787"/>
      <c r="C63" s="248" t="s">
        <v>303</v>
      </c>
      <c r="D63" s="249"/>
      <c r="E63" s="250">
        <f t="shared" ref="E63:BY63" si="27">SUM(E64:E86)</f>
        <v>0</v>
      </c>
      <c r="F63" s="250">
        <f t="shared" si="27"/>
        <v>0</v>
      </c>
      <c r="G63" s="250">
        <f t="shared" si="27"/>
        <v>0</v>
      </c>
      <c r="H63" s="250">
        <f t="shared" si="27"/>
        <v>0</v>
      </c>
      <c r="I63" s="250">
        <f t="shared" si="27"/>
        <v>0</v>
      </c>
      <c r="J63" s="250">
        <f t="shared" si="27"/>
        <v>0</v>
      </c>
      <c r="K63" s="250">
        <f t="shared" si="27"/>
        <v>0</v>
      </c>
      <c r="L63" s="250">
        <f t="shared" si="27"/>
        <v>0</v>
      </c>
      <c r="M63" s="250">
        <f t="shared" si="27"/>
        <v>0</v>
      </c>
      <c r="N63" s="250">
        <f t="shared" si="27"/>
        <v>0</v>
      </c>
      <c r="O63" s="250">
        <f t="shared" si="27"/>
        <v>0</v>
      </c>
      <c r="P63" s="250">
        <f t="shared" si="27"/>
        <v>0</v>
      </c>
      <c r="Q63" s="250">
        <f t="shared" si="27"/>
        <v>-97718.69249999999</v>
      </c>
      <c r="R63" s="250">
        <f t="shared" si="27"/>
        <v>-97718.69249999999</v>
      </c>
      <c r="S63" s="250">
        <f t="shared" si="27"/>
        <v>-97718.69249999999</v>
      </c>
      <c r="T63" s="250">
        <f t="shared" si="27"/>
        <v>-97718.69249999999</v>
      </c>
      <c r="U63" s="250">
        <f t="shared" si="27"/>
        <v>-97718.69249999999</v>
      </c>
      <c r="V63" s="250">
        <f t="shared" si="27"/>
        <v>-97718.69249999999</v>
      </c>
      <c r="W63" s="250">
        <f t="shared" si="27"/>
        <v>-97718.69249999999</v>
      </c>
      <c r="X63" s="250">
        <f t="shared" si="27"/>
        <v>-97718.69249999999</v>
      </c>
      <c r="Y63" s="250">
        <f t="shared" si="27"/>
        <v>-97718.69249999999</v>
      </c>
      <c r="Z63" s="250">
        <f t="shared" si="27"/>
        <v>-97718.69249999999</v>
      </c>
      <c r="AA63" s="250">
        <f t="shared" si="27"/>
        <v>-97718.69249999999</v>
      </c>
      <c r="AB63" s="250">
        <f t="shared" si="27"/>
        <v>-97718.69249999999</v>
      </c>
      <c r="AC63" s="250">
        <f t="shared" si="27"/>
        <v>-97718.69249999999</v>
      </c>
      <c r="AD63" s="250">
        <f t="shared" si="27"/>
        <v>0</v>
      </c>
      <c r="AE63" s="250">
        <f t="shared" si="27"/>
        <v>0</v>
      </c>
      <c r="AF63" s="250">
        <f t="shared" si="27"/>
        <v>0</v>
      </c>
      <c r="AG63" s="250">
        <f t="shared" si="27"/>
        <v>0</v>
      </c>
      <c r="AH63" s="250">
        <f t="shared" si="27"/>
        <v>0</v>
      </c>
      <c r="AI63" s="250">
        <f t="shared" si="27"/>
        <v>0</v>
      </c>
      <c r="AJ63" s="250">
        <f t="shared" si="27"/>
        <v>0</v>
      </c>
      <c r="AK63" s="250">
        <f t="shared" si="27"/>
        <v>0</v>
      </c>
      <c r="AL63" s="250">
        <f t="shared" si="27"/>
        <v>0</v>
      </c>
      <c r="AM63" s="250">
        <f t="shared" si="27"/>
        <v>0</v>
      </c>
      <c r="AN63" s="250">
        <f t="shared" si="27"/>
        <v>0</v>
      </c>
      <c r="AO63" s="250">
        <f t="shared" si="27"/>
        <v>0</v>
      </c>
      <c r="AP63" s="250">
        <f t="shared" si="27"/>
        <v>0</v>
      </c>
      <c r="AQ63" s="250">
        <f t="shared" si="27"/>
        <v>0</v>
      </c>
      <c r="AR63" s="250">
        <f t="shared" si="27"/>
        <v>0</v>
      </c>
      <c r="AS63" s="250">
        <f t="shared" si="27"/>
        <v>0</v>
      </c>
      <c r="AT63" s="250">
        <f t="shared" si="27"/>
        <v>0</v>
      </c>
      <c r="AU63" s="250">
        <f t="shared" si="27"/>
        <v>0</v>
      </c>
      <c r="AV63" s="250">
        <f t="shared" si="27"/>
        <v>0</v>
      </c>
      <c r="AW63" s="250">
        <f t="shared" si="27"/>
        <v>0</v>
      </c>
      <c r="AX63" s="250">
        <f t="shared" si="27"/>
        <v>0</v>
      </c>
      <c r="AY63" s="250">
        <f t="shared" si="27"/>
        <v>0</v>
      </c>
      <c r="AZ63" s="250">
        <f t="shared" si="27"/>
        <v>0</v>
      </c>
      <c r="BA63" s="250">
        <f t="shared" si="27"/>
        <v>0</v>
      </c>
      <c r="BB63" s="250">
        <f t="shared" si="27"/>
        <v>0</v>
      </c>
      <c r="BC63" s="250">
        <f t="shared" si="27"/>
        <v>0</v>
      </c>
      <c r="BD63" s="250">
        <f t="shared" si="27"/>
        <v>0</v>
      </c>
      <c r="BE63" s="250">
        <f t="shared" si="27"/>
        <v>0</v>
      </c>
      <c r="BF63" s="250">
        <f t="shared" si="27"/>
        <v>0</v>
      </c>
      <c r="BG63" s="250">
        <f t="shared" si="27"/>
        <v>0</v>
      </c>
      <c r="BH63" s="250">
        <f t="shared" si="27"/>
        <v>0</v>
      </c>
      <c r="BI63" s="250">
        <f t="shared" si="27"/>
        <v>0</v>
      </c>
      <c r="BJ63" s="250">
        <f t="shared" si="27"/>
        <v>0</v>
      </c>
      <c r="BK63" s="250">
        <f t="shared" si="27"/>
        <v>0</v>
      </c>
      <c r="BL63" s="250">
        <f t="shared" si="27"/>
        <v>0</v>
      </c>
      <c r="BM63" s="250">
        <f t="shared" si="27"/>
        <v>0</v>
      </c>
      <c r="BN63" s="250">
        <f t="shared" si="27"/>
        <v>0</v>
      </c>
      <c r="BO63" s="250">
        <f t="shared" si="27"/>
        <v>0</v>
      </c>
      <c r="BP63" s="250">
        <f t="shared" si="27"/>
        <v>0</v>
      </c>
      <c r="BQ63" s="250">
        <f t="shared" si="27"/>
        <v>0</v>
      </c>
      <c r="BR63" s="250">
        <f t="shared" si="27"/>
        <v>0</v>
      </c>
      <c r="BS63" s="250">
        <f t="shared" si="27"/>
        <v>0</v>
      </c>
      <c r="BT63" s="250">
        <f t="shared" si="27"/>
        <v>0</v>
      </c>
      <c r="BU63" s="250">
        <f t="shared" si="27"/>
        <v>0</v>
      </c>
      <c r="BV63" s="250">
        <f t="shared" si="27"/>
        <v>0</v>
      </c>
      <c r="BW63" s="250">
        <f t="shared" si="27"/>
        <v>0</v>
      </c>
      <c r="BX63" s="250">
        <f t="shared" si="27"/>
        <v>0</v>
      </c>
      <c r="BY63" s="251">
        <f t="shared" si="27"/>
        <v>-1270343.0024999997</v>
      </c>
      <c r="BZ63" s="771"/>
      <c r="CA63" s="226"/>
      <c r="CB63" s="252"/>
      <c r="CC63" s="771"/>
    </row>
    <row r="64" spans="2:81" ht="16" hidden="1" outlineLevel="1">
      <c r="B64" s="787"/>
      <c r="C64" s="290" t="s">
        <v>304</v>
      </c>
      <c r="D64" s="254" t="s">
        <v>270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  <c r="AN64" s="256"/>
      <c r="AO64" s="256"/>
      <c r="AP64" s="256"/>
      <c r="AQ64" s="256"/>
      <c r="AR64" s="256"/>
      <c r="AS64" s="256"/>
      <c r="AT64" s="256"/>
      <c r="AU64" s="256"/>
      <c r="AV64" s="256"/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57">
        <f t="shared" ref="BY64:BY86" si="28">SUM(E64:BX64)</f>
        <v>0</v>
      </c>
      <c r="BZ64" s="771"/>
      <c r="CA64" s="226"/>
      <c r="CB64" s="252"/>
      <c r="CC64" s="771"/>
    </row>
    <row r="65" spans="2:81" ht="16" hidden="1" outlineLevel="1">
      <c r="B65" s="787"/>
      <c r="C65" s="292" t="s">
        <v>305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57">
        <f t="shared" si="28"/>
        <v>0</v>
      </c>
      <c r="BZ65" s="771"/>
      <c r="CA65" s="226"/>
      <c r="CB65" s="252"/>
      <c r="CC65" s="771"/>
    </row>
    <row r="66" spans="2:81" ht="16" hidden="1" outlineLevel="1">
      <c r="B66" s="787"/>
      <c r="C66" s="292" t="s">
        <v>306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57">
        <f t="shared" si="28"/>
        <v>0</v>
      </c>
      <c r="BZ66" s="771"/>
      <c r="CA66" s="226"/>
      <c r="CB66" s="252"/>
      <c r="CC66" s="771"/>
    </row>
    <row r="67" spans="2:81" ht="16" hidden="1" outlineLevel="1">
      <c r="B67" s="787"/>
      <c r="C67" s="292" t="s">
        <v>307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57">
        <f t="shared" si="28"/>
        <v>0</v>
      </c>
      <c r="BZ67" s="771"/>
      <c r="CA67" s="226"/>
      <c r="CB67" s="252"/>
      <c r="CC67" s="771"/>
    </row>
    <row r="68" spans="2:81" ht="16" hidden="1" outlineLevel="1">
      <c r="B68" s="787"/>
      <c r="C68" s="292" t="s">
        <v>308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57">
        <f t="shared" si="28"/>
        <v>0</v>
      </c>
      <c r="BZ68" s="771"/>
      <c r="CA68" s="226"/>
      <c r="CB68" s="252"/>
      <c r="CC68" s="771"/>
    </row>
    <row r="69" spans="2:81" ht="16" hidden="1" outlineLevel="1">
      <c r="B69" s="787"/>
      <c r="C69" s="292" t="s">
        <v>309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57">
        <f t="shared" si="28"/>
        <v>0</v>
      </c>
      <c r="BZ69" s="771"/>
      <c r="CA69" s="226"/>
      <c r="CB69" s="252"/>
      <c r="CC69" s="771"/>
    </row>
    <row r="70" spans="2:81" ht="16" hidden="1" outlineLevel="1">
      <c r="B70" s="787"/>
      <c r="C70" s="292" t="s">
        <v>310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57">
        <f t="shared" si="28"/>
        <v>0</v>
      </c>
      <c r="BZ70" s="771"/>
      <c r="CA70" s="226"/>
      <c r="CB70" s="252"/>
      <c r="CC70" s="771"/>
    </row>
    <row r="71" spans="2:81" ht="16" hidden="1" outlineLevel="1">
      <c r="B71" s="787"/>
      <c r="C71" s="292" t="s">
        <v>311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57">
        <f t="shared" si="28"/>
        <v>0</v>
      </c>
      <c r="BZ71" s="771"/>
      <c r="CA71" s="226"/>
      <c r="CB71" s="252"/>
      <c r="CC71" s="771"/>
    </row>
    <row r="72" spans="2:81" ht="16" hidden="1" outlineLevel="1">
      <c r="B72" s="787"/>
      <c r="C72" s="292" t="s">
        <v>312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57">
        <f t="shared" si="28"/>
        <v>0</v>
      </c>
      <c r="BZ72" s="771"/>
      <c r="CA72" s="226"/>
      <c r="CB72" s="252"/>
      <c r="CC72" s="771"/>
    </row>
    <row r="73" spans="2:81" ht="16" hidden="1" outlineLevel="1">
      <c r="B73" s="787"/>
      <c r="C73" s="292" t="s">
        <v>313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57">
        <f t="shared" si="28"/>
        <v>0</v>
      </c>
      <c r="BZ73" s="771"/>
      <c r="CA73" s="226"/>
      <c r="CB73" s="252"/>
      <c r="CC73" s="771"/>
    </row>
    <row r="74" spans="2:81" ht="16" hidden="1" outlineLevel="1">
      <c r="B74" s="787"/>
      <c r="C74" s="292" t="s">
        <v>314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57">
        <f t="shared" si="28"/>
        <v>0</v>
      </c>
      <c r="BZ74" s="771"/>
      <c r="CA74" s="226"/>
      <c r="CB74" s="252"/>
      <c r="CC74" s="771"/>
    </row>
    <row r="75" spans="2:81" ht="16" hidden="1" outlineLevel="1">
      <c r="B75" s="787"/>
      <c r="C75" s="292" t="s">
        <v>315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57">
        <f t="shared" si="28"/>
        <v>0</v>
      </c>
      <c r="BZ75" s="771"/>
      <c r="CA75" s="226"/>
      <c r="CB75" s="252"/>
      <c r="CC75" s="771"/>
    </row>
    <row r="76" spans="2:81" ht="16" hidden="1" outlineLevel="1">
      <c r="B76" s="787"/>
      <c r="C76" s="292" t="s">
        <v>316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57">
        <f t="shared" si="28"/>
        <v>0</v>
      </c>
      <c r="BZ76" s="771"/>
      <c r="CA76" s="226"/>
      <c r="CB76" s="252"/>
      <c r="CC76" s="771"/>
    </row>
    <row r="77" spans="2:81" ht="16" hidden="1" outlineLevel="1">
      <c r="B77" s="787"/>
      <c r="C77" s="292" t="s">
        <v>317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57">
        <f t="shared" si="28"/>
        <v>0</v>
      </c>
      <c r="BZ77" s="771"/>
      <c r="CA77" s="226"/>
      <c r="CB77" s="252"/>
      <c r="CC77" s="771"/>
    </row>
    <row r="78" spans="2:81" ht="16" hidden="1" outlineLevel="1">
      <c r="B78" s="787"/>
      <c r="C78" s="292" t="s">
        <v>318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57">
        <f t="shared" si="28"/>
        <v>0</v>
      </c>
      <c r="BZ78" s="771"/>
      <c r="CA78" s="226"/>
      <c r="CB78" s="252"/>
      <c r="CC78" s="771"/>
    </row>
    <row r="79" spans="2:81" ht="16" hidden="1" outlineLevel="1">
      <c r="B79" s="787"/>
      <c r="C79" s="292" t="s">
        <v>319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57">
        <f t="shared" si="28"/>
        <v>0</v>
      </c>
      <c r="BZ79" s="771"/>
      <c r="CA79" s="226"/>
      <c r="CB79" s="252"/>
      <c r="CC79" s="771"/>
    </row>
    <row r="80" spans="2:81" ht="16" hidden="1" outlineLevel="1">
      <c r="B80" s="787"/>
      <c r="C80" s="292" t="s">
        <v>320</v>
      </c>
      <c r="D80" s="254" t="s">
        <v>270</v>
      </c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  <c r="BX80" s="256"/>
      <c r="BY80" s="257">
        <f t="shared" si="28"/>
        <v>0</v>
      </c>
      <c r="BZ80" s="771"/>
      <c r="CA80" s="226"/>
      <c r="CB80" s="252"/>
      <c r="CC80" s="771"/>
    </row>
    <row r="81" spans="2:81" ht="16" hidden="1" outlineLevel="1">
      <c r="B81" s="787"/>
      <c r="C81" s="292" t="s">
        <v>321</v>
      </c>
      <c r="D81" s="254" t="s">
        <v>270</v>
      </c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/>
      <c r="AP81" s="256"/>
      <c r="AQ81" s="256"/>
      <c r="AR81" s="256"/>
      <c r="AS81" s="256"/>
      <c r="AT81" s="256"/>
      <c r="AU81" s="256"/>
      <c r="AV81" s="256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6"/>
      <c r="BR81" s="256"/>
      <c r="BS81" s="256"/>
      <c r="BT81" s="256"/>
      <c r="BU81" s="256"/>
      <c r="BV81" s="256"/>
      <c r="BW81" s="256"/>
      <c r="BX81" s="256"/>
      <c r="BY81" s="257">
        <f t="shared" si="28"/>
        <v>0</v>
      </c>
      <c r="BZ81" s="771"/>
      <c r="CA81" s="226"/>
      <c r="CB81" s="252"/>
      <c r="CC81" s="771"/>
    </row>
    <row r="82" spans="2:81" ht="16" hidden="1" outlineLevel="1">
      <c r="B82" s="787"/>
      <c r="C82" s="293" t="s">
        <v>224</v>
      </c>
      <c r="D82" s="254" t="s">
        <v>270</v>
      </c>
      <c r="E82" s="256"/>
      <c r="F82" s="255"/>
      <c r="G82" s="255"/>
      <c r="H82" s="256"/>
      <c r="I82" s="256"/>
      <c r="J82" s="256"/>
      <c r="K82" s="256"/>
      <c r="L82" s="256"/>
      <c r="M82" s="256"/>
      <c r="N82" s="256"/>
      <c r="O82" s="256"/>
      <c r="P82" s="256"/>
      <c r="Q82" s="256">
        <f>-Businessplan_prodej!$N$19/12*1.21</f>
        <v>-97718.69249999999</v>
      </c>
      <c r="R82" s="256">
        <f>-Businessplan_prodej!$N$19/12*1.21</f>
        <v>-97718.69249999999</v>
      </c>
      <c r="S82" s="256">
        <f>-Businessplan_prodej!$N$19/12*1.21</f>
        <v>-97718.69249999999</v>
      </c>
      <c r="T82" s="256">
        <f>-Businessplan_prodej!$N$19/12*1.21</f>
        <v>-97718.69249999999</v>
      </c>
      <c r="U82" s="256">
        <f>-Businessplan_prodej!$N$19/12*1.21</f>
        <v>-97718.69249999999</v>
      </c>
      <c r="V82" s="256">
        <f>-Businessplan_prodej!$N$19/12*1.21</f>
        <v>-97718.69249999999</v>
      </c>
      <c r="W82" s="256">
        <f>-Businessplan_prodej!$N$19/12*1.21</f>
        <v>-97718.69249999999</v>
      </c>
      <c r="X82" s="256">
        <f>-Businessplan_prodej!$N$19/12*1.21</f>
        <v>-97718.69249999999</v>
      </c>
      <c r="Y82" s="256">
        <f>-Businessplan_prodej!$N$19/12*1.21</f>
        <v>-97718.69249999999</v>
      </c>
      <c r="Z82" s="256">
        <f>-Businessplan_prodej!$N$19/12*1.21</f>
        <v>-97718.69249999999</v>
      </c>
      <c r="AA82" s="256">
        <f>-Businessplan_prodej!$N$19/12*1.21</f>
        <v>-97718.69249999999</v>
      </c>
      <c r="AB82" s="256">
        <f>-Businessplan_prodej!$N$19/12*1.21</f>
        <v>-97718.69249999999</v>
      </c>
      <c r="AC82" s="256">
        <f>-Businessplan_prodej!$N$19/12*1.21</f>
        <v>-97718.69249999999</v>
      </c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57">
        <f t="shared" si="28"/>
        <v>-1270343.0024999997</v>
      </c>
      <c r="BZ82" s="771"/>
      <c r="CA82" s="226"/>
      <c r="CB82" s="252"/>
      <c r="CC82" s="771"/>
    </row>
    <row r="83" spans="2:81" ht="16" hidden="1" outlineLevel="1">
      <c r="B83" s="787"/>
      <c r="C83" s="292" t="s">
        <v>225</v>
      </c>
      <c r="D83" s="254" t="s">
        <v>270</v>
      </c>
      <c r="E83" s="256"/>
      <c r="F83" s="255"/>
      <c r="G83" s="255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5"/>
      <c r="V83" s="255"/>
      <c r="W83" s="255"/>
      <c r="X83" s="255"/>
      <c r="Y83" s="255"/>
      <c r="Z83" s="255"/>
      <c r="AA83" s="255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57">
        <f t="shared" si="28"/>
        <v>0</v>
      </c>
      <c r="BZ83" s="771"/>
      <c r="CA83" s="226"/>
      <c r="CB83" s="252"/>
      <c r="CC83" s="771"/>
    </row>
    <row r="84" spans="2:81" ht="16" hidden="1" outlineLevel="1">
      <c r="B84" s="787"/>
      <c r="C84" s="292" t="s">
        <v>236</v>
      </c>
      <c r="D84" s="254" t="s">
        <v>270</v>
      </c>
      <c r="E84" s="256"/>
      <c r="F84" s="255"/>
      <c r="G84" s="255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5"/>
      <c r="V84" s="255"/>
      <c r="W84" s="255"/>
      <c r="X84" s="255"/>
      <c r="Y84" s="255"/>
      <c r="Z84" s="255"/>
      <c r="AA84" s="255"/>
      <c r="AB84" s="255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5"/>
      <c r="BD84" s="255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57">
        <f t="shared" si="28"/>
        <v>0</v>
      </c>
      <c r="BZ84" s="771"/>
      <c r="CA84" s="226"/>
      <c r="CB84" s="252"/>
      <c r="CC84" s="771"/>
    </row>
    <row r="85" spans="2:81" ht="16" hidden="1" outlineLevel="1">
      <c r="B85" s="787"/>
      <c r="C85" s="292" t="s">
        <v>237</v>
      </c>
      <c r="D85" s="254" t="s">
        <v>270</v>
      </c>
      <c r="E85" s="256"/>
      <c r="F85" s="255"/>
      <c r="G85" s="255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P85" s="255"/>
      <c r="AQ85" s="255"/>
      <c r="AR85" s="255"/>
      <c r="AS85" s="255"/>
      <c r="AT85" s="255"/>
      <c r="AU85" s="255"/>
      <c r="AV85" s="255"/>
      <c r="AW85" s="255"/>
      <c r="AX85" s="255"/>
      <c r="AY85" s="255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57">
        <f t="shared" si="28"/>
        <v>0</v>
      </c>
      <c r="BZ85" s="771"/>
      <c r="CA85" s="226"/>
      <c r="CB85" s="252"/>
      <c r="CC85" s="771"/>
    </row>
    <row r="86" spans="2:81" ht="16" hidden="1" outlineLevel="1">
      <c r="B86" s="787"/>
      <c r="C86" s="294" t="s">
        <v>322</v>
      </c>
      <c r="D86" s="258" t="s">
        <v>270</v>
      </c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5"/>
      <c r="BQ86" s="295"/>
      <c r="BR86" s="295"/>
      <c r="BS86" s="295"/>
      <c r="BT86" s="295"/>
      <c r="BU86" s="295"/>
      <c r="BV86" s="295"/>
      <c r="BW86" s="295"/>
      <c r="BX86" s="295"/>
      <c r="BY86" s="257">
        <f t="shared" si="28"/>
        <v>0</v>
      </c>
      <c r="BZ86" s="771"/>
      <c r="CA86" s="226"/>
      <c r="CB86" s="252"/>
      <c r="CC86" s="771"/>
    </row>
    <row r="87" spans="2:81" ht="16" collapsed="1">
      <c r="B87" s="787"/>
      <c r="C87" s="248" t="s">
        <v>323</v>
      </c>
      <c r="D87" s="249"/>
      <c r="E87" s="250">
        <f t="shared" ref="E87:BY87" si="29">SUM(E88:E89)</f>
        <v>0</v>
      </c>
      <c r="F87" s="250">
        <f t="shared" si="29"/>
        <v>0</v>
      </c>
      <c r="G87" s="250">
        <f t="shared" si="29"/>
        <v>0</v>
      </c>
      <c r="H87" s="250">
        <f t="shared" si="29"/>
        <v>0</v>
      </c>
      <c r="I87" s="250">
        <f t="shared" si="29"/>
        <v>0</v>
      </c>
      <c r="J87" s="250">
        <f t="shared" si="29"/>
        <v>0</v>
      </c>
      <c r="K87" s="250">
        <f t="shared" si="29"/>
        <v>0</v>
      </c>
      <c r="L87" s="250">
        <f t="shared" si="29"/>
        <v>0</v>
      </c>
      <c r="M87" s="250">
        <f t="shared" si="29"/>
        <v>0</v>
      </c>
      <c r="N87" s="250">
        <f t="shared" si="29"/>
        <v>0</v>
      </c>
      <c r="O87" s="250">
        <f t="shared" si="29"/>
        <v>0</v>
      </c>
      <c r="P87" s="250">
        <f t="shared" si="29"/>
        <v>0</v>
      </c>
      <c r="Q87" s="250">
        <f t="shared" si="29"/>
        <v>0</v>
      </c>
      <c r="R87" s="250">
        <f t="shared" si="29"/>
        <v>0</v>
      </c>
      <c r="S87" s="250">
        <f t="shared" si="29"/>
        <v>0</v>
      </c>
      <c r="T87" s="250">
        <f t="shared" si="29"/>
        <v>0</v>
      </c>
      <c r="U87" s="250">
        <f t="shared" si="29"/>
        <v>0</v>
      </c>
      <c r="V87" s="250">
        <f t="shared" si="29"/>
        <v>0</v>
      </c>
      <c r="W87" s="250">
        <f t="shared" si="29"/>
        <v>0</v>
      </c>
      <c r="X87" s="250">
        <f t="shared" si="29"/>
        <v>0</v>
      </c>
      <c r="Y87" s="250">
        <f t="shared" si="29"/>
        <v>0</v>
      </c>
      <c r="Z87" s="250">
        <f t="shared" si="29"/>
        <v>0</v>
      </c>
      <c r="AA87" s="250">
        <f t="shared" si="29"/>
        <v>0</v>
      </c>
      <c r="AB87" s="250">
        <f t="shared" si="29"/>
        <v>0</v>
      </c>
      <c r="AC87" s="250">
        <f t="shared" si="29"/>
        <v>0</v>
      </c>
      <c r="AD87" s="250">
        <f t="shared" si="29"/>
        <v>0</v>
      </c>
      <c r="AE87" s="250">
        <f t="shared" si="29"/>
        <v>0</v>
      </c>
      <c r="AF87" s="250">
        <f t="shared" si="29"/>
        <v>0</v>
      </c>
      <c r="AG87" s="250">
        <f t="shared" si="29"/>
        <v>0</v>
      </c>
      <c r="AH87" s="250">
        <f t="shared" si="29"/>
        <v>0</v>
      </c>
      <c r="AI87" s="250">
        <f t="shared" si="29"/>
        <v>0</v>
      </c>
      <c r="AJ87" s="250">
        <f t="shared" si="29"/>
        <v>0</v>
      </c>
      <c r="AK87" s="250">
        <f t="shared" si="29"/>
        <v>0</v>
      </c>
      <c r="AL87" s="250">
        <f t="shared" si="29"/>
        <v>0</v>
      </c>
      <c r="AM87" s="250">
        <f t="shared" si="29"/>
        <v>0</v>
      </c>
      <c r="AN87" s="250">
        <f t="shared" si="29"/>
        <v>0</v>
      </c>
      <c r="AO87" s="250">
        <f t="shared" si="29"/>
        <v>0</v>
      </c>
      <c r="AP87" s="250">
        <f t="shared" si="29"/>
        <v>0</v>
      </c>
      <c r="AQ87" s="250">
        <f t="shared" si="29"/>
        <v>0</v>
      </c>
      <c r="AR87" s="250">
        <f t="shared" si="29"/>
        <v>0</v>
      </c>
      <c r="AS87" s="250">
        <f t="shared" si="29"/>
        <v>0</v>
      </c>
      <c r="AT87" s="250">
        <f t="shared" si="29"/>
        <v>0</v>
      </c>
      <c r="AU87" s="250">
        <f t="shared" si="29"/>
        <v>0</v>
      </c>
      <c r="AV87" s="250">
        <f t="shared" si="29"/>
        <v>0</v>
      </c>
      <c r="AW87" s="250">
        <f t="shared" si="29"/>
        <v>0</v>
      </c>
      <c r="AX87" s="250">
        <f t="shared" si="29"/>
        <v>0</v>
      </c>
      <c r="AY87" s="250">
        <f t="shared" si="29"/>
        <v>0</v>
      </c>
      <c r="AZ87" s="250">
        <f t="shared" si="29"/>
        <v>0</v>
      </c>
      <c r="BA87" s="250">
        <f t="shared" si="29"/>
        <v>0</v>
      </c>
      <c r="BB87" s="250">
        <f t="shared" si="29"/>
        <v>0</v>
      </c>
      <c r="BC87" s="250">
        <f t="shared" si="29"/>
        <v>0</v>
      </c>
      <c r="BD87" s="250">
        <f t="shared" si="29"/>
        <v>0</v>
      </c>
      <c r="BE87" s="250">
        <f t="shared" si="29"/>
        <v>0</v>
      </c>
      <c r="BF87" s="250">
        <f t="shared" si="29"/>
        <v>0</v>
      </c>
      <c r="BG87" s="250">
        <f t="shared" si="29"/>
        <v>0</v>
      </c>
      <c r="BH87" s="250">
        <f t="shared" si="29"/>
        <v>0</v>
      </c>
      <c r="BI87" s="250">
        <f t="shared" si="29"/>
        <v>0</v>
      </c>
      <c r="BJ87" s="250">
        <f t="shared" si="29"/>
        <v>0</v>
      </c>
      <c r="BK87" s="250">
        <f t="shared" si="29"/>
        <v>0</v>
      </c>
      <c r="BL87" s="250">
        <f t="shared" si="29"/>
        <v>0</v>
      </c>
      <c r="BM87" s="250">
        <f t="shared" si="29"/>
        <v>0</v>
      </c>
      <c r="BN87" s="250">
        <f t="shared" si="29"/>
        <v>0</v>
      </c>
      <c r="BO87" s="250">
        <f t="shared" si="29"/>
        <v>0</v>
      </c>
      <c r="BP87" s="250">
        <f t="shared" si="29"/>
        <v>0</v>
      </c>
      <c r="BQ87" s="250">
        <f t="shared" si="29"/>
        <v>0</v>
      </c>
      <c r="BR87" s="250">
        <f t="shared" si="29"/>
        <v>0</v>
      </c>
      <c r="BS87" s="250">
        <f t="shared" si="29"/>
        <v>0</v>
      </c>
      <c r="BT87" s="250">
        <f t="shared" si="29"/>
        <v>0</v>
      </c>
      <c r="BU87" s="250">
        <f t="shared" si="29"/>
        <v>0</v>
      </c>
      <c r="BV87" s="250">
        <f t="shared" si="29"/>
        <v>0</v>
      </c>
      <c r="BW87" s="250">
        <f t="shared" si="29"/>
        <v>0</v>
      </c>
      <c r="BX87" s="250">
        <f t="shared" si="29"/>
        <v>0</v>
      </c>
      <c r="BY87" s="251">
        <f t="shared" si="29"/>
        <v>0</v>
      </c>
      <c r="BZ87" s="771"/>
      <c r="CA87" s="226"/>
      <c r="CB87" s="252"/>
      <c r="CC87" s="771"/>
    </row>
    <row r="88" spans="2:81" ht="16" hidden="1" outlineLevel="1">
      <c r="B88" s="787"/>
      <c r="C88" s="290" t="s">
        <v>324</v>
      </c>
      <c r="D88" s="254" t="s">
        <v>270</v>
      </c>
      <c r="E88" s="260"/>
      <c r="F88" s="260"/>
      <c r="G88" s="260"/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0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60"/>
      <c r="AV88" s="260"/>
      <c r="AW88" s="260"/>
      <c r="AX88" s="260"/>
      <c r="AY88" s="260"/>
      <c r="AZ88" s="260"/>
      <c r="BA88" s="260"/>
      <c r="BB88" s="260"/>
      <c r="BC88" s="260"/>
      <c r="BD88" s="260"/>
      <c r="BE88" s="260"/>
      <c r="BF88" s="260"/>
      <c r="BG88" s="260"/>
      <c r="BH88" s="260"/>
      <c r="BI88" s="260"/>
      <c r="BJ88" s="260"/>
      <c r="BK88" s="260"/>
      <c r="BL88" s="260"/>
      <c r="BM88" s="260"/>
      <c r="BN88" s="260"/>
      <c r="BO88" s="260"/>
      <c r="BP88" s="260"/>
      <c r="BQ88" s="260"/>
      <c r="BR88" s="260"/>
      <c r="BS88" s="260"/>
      <c r="BT88" s="260"/>
      <c r="BU88" s="260"/>
      <c r="BV88" s="260"/>
      <c r="BW88" s="260"/>
      <c r="BX88" s="260"/>
      <c r="BY88" s="296">
        <f t="shared" ref="BY88:BY89" si="30">SUM(E88:BX88)</f>
        <v>0</v>
      </c>
      <c r="BZ88" s="771"/>
      <c r="CA88" s="226"/>
      <c r="CB88" s="252"/>
      <c r="CC88" s="771"/>
    </row>
    <row r="89" spans="2:81" ht="16" hidden="1" outlineLevel="1">
      <c r="B89" s="787"/>
      <c r="C89" s="294" t="s">
        <v>325</v>
      </c>
      <c r="D89" s="258" t="s">
        <v>270</v>
      </c>
      <c r="E89" s="287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97">
        <f t="shared" si="30"/>
        <v>0</v>
      </c>
      <c r="BZ89" s="774"/>
      <c r="CA89" s="226"/>
      <c r="CB89" s="252"/>
      <c r="CC89" s="774"/>
    </row>
    <row r="90" spans="2:81" collapsed="1">
      <c r="B90" s="787"/>
      <c r="C90" s="248" t="s">
        <v>326</v>
      </c>
      <c r="D90" s="249"/>
      <c r="E90" s="250">
        <f t="shared" ref="E90:BX90" si="31">SUM(E91:E97)</f>
        <v>0</v>
      </c>
      <c r="F90" s="250">
        <f t="shared" si="31"/>
        <v>0</v>
      </c>
      <c r="G90" s="250">
        <f t="shared" si="31"/>
        <v>0</v>
      </c>
      <c r="H90" s="250">
        <f t="shared" si="31"/>
        <v>0</v>
      </c>
      <c r="I90" s="250">
        <f t="shared" si="31"/>
        <v>0</v>
      </c>
      <c r="J90" s="250">
        <f t="shared" si="31"/>
        <v>0</v>
      </c>
      <c r="K90" s="250">
        <f t="shared" si="31"/>
        <v>0</v>
      </c>
      <c r="L90" s="250">
        <f t="shared" si="31"/>
        <v>-885000</v>
      </c>
      <c r="M90" s="250">
        <f t="shared" si="31"/>
        <v>0</v>
      </c>
      <c r="N90" s="250">
        <f t="shared" si="31"/>
        <v>0</v>
      </c>
      <c r="O90" s="250">
        <f t="shared" si="31"/>
        <v>0</v>
      </c>
      <c r="P90" s="250">
        <f t="shared" si="31"/>
        <v>0</v>
      </c>
      <c r="Q90" s="250">
        <f t="shared" si="31"/>
        <v>-56109.53868832899</v>
      </c>
      <c r="R90" s="250">
        <f t="shared" si="31"/>
        <v>-56109.53868832899</v>
      </c>
      <c r="S90" s="250">
        <f t="shared" si="31"/>
        <v>-56109.53868832899</v>
      </c>
      <c r="T90" s="250">
        <f t="shared" si="31"/>
        <v>-56109.53868832899</v>
      </c>
      <c r="U90" s="250">
        <f t="shared" si="31"/>
        <v>-56109.53868832899</v>
      </c>
      <c r="V90" s="250">
        <f t="shared" si="31"/>
        <v>-56109.53868832899</v>
      </c>
      <c r="W90" s="250">
        <f t="shared" si="31"/>
        <v>-56109.53868832899</v>
      </c>
      <c r="X90" s="250">
        <f t="shared" si="31"/>
        <v>-56109.53868832899</v>
      </c>
      <c r="Y90" s="250">
        <f t="shared" si="31"/>
        <v>-56109.53868832899</v>
      </c>
      <c r="Z90" s="250">
        <f t="shared" si="31"/>
        <v>-56109.53868832899</v>
      </c>
      <c r="AA90" s="250">
        <f t="shared" si="31"/>
        <v>-56109.53868832899</v>
      </c>
      <c r="AB90" s="250">
        <f t="shared" si="31"/>
        <v>-56109.53868832899</v>
      </c>
      <c r="AC90" s="250">
        <f t="shared" si="31"/>
        <v>-78477769.535740048</v>
      </c>
      <c r="AD90" s="250">
        <f t="shared" si="31"/>
        <v>0</v>
      </c>
      <c r="AE90" s="250">
        <f t="shared" si="31"/>
        <v>0</v>
      </c>
      <c r="AF90" s="250">
        <f t="shared" si="31"/>
        <v>0</v>
      </c>
      <c r="AG90" s="250">
        <f t="shared" si="31"/>
        <v>0</v>
      </c>
      <c r="AH90" s="250">
        <f t="shared" si="31"/>
        <v>0</v>
      </c>
      <c r="AI90" s="250">
        <f t="shared" si="31"/>
        <v>0</v>
      </c>
      <c r="AJ90" s="250">
        <f t="shared" si="31"/>
        <v>0</v>
      </c>
      <c r="AK90" s="250">
        <f t="shared" si="31"/>
        <v>0</v>
      </c>
      <c r="AL90" s="250">
        <f t="shared" si="31"/>
        <v>0</v>
      </c>
      <c r="AM90" s="250">
        <f t="shared" si="31"/>
        <v>0</v>
      </c>
      <c r="AN90" s="250">
        <f t="shared" si="31"/>
        <v>0</v>
      </c>
      <c r="AO90" s="250">
        <f t="shared" si="31"/>
        <v>0</v>
      </c>
      <c r="AP90" s="250">
        <f t="shared" si="31"/>
        <v>0</v>
      </c>
      <c r="AQ90" s="250">
        <f t="shared" si="31"/>
        <v>0</v>
      </c>
      <c r="AR90" s="250">
        <f t="shared" si="31"/>
        <v>0</v>
      </c>
      <c r="AS90" s="250">
        <f t="shared" si="31"/>
        <v>0</v>
      </c>
      <c r="AT90" s="250">
        <f t="shared" si="31"/>
        <v>0</v>
      </c>
      <c r="AU90" s="250">
        <f t="shared" si="31"/>
        <v>0</v>
      </c>
      <c r="AV90" s="250">
        <f t="shared" si="31"/>
        <v>0</v>
      </c>
      <c r="AW90" s="250">
        <f t="shared" si="31"/>
        <v>0</v>
      </c>
      <c r="AX90" s="250">
        <f t="shared" si="31"/>
        <v>0</v>
      </c>
      <c r="AY90" s="250">
        <f t="shared" si="31"/>
        <v>0</v>
      </c>
      <c r="AZ90" s="250">
        <f t="shared" si="31"/>
        <v>0</v>
      </c>
      <c r="BA90" s="250">
        <f t="shared" si="31"/>
        <v>0</v>
      </c>
      <c r="BB90" s="250">
        <f t="shared" si="31"/>
        <v>0</v>
      </c>
      <c r="BC90" s="250">
        <f t="shared" si="31"/>
        <v>0</v>
      </c>
      <c r="BD90" s="250">
        <f t="shared" si="31"/>
        <v>0</v>
      </c>
      <c r="BE90" s="250">
        <f t="shared" si="31"/>
        <v>0</v>
      </c>
      <c r="BF90" s="250">
        <f t="shared" si="31"/>
        <v>0</v>
      </c>
      <c r="BG90" s="250">
        <f t="shared" si="31"/>
        <v>0</v>
      </c>
      <c r="BH90" s="250">
        <f t="shared" si="31"/>
        <v>0</v>
      </c>
      <c r="BI90" s="250">
        <f t="shared" si="31"/>
        <v>0</v>
      </c>
      <c r="BJ90" s="250">
        <f t="shared" si="31"/>
        <v>0</v>
      </c>
      <c r="BK90" s="250">
        <f t="shared" si="31"/>
        <v>0</v>
      </c>
      <c r="BL90" s="250">
        <f t="shared" si="31"/>
        <v>0</v>
      </c>
      <c r="BM90" s="250">
        <f t="shared" si="31"/>
        <v>0</v>
      </c>
      <c r="BN90" s="250">
        <f t="shared" si="31"/>
        <v>0</v>
      </c>
      <c r="BO90" s="250">
        <f t="shared" si="31"/>
        <v>0</v>
      </c>
      <c r="BP90" s="250">
        <f t="shared" si="31"/>
        <v>0</v>
      </c>
      <c r="BQ90" s="250">
        <f t="shared" si="31"/>
        <v>0</v>
      </c>
      <c r="BR90" s="250">
        <f t="shared" si="31"/>
        <v>0</v>
      </c>
      <c r="BS90" s="250">
        <f t="shared" si="31"/>
        <v>0</v>
      </c>
      <c r="BT90" s="250">
        <f t="shared" si="31"/>
        <v>0</v>
      </c>
      <c r="BU90" s="250">
        <f t="shared" si="31"/>
        <v>0</v>
      </c>
      <c r="BV90" s="250">
        <f t="shared" si="31"/>
        <v>0</v>
      </c>
      <c r="BW90" s="250">
        <f t="shared" si="31"/>
        <v>0</v>
      </c>
      <c r="BX90" s="250">
        <f t="shared" si="31"/>
        <v>0</v>
      </c>
      <c r="BY90" s="779">
        <f>BZ17</f>
        <v>-84998328.758083329</v>
      </c>
      <c r="BZ90" s="768"/>
      <c r="CA90" s="226"/>
      <c r="CB90" s="226"/>
      <c r="CC90" s="226"/>
    </row>
    <row r="91" spans="2:81" hidden="1" outlineLevel="1">
      <c r="B91" s="787"/>
      <c r="C91" s="253" t="s">
        <v>327</v>
      </c>
      <c r="D91" s="254" t="s">
        <v>270</v>
      </c>
      <c r="E91" s="255"/>
      <c r="F91" s="255"/>
      <c r="G91" s="255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5"/>
      <c r="V91" s="255"/>
      <c r="W91" s="255"/>
      <c r="X91" s="255"/>
      <c r="Y91" s="255"/>
      <c r="Z91" s="255"/>
      <c r="AA91" s="255"/>
      <c r="AB91" s="255"/>
      <c r="AC91" s="255">
        <f>-BY5</f>
        <v>-16365002</v>
      </c>
      <c r="AD91" s="255"/>
      <c r="AE91" s="255"/>
      <c r="AF91" s="255"/>
      <c r="AG91" s="255"/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6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64"/>
      <c r="BY91" s="257">
        <f t="shared" ref="BY91:BY97" si="32">SUM(E91:BX91)</f>
        <v>-16365002</v>
      </c>
      <c r="BZ91" s="777">
        <f>SUM(BY91:BY97)</f>
        <v>-80036084</v>
      </c>
      <c r="CA91" s="226"/>
      <c r="CB91" s="226"/>
      <c r="CC91" s="226"/>
    </row>
    <row r="92" spans="2:81" hidden="1" outlineLevel="1">
      <c r="B92" s="787"/>
      <c r="C92" s="253" t="s">
        <v>329</v>
      </c>
      <c r="D92" s="254" t="s">
        <v>270</v>
      </c>
      <c r="E92" s="255"/>
      <c r="F92" s="255"/>
      <c r="G92" s="255"/>
      <c r="H92" s="256"/>
      <c r="I92" s="256"/>
      <c r="J92" s="256"/>
      <c r="K92" s="256"/>
      <c r="L92" s="256">
        <f>-885000</f>
        <v>-885000</v>
      </c>
      <c r="M92" s="256"/>
      <c r="N92" s="256"/>
      <c r="O92" s="256"/>
      <c r="P92" s="256"/>
      <c r="Q92" s="256"/>
      <c r="R92" s="256"/>
      <c r="S92" s="256"/>
      <c r="T92" s="256"/>
      <c r="U92" s="255"/>
      <c r="V92" s="255"/>
      <c r="W92" s="255"/>
      <c r="X92" s="255"/>
      <c r="Y92" s="255"/>
      <c r="Z92" s="255"/>
      <c r="AA92" s="255"/>
      <c r="AB92" s="255"/>
      <c r="AC92" s="255">
        <f>-BY6-SUM(E92:AB92)</f>
        <v>-8333333</v>
      </c>
      <c r="AD92" s="255"/>
      <c r="AE92" s="255"/>
      <c r="AF92" s="255"/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57">
        <f t="shared" si="32"/>
        <v>-9218333</v>
      </c>
      <c r="BZ92" s="771"/>
      <c r="CA92" s="226"/>
      <c r="CB92" s="226"/>
      <c r="CC92" s="226"/>
    </row>
    <row r="93" spans="2:81" hidden="1" outlineLevel="1">
      <c r="B93" s="787"/>
      <c r="C93" s="293" t="s">
        <v>328</v>
      </c>
      <c r="D93" s="254" t="s">
        <v>270</v>
      </c>
      <c r="E93" s="255"/>
      <c r="F93" s="255"/>
      <c r="G93" s="255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5"/>
      <c r="V93" s="255"/>
      <c r="W93" s="255"/>
      <c r="X93" s="255"/>
      <c r="Y93" s="255"/>
      <c r="Z93" s="255"/>
      <c r="AA93" s="255"/>
      <c r="AB93" s="255"/>
      <c r="AC93" s="255">
        <f>-BY7</f>
        <v>-9000000</v>
      </c>
      <c r="AD93" s="255"/>
      <c r="AE93" s="255"/>
      <c r="AF93" s="255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5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57">
        <f t="shared" si="32"/>
        <v>-9000000</v>
      </c>
      <c r="BZ93" s="771"/>
      <c r="CA93" s="226"/>
      <c r="CB93" s="226"/>
      <c r="CC93" s="226"/>
    </row>
    <row r="94" spans="2:81" hidden="1" outlineLevel="1">
      <c r="B94" s="787"/>
      <c r="C94" s="292" t="s">
        <v>330</v>
      </c>
      <c r="D94" s="254" t="s">
        <v>270</v>
      </c>
      <c r="E94" s="255"/>
      <c r="F94" s="255"/>
      <c r="G94" s="255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57">
        <f t="shared" si="32"/>
        <v>0</v>
      </c>
      <c r="BZ94" s="771"/>
      <c r="CA94" s="226"/>
      <c r="CB94" s="226"/>
      <c r="CC94" s="226"/>
    </row>
    <row r="95" spans="2:81" hidden="1" outlineLevel="1">
      <c r="B95" s="787"/>
      <c r="C95" s="253" t="s">
        <v>331</v>
      </c>
      <c r="D95" s="254" t="s">
        <v>270</v>
      </c>
      <c r="E95" s="255"/>
      <c r="F95" s="255"/>
      <c r="G95" s="255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6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64"/>
      <c r="BY95" s="257">
        <f t="shared" si="32"/>
        <v>0</v>
      </c>
      <c r="BZ95" s="771"/>
      <c r="CA95" s="226"/>
      <c r="CB95" s="226"/>
      <c r="CC95" s="226"/>
    </row>
    <row r="96" spans="2:81" hidden="1" outlineLevel="1">
      <c r="B96" s="787"/>
      <c r="C96" s="253" t="s">
        <v>624</v>
      </c>
      <c r="D96" s="254" t="s">
        <v>270</v>
      </c>
      <c r="E96" s="255"/>
      <c r="F96" s="255"/>
      <c r="G96" s="255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5"/>
      <c r="V96" s="255"/>
      <c r="W96" s="255"/>
      <c r="X96" s="255"/>
      <c r="Y96" s="255"/>
      <c r="Z96" s="255"/>
      <c r="AA96" s="255"/>
      <c r="AB96" s="255"/>
      <c r="AC96" s="255"/>
      <c r="AD96" s="255"/>
      <c r="AE96" s="255"/>
      <c r="AF96" s="255"/>
      <c r="AG96" s="255"/>
      <c r="AH96" s="255"/>
      <c r="AI96" s="255"/>
      <c r="AJ96" s="255"/>
      <c r="AK96" s="255"/>
      <c r="AL96" s="255"/>
      <c r="AM96" s="255"/>
      <c r="AN96" s="255"/>
      <c r="AO96" s="255"/>
      <c r="AP96" s="255"/>
      <c r="AQ96" s="255"/>
      <c r="AR96" s="255"/>
      <c r="AS96" s="255"/>
      <c r="AT96" s="255"/>
      <c r="AU96" s="255"/>
      <c r="AV96" s="255"/>
      <c r="AW96" s="255"/>
      <c r="AX96" s="255"/>
      <c r="AY96" s="255"/>
      <c r="AZ96" s="255"/>
      <c r="BA96" s="255"/>
      <c r="BB96" s="255"/>
      <c r="BC96" s="256"/>
      <c r="BD96" s="255"/>
      <c r="BE96" s="255"/>
      <c r="BF96" s="255"/>
      <c r="BG96" s="255"/>
      <c r="BH96" s="255"/>
      <c r="BI96" s="255"/>
      <c r="BJ96" s="255"/>
      <c r="BK96" s="255"/>
      <c r="BL96" s="255"/>
      <c r="BM96" s="255"/>
      <c r="BN96" s="255"/>
      <c r="BO96" s="255"/>
      <c r="BP96" s="255"/>
      <c r="BQ96" s="255"/>
      <c r="BR96" s="255"/>
      <c r="BS96" s="255"/>
      <c r="BT96" s="255"/>
      <c r="BU96" s="255"/>
      <c r="BV96" s="255"/>
      <c r="BW96" s="255"/>
      <c r="BX96" s="264"/>
      <c r="BY96" s="257">
        <f t="shared" si="32"/>
        <v>0</v>
      </c>
      <c r="BZ96" s="771"/>
      <c r="CA96" s="226"/>
      <c r="CB96" s="226"/>
      <c r="CC96" s="226"/>
    </row>
    <row r="97" spans="2:78" hidden="1" outlineLevel="1">
      <c r="B97" s="781"/>
      <c r="C97" s="284" t="s">
        <v>333</v>
      </c>
      <c r="D97" s="299" t="s">
        <v>270</v>
      </c>
      <c r="E97" s="286"/>
      <c r="F97" s="286"/>
      <c r="G97" s="286"/>
      <c r="H97" s="287"/>
      <c r="I97" s="287"/>
      <c r="J97" s="287"/>
      <c r="K97" s="287"/>
      <c r="L97" s="287"/>
      <c r="M97" s="287"/>
      <c r="N97" s="287"/>
      <c r="O97" s="287"/>
      <c r="P97" s="287"/>
      <c r="Q97" s="287">
        <f t="shared" ref="Q97:AB97" si="33">PMT($D$62/12,25*12,$BY11)-Q62</f>
        <v>-56109.53868832899</v>
      </c>
      <c r="R97" s="287">
        <f t="shared" si="33"/>
        <v>-56109.53868832899</v>
      </c>
      <c r="S97" s="287">
        <f t="shared" si="33"/>
        <v>-56109.53868832899</v>
      </c>
      <c r="T97" s="287">
        <f t="shared" si="33"/>
        <v>-56109.53868832899</v>
      </c>
      <c r="U97" s="287">
        <f t="shared" si="33"/>
        <v>-56109.53868832899</v>
      </c>
      <c r="V97" s="287">
        <f t="shared" si="33"/>
        <v>-56109.53868832899</v>
      </c>
      <c r="W97" s="287">
        <f t="shared" si="33"/>
        <v>-56109.53868832899</v>
      </c>
      <c r="X97" s="287">
        <f t="shared" si="33"/>
        <v>-56109.53868832899</v>
      </c>
      <c r="Y97" s="287">
        <f t="shared" si="33"/>
        <v>-56109.53868832899</v>
      </c>
      <c r="Z97" s="287">
        <f t="shared" si="33"/>
        <v>-56109.53868832899</v>
      </c>
      <c r="AA97" s="287">
        <f t="shared" si="33"/>
        <v>-56109.53868832899</v>
      </c>
      <c r="AB97" s="287">
        <f t="shared" si="33"/>
        <v>-56109.53868832899</v>
      </c>
      <c r="AC97" s="287">
        <f>-$BY$11-SUM(Q97:AB97)</f>
        <v>-44779434.535740055</v>
      </c>
      <c r="AD97" s="286"/>
      <c r="AE97" s="286"/>
      <c r="AF97" s="286"/>
      <c r="AG97" s="286"/>
      <c r="AH97" s="286"/>
      <c r="AI97" s="286"/>
      <c r="AJ97" s="286"/>
      <c r="AK97" s="286"/>
      <c r="AL97" s="286"/>
      <c r="AM97" s="286"/>
      <c r="AN97" s="286"/>
      <c r="AO97" s="286"/>
      <c r="AP97" s="286"/>
      <c r="AQ97" s="286"/>
      <c r="AR97" s="286"/>
      <c r="AS97" s="286"/>
      <c r="AT97" s="286"/>
      <c r="AU97" s="286"/>
      <c r="AV97" s="286"/>
      <c r="AW97" s="286"/>
      <c r="AX97" s="286"/>
      <c r="AY97" s="286"/>
      <c r="AZ97" s="286"/>
      <c r="BA97" s="286"/>
      <c r="BB97" s="286"/>
      <c r="BC97" s="286"/>
      <c r="BD97" s="286"/>
      <c r="BE97" s="286"/>
      <c r="BF97" s="286"/>
      <c r="BG97" s="286"/>
      <c r="BH97" s="286"/>
      <c r="BI97" s="286"/>
      <c r="BJ97" s="286"/>
      <c r="BK97" s="286"/>
      <c r="BL97" s="286"/>
      <c r="BM97" s="286"/>
      <c r="BN97" s="286"/>
      <c r="BO97" s="286"/>
      <c r="BP97" s="286"/>
      <c r="BQ97" s="286"/>
      <c r="BR97" s="286"/>
      <c r="BS97" s="286"/>
      <c r="BT97" s="286"/>
      <c r="BU97" s="286"/>
      <c r="BV97" s="286"/>
      <c r="BW97" s="286"/>
      <c r="BX97" s="288"/>
      <c r="BY97" s="257">
        <f t="shared" si="32"/>
        <v>-45452749</v>
      </c>
      <c r="BZ97" s="776"/>
    </row>
    <row r="98" spans="2:78" ht="16">
      <c r="B98" s="790" t="s">
        <v>334</v>
      </c>
      <c r="C98" s="774"/>
      <c r="D98" s="300" t="s">
        <v>270</v>
      </c>
      <c r="E98" s="301">
        <f t="shared" ref="E98:BX98" si="34">(E17+E23+E26+E34+E37+E49+E55+E63+E87+E90)</f>
        <v>0</v>
      </c>
      <c r="F98" s="301">
        <f t="shared" si="34"/>
        <v>0</v>
      </c>
      <c r="G98" s="301">
        <f t="shared" si="34"/>
        <v>0</v>
      </c>
      <c r="H98" s="301">
        <f t="shared" si="34"/>
        <v>-10737799.354999999</v>
      </c>
      <c r="I98" s="301">
        <f t="shared" si="34"/>
        <v>-1867696.1950000001</v>
      </c>
      <c r="J98" s="301">
        <f t="shared" si="34"/>
        <v>-1823673.665</v>
      </c>
      <c r="K98" s="301">
        <f t="shared" si="34"/>
        <v>-8683953.9132500011</v>
      </c>
      <c r="L98" s="301">
        <f t="shared" si="34"/>
        <v>-9139365.4962499999</v>
      </c>
      <c r="M98" s="301">
        <f t="shared" si="34"/>
        <v>-21605197.329583332</v>
      </c>
      <c r="N98" s="301">
        <f t="shared" si="34"/>
        <v>-9351381.3295833338</v>
      </c>
      <c r="O98" s="301">
        <f t="shared" si="34"/>
        <v>-9701495.6985833347</v>
      </c>
      <c r="P98" s="301">
        <f t="shared" si="34"/>
        <v>-6508061.5362499999</v>
      </c>
      <c r="Q98" s="301">
        <f t="shared" si="34"/>
        <v>-446148.45327166235</v>
      </c>
      <c r="R98" s="301">
        <f t="shared" si="34"/>
        <v>-446148.45327166235</v>
      </c>
      <c r="S98" s="301">
        <f t="shared" si="34"/>
        <v>-446148.45327166235</v>
      </c>
      <c r="T98" s="301">
        <f t="shared" si="34"/>
        <v>-446148.45327166235</v>
      </c>
      <c r="U98" s="301">
        <f t="shared" si="34"/>
        <v>-429515.61993832898</v>
      </c>
      <c r="V98" s="301">
        <f t="shared" si="34"/>
        <v>-429515.61993832898</v>
      </c>
      <c r="W98" s="301">
        <f t="shared" si="34"/>
        <v>-429515.61993832898</v>
      </c>
      <c r="X98" s="301">
        <f t="shared" si="34"/>
        <v>-429515.61993832898</v>
      </c>
      <c r="Y98" s="301">
        <f t="shared" si="34"/>
        <v>-429515.61993832898</v>
      </c>
      <c r="Z98" s="301">
        <f t="shared" si="34"/>
        <v>-429515.61993832898</v>
      </c>
      <c r="AA98" s="301">
        <f t="shared" si="34"/>
        <v>-429515.61993832898</v>
      </c>
      <c r="AB98" s="301">
        <f t="shared" si="34"/>
        <v>-429515.61993832898</v>
      </c>
      <c r="AC98" s="301">
        <f t="shared" si="34"/>
        <v>-80395069.466990054</v>
      </c>
      <c r="AD98" s="301">
        <f t="shared" si="34"/>
        <v>0</v>
      </c>
      <c r="AE98" s="301">
        <f t="shared" si="34"/>
        <v>0</v>
      </c>
      <c r="AF98" s="301">
        <f t="shared" si="34"/>
        <v>0</v>
      </c>
      <c r="AG98" s="301">
        <f t="shared" si="34"/>
        <v>0</v>
      </c>
      <c r="AH98" s="301">
        <f t="shared" si="34"/>
        <v>0</v>
      </c>
      <c r="AI98" s="301">
        <f t="shared" si="34"/>
        <v>0</v>
      </c>
      <c r="AJ98" s="301">
        <f t="shared" si="34"/>
        <v>0</v>
      </c>
      <c r="AK98" s="301">
        <f t="shared" si="34"/>
        <v>0</v>
      </c>
      <c r="AL98" s="301">
        <f t="shared" si="34"/>
        <v>0</v>
      </c>
      <c r="AM98" s="301">
        <f t="shared" si="34"/>
        <v>0</v>
      </c>
      <c r="AN98" s="301">
        <f t="shared" si="34"/>
        <v>0</v>
      </c>
      <c r="AO98" s="301">
        <f t="shared" si="34"/>
        <v>0</v>
      </c>
      <c r="AP98" s="301">
        <f t="shared" si="34"/>
        <v>0</v>
      </c>
      <c r="AQ98" s="301">
        <f t="shared" si="34"/>
        <v>0</v>
      </c>
      <c r="AR98" s="301">
        <f t="shared" si="34"/>
        <v>0</v>
      </c>
      <c r="AS98" s="301">
        <f t="shared" si="34"/>
        <v>0</v>
      </c>
      <c r="AT98" s="301">
        <f t="shared" si="34"/>
        <v>0</v>
      </c>
      <c r="AU98" s="301">
        <f t="shared" si="34"/>
        <v>0</v>
      </c>
      <c r="AV98" s="301">
        <f t="shared" si="34"/>
        <v>0</v>
      </c>
      <c r="AW98" s="301">
        <f t="shared" si="34"/>
        <v>0</v>
      </c>
      <c r="AX98" s="301">
        <f t="shared" si="34"/>
        <v>0</v>
      </c>
      <c r="AY98" s="301">
        <f t="shared" si="34"/>
        <v>0</v>
      </c>
      <c r="AZ98" s="301">
        <f t="shared" si="34"/>
        <v>0</v>
      </c>
      <c r="BA98" s="301">
        <f t="shared" si="34"/>
        <v>0</v>
      </c>
      <c r="BB98" s="301">
        <f t="shared" si="34"/>
        <v>0</v>
      </c>
      <c r="BC98" s="301">
        <f t="shared" si="34"/>
        <v>0</v>
      </c>
      <c r="BD98" s="301">
        <f t="shared" si="34"/>
        <v>0</v>
      </c>
      <c r="BE98" s="301">
        <f t="shared" si="34"/>
        <v>0</v>
      </c>
      <c r="BF98" s="301">
        <f t="shared" si="34"/>
        <v>0</v>
      </c>
      <c r="BG98" s="301">
        <f t="shared" si="34"/>
        <v>0</v>
      </c>
      <c r="BH98" s="301">
        <f t="shared" si="34"/>
        <v>0</v>
      </c>
      <c r="BI98" s="301">
        <f t="shared" si="34"/>
        <v>0</v>
      </c>
      <c r="BJ98" s="301">
        <f t="shared" si="34"/>
        <v>0</v>
      </c>
      <c r="BK98" s="301">
        <f t="shared" si="34"/>
        <v>0</v>
      </c>
      <c r="BL98" s="301">
        <f t="shared" si="34"/>
        <v>0</v>
      </c>
      <c r="BM98" s="301">
        <f t="shared" si="34"/>
        <v>0</v>
      </c>
      <c r="BN98" s="301">
        <f t="shared" si="34"/>
        <v>0</v>
      </c>
      <c r="BO98" s="301">
        <f t="shared" si="34"/>
        <v>0</v>
      </c>
      <c r="BP98" s="301">
        <f t="shared" si="34"/>
        <v>0</v>
      </c>
      <c r="BQ98" s="301">
        <f t="shared" si="34"/>
        <v>0</v>
      </c>
      <c r="BR98" s="301">
        <f t="shared" si="34"/>
        <v>0</v>
      </c>
      <c r="BS98" s="301">
        <f t="shared" si="34"/>
        <v>0</v>
      </c>
      <c r="BT98" s="301">
        <f t="shared" si="34"/>
        <v>0</v>
      </c>
      <c r="BU98" s="301">
        <f t="shared" si="34"/>
        <v>0</v>
      </c>
      <c r="BV98" s="301">
        <f t="shared" si="34"/>
        <v>0</v>
      </c>
      <c r="BW98" s="301">
        <f t="shared" si="34"/>
        <v>0</v>
      </c>
      <c r="BX98" s="301">
        <f t="shared" si="34"/>
        <v>0</v>
      </c>
      <c r="BY98" s="779">
        <f>SUM(E98:BM98)</f>
        <v>-165034412.75808331</v>
      </c>
      <c r="BZ98" s="768"/>
    </row>
    <row r="99" spans="2:78" ht="16">
      <c r="B99" s="791" t="s">
        <v>335</v>
      </c>
      <c r="C99" s="774"/>
      <c r="D99" s="307"/>
      <c r="E99" s="303">
        <f t="shared" ref="E99:BX99" si="35">E16+E98</f>
        <v>0</v>
      </c>
      <c r="F99" s="303">
        <f t="shared" si="35"/>
        <v>0</v>
      </c>
      <c r="G99" s="303">
        <f t="shared" si="35"/>
        <v>0</v>
      </c>
      <c r="H99" s="303">
        <f t="shared" si="35"/>
        <v>5627202.6450000014</v>
      </c>
      <c r="I99" s="303">
        <f t="shared" si="35"/>
        <v>-1861469.1950000001</v>
      </c>
      <c r="J99" s="303">
        <f t="shared" si="35"/>
        <v>6524247.335</v>
      </c>
      <c r="K99" s="303">
        <f t="shared" si="35"/>
        <v>-7663409.326473142</v>
      </c>
      <c r="L99" s="303">
        <f t="shared" si="35"/>
        <v>5536599.8922623973</v>
      </c>
      <c r="M99" s="303">
        <f t="shared" si="35"/>
        <v>829014.8255158402</v>
      </c>
      <c r="N99" s="303">
        <f t="shared" si="35"/>
        <v>-375759.82950068824</v>
      </c>
      <c r="O99" s="303">
        <f t="shared" si="35"/>
        <v>7700125.8014993109</v>
      </c>
      <c r="P99" s="303">
        <f t="shared" si="35"/>
        <v>-7918273.0361673553</v>
      </c>
      <c r="Q99" s="303">
        <f t="shared" si="35"/>
        <v>278030.56721098197</v>
      </c>
      <c r="R99" s="303">
        <f t="shared" si="35"/>
        <v>125132.88548866799</v>
      </c>
      <c r="S99" s="303">
        <f t="shared" si="35"/>
        <v>82572.019310982083</v>
      </c>
      <c r="T99" s="303">
        <f t="shared" si="35"/>
        <v>82572.019310982083</v>
      </c>
      <c r="U99" s="303">
        <f t="shared" si="35"/>
        <v>99204.852644315455</v>
      </c>
      <c r="V99" s="303">
        <f t="shared" si="35"/>
        <v>99204.852644315455</v>
      </c>
      <c r="W99" s="303">
        <f t="shared" si="35"/>
        <v>96318.162561670761</v>
      </c>
      <c r="X99" s="303">
        <f t="shared" si="35"/>
        <v>96318.162561670761</v>
      </c>
      <c r="Y99" s="303">
        <f t="shared" si="35"/>
        <v>96318.162561670761</v>
      </c>
      <c r="Z99" s="303">
        <f t="shared" si="35"/>
        <v>96318.162561670761</v>
      </c>
      <c r="AA99" s="303">
        <f t="shared" si="35"/>
        <v>96318.162561670761</v>
      </c>
      <c r="AB99" s="303">
        <f t="shared" si="35"/>
        <v>96318.162561670761</v>
      </c>
      <c r="AC99" s="303">
        <f t="shared" si="35"/>
        <v>54358665.101224184</v>
      </c>
      <c r="AD99" s="304">
        <f t="shared" si="35"/>
        <v>0</v>
      </c>
      <c r="AE99" s="304">
        <f t="shared" si="35"/>
        <v>0</v>
      </c>
      <c r="AF99" s="304">
        <f t="shared" si="35"/>
        <v>0</v>
      </c>
      <c r="AG99" s="304">
        <f t="shared" si="35"/>
        <v>0</v>
      </c>
      <c r="AH99" s="304">
        <f t="shared" si="35"/>
        <v>0</v>
      </c>
      <c r="AI99" s="304">
        <f t="shared" si="35"/>
        <v>0</v>
      </c>
      <c r="AJ99" s="304">
        <f t="shared" si="35"/>
        <v>0</v>
      </c>
      <c r="AK99" s="304">
        <f t="shared" si="35"/>
        <v>0</v>
      </c>
      <c r="AL99" s="304">
        <f t="shared" si="35"/>
        <v>0</v>
      </c>
      <c r="AM99" s="304">
        <f t="shared" si="35"/>
        <v>0</v>
      </c>
      <c r="AN99" s="304">
        <f t="shared" si="35"/>
        <v>0</v>
      </c>
      <c r="AO99" s="303">
        <f t="shared" si="35"/>
        <v>0</v>
      </c>
      <c r="AP99" s="304">
        <f t="shared" si="35"/>
        <v>0</v>
      </c>
      <c r="AQ99" s="304">
        <f t="shared" si="35"/>
        <v>0</v>
      </c>
      <c r="AR99" s="304">
        <f t="shared" si="35"/>
        <v>0</v>
      </c>
      <c r="AS99" s="303">
        <f t="shared" si="35"/>
        <v>0</v>
      </c>
      <c r="AT99" s="303">
        <f t="shared" si="35"/>
        <v>0</v>
      </c>
      <c r="AU99" s="303">
        <f t="shared" si="35"/>
        <v>0</v>
      </c>
      <c r="AV99" s="303">
        <f t="shared" si="35"/>
        <v>0</v>
      </c>
      <c r="AW99" s="303">
        <f t="shared" si="35"/>
        <v>0</v>
      </c>
      <c r="AX99" s="303">
        <f t="shared" si="35"/>
        <v>0</v>
      </c>
      <c r="AY99" s="303">
        <f t="shared" si="35"/>
        <v>0</v>
      </c>
      <c r="AZ99" s="303">
        <f t="shared" si="35"/>
        <v>0</v>
      </c>
      <c r="BA99" s="303">
        <f t="shared" si="35"/>
        <v>0</v>
      </c>
      <c r="BB99" s="303">
        <f t="shared" si="35"/>
        <v>0</v>
      </c>
      <c r="BC99" s="303">
        <f t="shared" si="35"/>
        <v>0</v>
      </c>
      <c r="BD99" s="303">
        <f t="shared" si="35"/>
        <v>0</v>
      </c>
      <c r="BE99" s="303">
        <f t="shared" si="35"/>
        <v>0</v>
      </c>
      <c r="BF99" s="303">
        <f t="shared" si="35"/>
        <v>0</v>
      </c>
      <c r="BG99" s="303">
        <f t="shared" si="35"/>
        <v>0</v>
      </c>
      <c r="BH99" s="303">
        <f t="shared" si="35"/>
        <v>0</v>
      </c>
      <c r="BI99" s="303">
        <f t="shared" si="35"/>
        <v>0</v>
      </c>
      <c r="BJ99" s="303">
        <f t="shared" si="35"/>
        <v>0</v>
      </c>
      <c r="BK99" s="303">
        <f t="shared" si="35"/>
        <v>0</v>
      </c>
      <c r="BL99" s="308">
        <f t="shared" si="35"/>
        <v>0</v>
      </c>
      <c r="BM99" s="308">
        <f t="shared" si="35"/>
        <v>0</v>
      </c>
      <c r="BN99" s="308">
        <f t="shared" si="35"/>
        <v>0</v>
      </c>
      <c r="BO99" s="308">
        <f t="shared" si="35"/>
        <v>0</v>
      </c>
      <c r="BP99" s="308">
        <f t="shared" si="35"/>
        <v>0</v>
      </c>
      <c r="BQ99" s="308">
        <f t="shared" si="35"/>
        <v>0</v>
      </c>
      <c r="BR99" s="308">
        <f t="shared" si="35"/>
        <v>0</v>
      </c>
      <c r="BS99" s="308">
        <f t="shared" si="35"/>
        <v>0</v>
      </c>
      <c r="BT99" s="308">
        <f t="shared" si="35"/>
        <v>0</v>
      </c>
      <c r="BU99" s="308">
        <f t="shared" si="35"/>
        <v>0</v>
      </c>
      <c r="BV99" s="308">
        <f t="shared" si="35"/>
        <v>0</v>
      </c>
      <c r="BW99" s="308">
        <f t="shared" si="35"/>
        <v>0</v>
      </c>
      <c r="BX99" s="308">
        <f t="shared" si="35"/>
        <v>0</v>
      </c>
      <c r="BY99" s="782"/>
      <c r="BZ99" s="783"/>
    </row>
    <row r="100" spans="2:78">
      <c r="B100" s="792" t="s">
        <v>336</v>
      </c>
      <c r="C100" s="774"/>
      <c r="D100" s="309"/>
      <c r="E100" s="310">
        <f>E99</f>
        <v>0</v>
      </c>
      <c r="F100" s="310">
        <f>F99+E100</f>
        <v>0</v>
      </c>
      <c r="G100" s="310">
        <f>655760.63+24.98*24.5-16.85*22</f>
        <v>656001.94000000006</v>
      </c>
      <c r="H100" s="310">
        <f t="shared" ref="H100:AC100" si="36">H99+G100-66</f>
        <v>6283138.5850000018</v>
      </c>
      <c r="I100" s="310">
        <f t="shared" si="36"/>
        <v>4421603.3900000015</v>
      </c>
      <c r="J100" s="310">
        <f t="shared" si="36"/>
        <v>10945784.725000001</v>
      </c>
      <c r="K100" s="310">
        <f t="shared" si="36"/>
        <v>3282309.3985268595</v>
      </c>
      <c r="L100" s="310">
        <f t="shared" si="36"/>
        <v>8818843.2907892577</v>
      </c>
      <c r="M100" s="310">
        <f t="shared" si="36"/>
        <v>9647792.1163050979</v>
      </c>
      <c r="N100" s="310">
        <f t="shared" si="36"/>
        <v>9271966.2868044097</v>
      </c>
      <c r="O100" s="310">
        <f t="shared" si="36"/>
        <v>16972026.088303722</v>
      </c>
      <c r="P100" s="310">
        <f t="shared" si="36"/>
        <v>9053687.0521363672</v>
      </c>
      <c r="Q100" s="310">
        <f t="shared" si="36"/>
        <v>9331651.6193473488</v>
      </c>
      <c r="R100" s="310">
        <f t="shared" si="36"/>
        <v>9456718.5048360173</v>
      </c>
      <c r="S100" s="310">
        <f t="shared" si="36"/>
        <v>9539224.5241470002</v>
      </c>
      <c r="T100" s="310">
        <f t="shared" si="36"/>
        <v>9621730.5434579831</v>
      </c>
      <c r="U100" s="310">
        <f t="shared" si="36"/>
        <v>9720869.3961022981</v>
      </c>
      <c r="V100" s="310">
        <f t="shared" si="36"/>
        <v>9820008.248746613</v>
      </c>
      <c r="W100" s="310">
        <f t="shared" si="36"/>
        <v>9916260.411308283</v>
      </c>
      <c r="X100" s="310">
        <f t="shared" si="36"/>
        <v>10012512.573869953</v>
      </c>
      <c r="Y100" s="310">
        <f t="shared" si="36"/>
        <v>10108764.736431623</v>
      </c>
      <c r="Z100" s="310">
        <f t="shared" si="36"/>
        <v>10205016.898993293</v>
      </c>
      <c r="AA100" s="310">
        <f t="shared" si="36"/>
        <v>10301269.061554963</v>
      </c>
      <c r="AB100" s="310">
        <f t="shared" si="36"/>
        <v>10397521.224116633</v>
      </c>
      <c r="AC100" s="310">
        <f t="shared" si="36"/>
        <v>64756120.325340815</v>
      </c>
      <c r="AD100" s="310">
        <f t="shared" ref="AD100:BX100" si="37">AD99+AC100</f>
        <v>64756120.325340815</v>
      </c>
      <c r="AE100" s="310">
        <f t="shared" si="37"/>
        <v>64756120.325340815</v>
      </c>
      <c r="AF100" s="310">
        <f t="shared" si="37"/>
        <v>64756120.325340815</v>
      </c>
      <c r="AG100" s="310">
        <f t="shared" si="37"/>
        <v>64756120.325340815</v>
      </c>
      <c r="AH100" s="310">
        <f t="shared" si="37"/>
        <v>64756120.325340815</v>
      </c>
      <c r="AI100" s="310">
        <f t="shared" si="37"/>
        <v>64756120.325340815</v>
      </c>
      <c r="AJ100" s="310">
        <f t="shared" si="37"/>
        <v>64756120.325340815</v>
      </c>
      <c r="AK100" s="310">
        <f t="shared" si="37"/>
        <v>64756120.325340815</v>
      </c>
      <c r="AL100" s="310">
        <f t="shared" si="37"/>
        <v>64756120.325340815</v>
      </c>
      <c r="AM100" s="310">
        <f t="shared" si="37"/>
        <v>64756120.325340815</v>
      </c>
      <c r="AN100" s="310">
        <f t="shared" si="37"/>
        <v>64756120.325340815</v>
      </c>
      <c r="AO100" s="310">
        <f t="shared" si="37"/>
        <v>64756120.325340815</v>
      </c>
      <c r="AP100" s="310">
        <f t="shared" si="37"/>
        <v>64756120.325340815</v>
      </c>
      <c r="AQ100" s="310">
        <f t="shared" si="37"/>
        <v>64756120.325340815</v>
      </c>
      <c r="AR100" s="310">
        <f t="shared" si="37"/>
        <v>64756120.325340815</v>
      </c>
      <c r="AS100" s="310">
        <f t="shared" si="37"/>
        <v>64756120.325340815</v>
      </c>
      <c r="AT100" s="310">
        <f t="shared" si="37"/>
        <v>64756120.325340815</v>
      </c>
      <c r="AU100" s="310">
        <f t="shared" si="37"/>
        <v>64756120.325340815</v>
      </c>
      <c r="AV100" s="310">
        <f t="shared" si="37"/>
        <v>64756120.325340815</v>
      </c>
      <c r="AW100" s="310">
        <f t="shared" si="37"/>
        <v>64756120.325340815</v>
      </c>
      <c r="AX100" s="310">
        <f t="shared" si="37"/>
        <v>64756120.325340815</v>
      </c>
      <c r="AY100" s="310">
        <f t="shared" si="37"/>
        <v>64756120.325340815</v>
      </c>
      <c r="AZ100" s="310">
        <f t="shared" si="37"/>
        <v>64756120.325340815</v>
      </c>
      <c r="BA100" s="310">
        <f t="shared" si="37"/>
        <v>64756120.325340815</v>
      </c>
      <c r="BB100" s="310">
        <f t="shared" si="37"/>
        <v>64756120.325340815</v>
      </c>
      <c r="BC100" s="310">
        <f t="shared" si="37"/>
        <v>64756120.325340815</v>
      </c>
      <c r="BD100" s="310">
        <f t="shared" si="37"/>
        <v>64756120.325340815</v>
      </c>
      <c r="BE100" s="310">
        <f t="shared" si="37"/>
        <v>64756120.325340815</v>
      </c>
      <c r="BF100" s="310">
        <f t="shared" si="37"/>
        <v>64756120.325340815</v>
      </c>
      <c r="BG100" s="310">
        <f t="shared" si="37"/>
        <v>64756120.325340815</v>
      </c>
      <c r="BH100" s="310">
        <f t="shared" si="37"/>
        <v>64756120.325340815</v>
      </c>
      <c r="BI100" s="310">
        <f t="shared" si="37"/>
        <v>64756120.325340815</v>
      </c>
      <c r="BJ100" s="310">
        <f t="shared" si="37"/>
        <v>64756120.325340815</v>
      </c>
      <c r="BK100" s="310">
        <f t="shared" si="37"/>
        <v>64756120.325340815</v>
      </c>
      <c r="BL100" s="310">
        <f t="shared" si="37"/>
        <v>64756120.325340815</v>
      </c>
      <c r="BM100" s="310">
        <f t="shared" si="37"/>
        <v>64756120.325340815</v>
      </c>
      <c r="BN100" s="310">
        <f t="shared" si="37"/>
        <v>64756120.325340815</v>
      </c>
      <c r="BO100" s="310">
        <f t="shared" si="37"/>
        <v>64756120.325340815</v>
      </c>
      <c r="BP100" s="310">
        <f t="shared" si="37"/>
        <v>64756120.325340815</v>
      </c>
      <c r="BQ100" s="310">
        <f t="shared" si="37"/>
        <v>64756120.325340815</v>
      </c>
      <c r="BR100" s="310">
        <f t="shared" si="37"/>
        <v>64756120.325340815</v>
      </c>
      <c r="BS100" s="310">
        <f t="shared" si="37"/>
        <v>64756120.325340815</v>
      </c>
      <c r="BT100" s="310">
        <f t="shared" si="37"/>
        <v>64756120.325340815</v>
      </c>
      <c r="BU100" s="310">
        <f t="shared" si="37"/>
        <v>64756120.325340815</v>
      </c>
      <c r="BV100" s="310">
        <f t="shared" si="37"/>
        <v>64756120.325340815</v>
      </c>
      <c r="BW100" s="310">
        <f t="shared" si="37"/>
        <v>64756120.325340815</v>
      </c>
      <c r="BX100" s="310">
        <f t="shared" si="37"/>
        <v>64756120.325340815</v>
      </c>
      <c r="BY100" s="226"/>
      <c r="BZ100" s="226"/>
    </row>
    <row r="101" spans="2:78">
      <c r="B101" s="226"/>
      <c r="C101" s="226"/>
      <c r="D101" s="226"/>
      <c r="E101" s="226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6"/>
      <c r="AA101" s="226"/>
      <c r="AB101" s="226"/>
      <c r="AC101" s="226"/>
      <c r="AD101" s="226"/>
      <c r="AE101" s="226"/>
      <c r="AF101" s="226"/>
      <c r="AG101" s="226"/>
      <c r="AH101" s="226"/>
      <c r="AI101" s="226"/>
      <c r="AJ101" s="226"/>
      <c r="AK101" s="226"/>
      <c r="AL101" s="226"/>
      <c r="AM101" s="226"/>
      <c r="AN101" s="226"/>
      <c r="AO101" s="226"/>
      <c r="AP101" s="226"/>
      <c r="AQ101" s="226"/>
      <c r="AR101" s="226"/>
      <c r="AS101" s="226"/>
      <c r="AT101" s="226"/>
      <c r="AU101" s="226"/>
      <c r="AV101" s="226"/>
      <c r="AW101" s="226"/>
      <c r="AX101" s="226"/>
      <c r="AY101" s="226"/>
      <c r="AZ101" s="226"/>
      <c r="BA101" s="226"/>
      <c r="BB101" s="226"/>
      <c r="BC101" s="226"/>
      <c r="BD101" s="226"/>
      <c r="BE101" s="226"/>
      <c r="BF101" s="226"/>
      <c r="BG101" s="226"/>
      <c r="BH101" s="226"/>
      <c r="BI101" s="226"/>
      <c r="BJ101" s="226"/>
      <c r="BK101" s="226"/>
      <c r="BL101" s="226"/>
      <c r="BM101" s="226"/>
      <c r="BN101" s="226"/>
      <c r="BO101" s="226"/>
      <c r="BP101" s="226"/>
      <c r="BQ101" s="226"/>
      <c r="BR101" s="226"/>
      <c r="BS101" s="226"/>
      <c r="BT101" s="226"/>
      <c r="BU101" s="226"/>
      <c r="BV101" s="226"/>
      <c r="BW101" s="226"/>
      <c r="BX101" s="226"/>
      <c r="BY101" s="311"/>
      <c r="BZ101" s="226"/>
    </row>
    <row r="102" spans="2:78" hidden="1">
      <c r="B102" s="226"/>
      <c r="C102" s="226"/>
      <c r="D102" s="312" t="s">
        <v>337</v>
      </c>
      <c r="E102" s="312"/>
      <c r="F102" s="312"/>
      <c r="G102" s="312"/>
      <c r="H102" s="312"/>
      <c r="I102" s="312"/>
      <c r="J102" s="312"/>
      <c r="K102" s="312"/>
      <c r="L102" s="312"/>
      <c r="M102" s="312"/>
      <c r="N102" s="312"/>
      <c r="O102" s="312"/>
      <c r="P102" s="312"/>
      <c r="Q102" s="312"/>
      <c r="R102" s="312"/>
      <c r="S102" s="312"/>
      <c r="T102" s="312"/>
      <c r="U102" s="312"/>
      <c r="V102" s="313"/>
      <c r="W102" s="313"/>
      <c r="X102" s="313"/>
      <c r="Y102" s="313"/>
      <c r="Z102" s="313"/>
      <c r="AA102" s="313"/>
      <c r="AB102" s="313"/>
      <c r="AC102" s="313"/>
      <c r="AD102" s="313"/>
      <c r="AE102" s="313"/>
      <c r="AF102" s="313"/>
      <c r="AG102" s="313"/>
      <c r="AH102" s="313"/>
      <c r="AI102" s="313"/>
      <c r="AJ102" s="313"/>
      <c r="AK102" s="313"/>
      <c r="AL102" s="313"/>
      <c r="AM102" s="313"/>
      <c r="AN102" s="313"/>
      <c r="AO102" s="313"/>
      <c r="AP102" s="313"/>
      <c r="AQ102" s="313"/>
      <c r="AR102" s="313"/>
      <c r="AS102" s="313"/>
      <c r="AT102" s="313"/>
      <c r="AU102" s="313"/>
      <c r="AV102" s="313"/>
      <c r="AW102" s="313"/>
      <c r="AX102" s="313"/>
      <c r="AY102" s="313"/>
      <c r="AZ102" s="313"/>
      <c r="BA102" s="313"/>
      <c r="BB102" s="313"/>
      <c r="BC102" s="313"/>
      <c r="BD102" s="313"/>
      <c r="BE102" s="313"/>
      <c r="BF102" s="313"/>
      <c r="BG102" s="313"/>
      <c r="BH102" s="313"/>
      <c r="BI102" s="313"/>
      <c r="BJ102" s="313"/>
      <c r="BK102" s="313"/>
      <c r="BL102" s="313"/>
      <c r="BM102" s="313"/>
      <c r="BN102" s="313"/>
      <c r="BO102" s="313"/>
      <c r="BP102" s="313"/>
      <c r="BQ102" s="313"/>
      <c r="BR102" s="313"/>
      <c r="BS102" s="313"/>
      <c r="BT102" s="313"/>
      <c r="BU102" s="313"/>
      <c r="BV102" s="313"/>
      <c r="BW102" s="313"/>
      <c r="BX102" s="313"/>
      <c r="BY102" s="311"/>
      <c r="BZ102" s="226"/>
    </row>
    <row r="103" spans="2:78" hidden="1">
      <c r="B103" s="226"/>
      <c r="C103" s="226"/>
      <c r="D103" s="226"/>
      <c r="E103" s="226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26"/>
      <c r="Z103" s="226"/>
      <c r="AA103" s="226"/>
      <c r="AB103" s="226"/>
      <c r="AC103" s="226"/>
      <c r="AD103" s="226"/>
      <c r="AE103" s="226"/>
      <c r="AF103" s="226"/>
      <c r="AG103" s="226"/>
      <c r="AH103" s="226"/>
      <c r="AI103" s="226"/>
      <c r="AJ103" s="226"/>
      <c r="AK103" s="226"/>
      <c r="AL103" s="226"/>
      <c r="AM103" s="226"/>
      <c r="AN103" s="226"/>
      <c r="AO103" s="226"/>
      <c r="AP103" s="226"/>
      <c r="AQ103" s="226"/>
      <c r="AR103" s="226"/>
      <c r="AS103" s="226"/>
      <c r="AT103" s="226"/>
      <c r="AU103" s="226"/>
      <c r="AV103" s="226"/>
      <c r="AW103" s="226"/>
      <c r="AX103" s="226"/>
      <c r="AY103" s="226"/>
      <c r="AZ103" s="226"/>
      <c r="BA103" s="226"/>
      <c r="BB103" s="226"/>
      <c r="BC103" s="226"/>
      <c r="BD103" s="226"/>
      <c r="BE103" s="226"/>
      <c r="BF103" s="226"/>
      <c r="BG103" s="226"/>
      <c r="BH103" s="226"/>
      <c r="BI103" s="226"/>
      <c r="BJ103" s="226"/>
      <c r="BK103" s="226"/>
      <c r="BL103" s="226"/>
      <c r="BM103" s="226"/>
      <c r="BN103" s="226"/>
      <c r="BO103" s="226"/>
      <c r="BP103" s="226"/>
      <c r="BQ103" s="226"/>
      <c r="BR103" s="226"/>
      <c r="BS103" s="226"/>
      <c r="BT103" s="226"/>
      <c r="BU103" s="226"/>
      <c r="BV103" s="226"/>
      <c r="BW103" s="226"/>
      <c r="BX103" s="226"/>
      <c r="BY103" s="311"/>
      <c r="BZ103" s="226"/>
    </row>
    <row r="104" spans="2:78" hidden="1">
      <c r="B104" s="226"/>
      <c r="C104" s="314" t="s">
        <v>338</v>
      </c>
      <c r="D104" s="315"/>
      <c r="E104" s="316">
        <f>E112+E130+E191+E207</f>
        <v>0</v>
      </c>
      <c r="F104" s="316">
        <f t="shared" ref="F104:BW104" si="38">F112+F207</f>
        <v>0</v>
      </c>
      <c r="G104" s="316">
        <f t="shared" si="38"/>
        <v>0</v>
      </c>
      <c r="H104" s="316">
        <f t="shared" si="38"/>
        <v>-21706207.5</v>
      </c>
      <c r="I104" s="316">
        <f t="shared" si="38"/>
        <v>0</v>
      </c>
      <c r="J104" s="316">
        <f t="shared" si="38"/>
        <v>-8333333</v>
      </c>
      <c r="K104" s="316">
        <f t="shared" si="38"/>
        <v>-885000</v>
      </c>
      <c r="L104" s="316">
        <f t="shared" si="38"/>
        <v>885000</v>
      </c>
      <c r="M104" s="316">
        <f t="shared" si="38"/>
        <v>0</v>
      </c>
      <c r="N104" s="316">
        <f t="shared" si="38"/>
        <v>0</v>
      </c>
      <c r="O104" s="316">
        <f t="shared" si="38"/>
        <v>0</v>
      </c>
      <c r="P104" s="316">
        <f t="shared" si="38"/>
        <v>0</v>
      </c>
      <c r="Q104" s="316">
        <f t="shared" si="38"/>
        <v>0</v>
      </c>
      <c r="R104" s="316">
        <f t="shared" si="38"/>
        <v>0</v>
      </c>
      <c r="S104" s="316">
        <f t="shared" si="38"/>
        <v>0</v>
      </c>
      <c r="T104" s="316">
        <f t="shared" si="38"/>
        <v>5341205.5</v>
      </c>
      <c r="U104" s="316">
        <f t="shared" si="38"/>
        <v>0</v>
      </c>
      <c r="V104" s="316">
        <f t="shared" si="38"/>
        <v>0</v>
      </c>
      <c r="W104" s="316">
        <f t="shared" si="38"/>
        <v>0</v>
      </c>
      <c r="X104" s="316">
        <f t="shared" si="38"/>
        <v>0</v>
      </c>
      <c r="Y104" s="316">
        <f t="shared" si="38"/>
        <v>0</v>
      </c>
      <c r="Z104" s="316">
        <f t="shared" si="38"/>
        <v>0</v>
      </c>
      <c r="AA104" s="316">
        <f t="shared" si="38"/>
        <v>0</v>
      </c>
      <c r="AB104" s="316">
        <f t="shared" si="38"/>
        <v>0</v>
      </c>
      <c r="AC104" s="316">
        <f t="shared" si="38"/>
        <v>24698335</v>
      </c>
      <c r="AD104" s="316">
        <f t="shared" si="38"/>
        <v>0</v>
      </c>
      <c r="AE104" s="316">
        <f t="shared" si="38"/>
        <v>0</v>
      </c>
      <c r="AF104" s="316">
        <f t="shared" si="38"/>
        <v>0</v>
      </c>
      <c r="AG104" s="316">
        <f t="shared" si="38"/>
        <v>0</v>
      </c>
      <c r="AH104" s="316">
        <f t="shared" si="38"/>
        <v>0</v>
      </c>
      <c r="AI104" s="316">
        <f t="shared" si="38"/>
        <v>0</v>
      </c>
      <c r="AJ104" s="316">
        <f t="shared" si="38"/>
        <v>0</v>
      </c>
      <c r="AK104" s="316">
        <f t="shared" si="38"/>
        <v>0</v>
      </c>
      <c r="AL104" s="316">
        <f t="shared" si="38"/>
        <v>0</v>
      </c>
      <c r="AM104" s="316">
        <f t="shared" si="38"/>
        <v>0</v>
      </c>
      <c r="AN104" s="316">
        <f t="shared" si="38"/>
        <v>0</v>
      </c>
      <c r="AO104" s="316">
        <f t="shared" si="38"/>
        <v>0</v>
      </c>
      <c r="AP104" s="316">
        <f t="shared" si="38"/>
        <v>0</v>
      </c>
      <c r="AQ104" s="316">
        <f t="shared" si="38"/>
        <v>0</v>
      </c>
      <c r="AR104" s="316">
        <f t="shared" si="38"/>
        <v>0</v>
      </c>
      <c r="AS104" s="316">
        <f t="shared" si="38"/>
        <v>0</v>
      </c>
      <c r="AT104" s="316">
        <f t="shared" si="38"/>
        <v>0</v>
      </c>
      <c r="AU104" s="316">
        <f t="shared" si="38"/>
        <v>0</v>
      </c>
      <c r="AV104" s="316">
        <f t="shared" si="38"/>
        <v>0</v>
      </c>
      <c r="AW104" s="316">
        <f t="shared" si="38"/>
        <v>0</v>
      </c>
      <c r="AX104" s="316">
        <f t="shared" si="38"/>
        <v>0</v>
      </c>
      <c r="AY104" s="316">
        <f t="shared" si="38"/>
        <v>0</v>
      </c>
      <c r="AZ104" s="316">
        <f t="shared" si="38"/>
        <v>0</v>
      </c>
      <c r="BA104" s="316">
        <f t="shared" si="38"/>
        <v>0</v>
      </c>
      <c r="BB104" s="316">
        <f t="shared" si="38"/>
        <v>0</v>
      </c>
      <c r="BC104" s="316">
        <f t="shared" si="38"/>
        <v>0</v>
      </c>
      <c r="BD104" s="316">
        <f t="shared" si="38"/>
        <v>0</v>
      </c>
      <c r="BE104" s="316">
        <f t="shared" si="38"/>
        <v>0</v>
      </c>
      <c r="BF104" s="316">
        <f t="shared" si="38"/>
        <v>0</v>
      </c>
      <c r="BG104" s="316">
        <f t="shared" si="38"/>
        <v>0</v>
      </c>
      <c r="BH104" s="316">
        <f t="shared" si="38"/>
        <v>0</v>
      </c>
      <c r="BI104" s="316">
        <f t="shared" si="38"/>
        <v>0</v>
      </c>
      <c r="BJ104" s="316">
        <f t="shared" si="38"/>
        <v>0</v>
      </c>
      <c r="BK104" s="316">
        <f t="shared" si="38"/>
        <v>0</v>
      </c>
      <c r="BL104" s="316">
        <f t="shared" si="38"/>
        <v>0</v>
      </c>
      <c r="BM104" s="316">
        <f t="shared" si="38"/>
        <v>0</v>
      </c>
      <c r="BN104" s="316">
        <f t="shared" si="38"/>
        <v>0</v>
      </c>
      <c r="BO104" s="316">
        <f t="shared" si="38"/>
        <v>0</v>
      </c>
      <c r="BP104" s="316">
        <f t="shared" si="38"/>
        <v>0</v>
      </c>
      <c r="BQ104" s="316">
        <f t="shared" si="38"/>
        <v>0</v>
      </c>
      <c r="BR104" s="316">
        <f t="shared" si="38"/>
        <v>0</v>
      </c>
      <c r="BS104" s="316">
        <f t="shared" si="38"/>
        <v>0</v>
      </c>
      <c r="BT104" s="316">
        <f t="shared" si="38"/>
        <v>0</v>
      </c>
      <c r="BU104" s="316">
        <f t="shared" si="38"/>
        <v>0</v>
      </c>
      <c r="BV104" s="316">
        <f t="shared" si="38"/>
        <v>0</v>
      </c>
      <c r="BW104" s="316">
        <f t="shared" si="38"/>
        <v>0</v>
      </c>
      <c r="BX104" s="316">
        <f>BX112+BX207+BX100</f>
        <v>64756120.325340815</v>
      </c>
      <c r="BY104" s="311"/>
      <c r="BZ104" s="226"/>
    </row>
    <row r="105" spans="2:78" hidden="1">
      <c r="B105" s="226"/>
      <c r="C105" s="317" t="s">
        <v>339</v>
      </c>
      <c r="D105" s="793">
        <f>IRR(E104:BX104)*12</f>
        <v>0.31192965767840075</v>
      </c>
      <c r="E105" s="768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  <c r="U105" s="226"/>
      <c r="V105" s="226"/>
      <c r="W105" s="226"/>
      <c r="X105" s="226"/>
      <c r="Y105" s="226"/>
      <c r="Z105" s="226"/>
      <c r="AA105" s="226"/>
      <c r="AB105" s="226"/>
      <c r="AC105" s="226"/>
      <c r="AD105" s="226"/>
      <c r="AE105" s="226"/>
      <c r="AF105" s="226"/>
      <c r="AG105" s="226"/>
      <c r="AH105" s="226"/>
      <c r="AI105" s="226"/>
      <c r="AJ105" s="226"/>
      <c r="AK105" s="226"/>
      <c r="AL105" s="226"/>
      <c r="AM105" s="226"/>
      <c r="AN105" s="226"/>
      <c r="AO105" s="226"/>
      <c r="AP105" s="226"/>
      <c r="AQ105" s="226"/>
      <c r="AR105" s="226"/>
      <c r="AS105" s="226"/>
      <c r="AT105" s="226"/>
      <c r="AU105" s="226"/>
      <c r="AV105" s="226"/>
      <c r="AW105" s="226"/>
      <c r="AX105" s="226"/>
      <c r="AY105" s="226"/>
      <c r="AZ105" s="226"/>
      <c r="BA105" s="226"/>
      <c r="BB105" s="226"/>
      <c r="BC105" s="226"/>
      <c r="BD105" s="226"/>
      <c r="BE105" s="226"/>
      <c r="BF105" s="226"/>
      <c r="BG105" s="226"/>
      <c r="BH105" s="226"/>
      <c r="BI105" s="226"/>
      <c r="BJ105" s="226"/>
      <c r="BK105" s="226"/>
      <c r="BL105" s="226"/>
      <c r="BM105" s="226"/>
      <c r="BN105" s="226"/>
      <c r="BO105" s="226"/>
      <c r="BP105" s="226"/>
      <c r="BQ105" s="226"/>
      <c r="BR105" s="226"/>
      <c r="BS105" s="226"/>
      <c r="BT105" s="226"/>
      <c r="BU105" s="226"/>
      <c r="BV105" s="226"/>
      <c r="BW105" s="226"/>
      <c r="BX105" s="226"/>
      <c r="BY105" s="311"/>
      <c r="BZ105" s="226"/>
    </row>
    <row r="106" spans="2:78" hidden="1">
      <c r="B106" s="226"/>
      <c r="C106" s="226"/>
      <c r="D106" s="226"/>
      <c r="E106" s="226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AY106" s="226"/>
      <c r="AZ106" s="226"/>
      <c r="BA106" s="226"/>
      <c r="BB106" s="226"/>
      <c r="BC106" s="226"/>
      <c r="BD106" s="226"/>
      <c r="BE106" s="226"/>
      <c r="BF106" s="226"/>
      <c r="BG106" s="226"/>
      <c r="BH106" s="226"/>
      <c r="BI106" s="226"/>
      <c r="BJ106" s="226"/>
      <c r="BK106" s="226"/>
      <c r="BL106" s="226"/>
      <c r="BM106" s="226"/>
      <c r="BN106" s="226"/>
      <c r="BO106" s="226"/>
      <c r="BP106" s="226"/>
      <c r="BQ106" s="226"/>
      <c r="BR106" s="226"/>
      <c r="BS106" s="226"/>
      <c r="BT106" s="226"/>
      <c r="BU106" s="226"/>
      <c r="BV106" s="226"/>
      <c r="BW106" s="226"/>
      <c r="BX106" s="226"/>
      <c r="BY106" s="311"/>
      <c r="BZ106" s="226"/>
    </row>
    <row r="107" spans="2:78" hidden="1"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</row>
    <row r="108" spans="2:78" ht="17" hidden="1">
      <c r="B108" s="226"/>
      <c r="C108" s="314" t="s">
        <v>340</v>
      </c>
      <c r="D108" s="794"/>
      <c r="E108" s="767"/>
      <c r="F108" s="767"/>
      <c r="G108" s="767"/>
      <c r="H108" s="767"/>
      <c r="I108" s="767"/>
      <c r="J108" s="767"/>
      <c r="K108" s="767"/>
      <c r="L108" s="767"/>
      <c r="M108" s="767"/>
      <c r="N108" s="767"/>
      <c r="O108" s="767"/>
      <c r="P108" s="767"/>
      <c r="Q108" s="767"/>
      <c r="R108" s="767"/>
      <c r="S108" s="767"/>
      <c r="T108" s="767"/>
      <c r="U108" s="767"/>
      <c r="V108" s="767"/>
      <c r="W108" s="767"/>
      <c r="X108" s="767"/>
      <c r="Y108" s="767"/>
      <c r="Z108" s="767"/>
      <c r="AA108" s="767"/>
      <c r="AB108" s="767"/>
      <c r="AC108" s="767"/>
      <c r="AD108" s="767"/>
      <c r="AE108" s="767"/>
      <c r="AF108" s="767"/>
      <c r="AG108" s="767"/>
      <c r="AH108" s="767"/>
      <c r="AI108" s="767"/>
      <c r="AJ108" s="767"/>
      <c r="AK108" s="767"/>
      <c r="AL108" s="767"/>
      <c r="AM108" s="767"/>
      <c r="AN108" s="767"/>
      <c r="AO108" s="767"/>
      <c r="AP108" s="767"/>
      <c r="AQ108" s="767"/>
      <c r="AR108" s="767"/>
      <c r="AS108" s="767"/>
      <c r="AT108" s="767"/>
      <c r="AU108" s="767"/>
      <c r="AV108" s="767"/>
      <c r="AW108" s="767"/>
      <c r="AX108" s="767"/>
      <c r="AY108" s="767"/>
      <c r="AZ108" s="767"/>
      <c r="BA108" s="767"/>
      <c r="BB108" s="767"/>
      <c r="BC108" s="767"/>
      <c r="BD108" s="767"/>
      <c r="BE108" s="767"/>
      <c r="BF108" s="767"/>
      <c r="BG108" s="767"/>
      <c r="BH108" s="767"/>
      <c r="BI108" s="767"/>
      <c r="BJ108" s="767"/>
      <c r="BK108" s="767"/>
      <c r="BL108" s="767"/>
      <c r="BM108" s="767"/>
      <c r="BN108" s="767"/>
      <c r="BO108" s="767"/>
      <c r="BP108" s="767"/>
      <c r="BQ108" s="767"/>
      <c r="BR108" s="767"/>
      <c r="BS108" s="767"/>
      <c r="BT108" s="767"/>
      <c r="BU108" s="767"/>
      <c r="BV108" s="767"/>
      <c r="BW108" s="768"/>
      <c r="BX108" s="319">
        <f>BX100*C109</f>
        <v>12951224.065068163</v>
      </c>
      <c r="BY108" s="311"/>
      <c r="BZ108" s="226"/>
    </row>
    <row r="109" spans="2:78" ht="19" hidden="1">
      <c r="B109" s="226"/>
      <c r="C109" s="320">
        <v>0.2</v>
      </c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26"/>
      <c r="X109" s="226"/>
      <c r="Y109" s="226"/>
      <c r="Z109" s="226"/>
      <c r="AA109" s="226"/>
      <c r="AB109" s="226"/>
      <c r="AC109" s="226"/>
      <c r="AD109" s="226"/>
      <c r="AE109" s="226"/>
      <c r="AF109" s="226"/>
      <c r="AG109" s="226"/>
      <c r="AH109" s="226"/>
      <c r="AI109" s="226"/>
      <c r="AJ109" s="226"/>
      <c r="AK109" s="226"/>
      <c r="AL109" s="226"/>
      <c r="AM109" s="226"/>
      <c r="AN109" s="226"/>
      <c r="AO109" s="226"/>
      <c r="AP109" s="226"/>
      <c r="AQ109" s="226"/>
      <c r="AR109" s="226"/>
      <c r="AS109" s="226"/>
      <c r="AT109" s="226"/>
      <c r="AU109" s="226"/>
      <c r="AV109" s="226"/>
      <c r="AW109" s="226"/>
      <c r="AX109" s="226"/>
      <c r="AY109" s="226"/>
      <c r="AZ109" s="226"/>
      <c r="BA109" s="226"/>
      <c r="BB109" s="226"/>
      <c r="BC109" s="226"/>
      <c r="BD109" s="226"/>
      <c r="BE109" s="226"/>
      <c r="BF109" s="226"/>
      <c r="BG109" s="226"/>
      <c r="BH109" s="226"/>
      <c r="BI109" s="226"/>
      <c r="BJ109" s="226"/>
      <c r="BK109" s="226"/>
      <c r="BL109" s="226"/>
      <c r="BM109" s="226"/>
      <c r="BN109" s="226"/>
      <c r="BO109" s="226"/>
      <c r="BP109" s="226"/>
      <c r="BQ109" s="226"/>
      <c r="BR109" s="226"/>
      <c r="BS109" s="226"/>
      <c r="BT109" s="226"/>
      <c r="BU109" s="226"/>
      <c r="BV109" s="226"/>
      <c r="BW109" s="226"/>
      <c r="BX109" s="226"/>
      <c r="BY109" s="311"/>
      <c r="BZ109" s="226"/>
    </row>
    <row r="110" spans="2:78" hidden="1"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6"/>
      <c r="BF110" s="226"/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6"/>
      <c r="BQ110" s="226"/>
      <c r="BR110" s="226"/>
      <c r="BS110" s="226"/>
      <c r="BT110" s="226"/>
      <c r="BU110" s="226"/>
      <c r="BV110" s="226"/>
      <c r="BW110" s="226"/>
      <c r="BX110" s="226"/>
      <c r="BY110" s="311"/>
      <c r="BZ110" s="226"/>
    </row>
    <row r="111" spans="2:78" hidden="1">
      <c r="B111" s="226"/>
      <c r="C111" s="321"/>
      <c r="D111" s="321"/>
      <c r="E111" s="321"/>
      <c r="F111" s="321"/>
      <c r="G111" s="321"/>
      <c r="H111" s="321"/>
      <c r="I111" s="321"/>
      <c r="J111" s="321"/>
      <c r="K111" s="321"/>
      <c r="L111" s="321"/>
      <c r="M111" s="321"/>
      <c r="N111" s="321"/>
      <c r="O111" s="321"/>
      <c r="P111" s="321"/>
      <c r="Q111" s="321"/>
      <c r="R111" s="321"/>
      <c r="S111" s="321"/>
      <c r="T111" s="321"/>
      <c r="U111" s="321"/>
      <c r="V111" s="321"/>
      <c r="W111" s="321"/>
      <c r="X111" s="321"/>
      <c r="Y111" s="321"/>
      <c r="Z111" s="321"/>
      <c r="AA111" s="321"/>
      <c r="AB111" s="321"/>
      <c r="AC111" s="321"/>
      <c r="AD111" s="321"/>
      <c r="AE111" s="321"/>
      <c r="AF111" s="321"/>
      <c r="AG111" s="321"/>
      <c r="AH111" s="321"/>
      <c r="AI111" s="321"/>
      <c r="AJ111" s="321"/>
      <c r="AK111" s="321"/>
      <c r="AL111" s="321"/>
      <c r="AM111" s="321"/>
      <c r="AN111" s="321"/>
      <c r="AO111" s="321"/>
      <c r="AP111" s="321"/>
      <c r="AQ111" s="321"/>
      <c r="AR111" s="321"/>
      <c r="AS111" s="321"/>
      <c r="AT111" s="321"/>
      <c r="AU111" s="321"/>
      <c r="AV111" s="321"/>
      <c r="AW111" s="321"/>
      <c r="AX111" s="321"/>
      <c r="AY111" s="321"/>
      <c r="AZ111" s="321"/>
      <c r="BA111" s="321"/>
      <c r="BB111" s="321"/>
      <c r="BC111" s="321"/>
      <c r="BD111" s="321"/>
      <c r="BE111" s="321"/>
      <c r="BF111" s="321"/>
      <c r="BG111" s="321"/>
      <c r="BH111" s="321"/>
      <c r="BI111" s="321"/>
      <c r="BJ111" s="321"/>
      <c r="BK111" s="321"/>
      <c r="BL111" s="321"/>
      <c r="BM111" s="226"/>
      <c r="BN111" s="226"/>
      <c r="BO111" s="226"/>
      <c r="BP111" s="226"/>
      <c r="BQ111" s="226"/>
      <c r="BR111" s="226"/>
      <c r="BS111" s="226"/>
      <c r="BT111" s="226"/>
      <c r="BU111" s="226"/>
      <c r="BV111" s="226"/>
      <c r="BW111" s="226"/>
      <c r="BX111" s="226"/>
      <c r="BY111" s="226"/>
      <c r="BZ111" s="226"/>
    </row>
    <row r="112" spans="2:78">
      <c r="B112" s="322"/>
      <c r="C112" s="314" t="s">
        <v>341</v>
      </c>
      <c r="D112" s="315"/>
      <c r="E112" s="316">
        <f t="shared" ref="E112:BM112" si="39">-(E5+E6+E91+E92)</f>
        <v>0</v>
      </c>
      <c r="F112" s="316">
        <f t="shared" si="39"/>
        <v>0</v>
      </c>
      <c r="G112" s="316">
        <f t="shared" si="39"/>
        <v>0</v>
      </c>
      <c r="H112" s="316">
        <f t="shared" si="39"/>
        <v>-16365002</v>
      </c>
      <c r="I112" s="316">
        <f t="shared" si="39"/>
        <v>0</v>
      </c>
      <c r="J112" s="316">
        <f t="shared" si="39"/>
        <v>-8333333</v>
      </c>
      <c r="K112" s="316">
        <f t="shared" si="39"/>
        <v>-885000</v>
      </c>
      <c r="L112" s="316">
        <f t="shared" si="39"/>
        <v>885000</v>
      </c>
      <c r="M112" s="316">
        <f t="shared" si="39"/>
        <v>0</v>
      </c>
      <c r="N112" s="316">
        <f t="shared" si="39"/>
        <v>0</v>
      </c>
      <c r="O112" s="316">
        <f t="shared" si="39"/>
        <v>0</v>
      </c>
      <c r="P112" s="316">
        <f t="shared" si="39"/>
        <v>0</v>
      </c>
      <c r="Q112" s="316">
        <f t="shared" si="39"/>
        <v>0</v>
      </c>
      <c r="R112" s="316">
        <f t="shared" si="39"/>
        <v>0</v>
      </c>
      <c r="S112" s="316">
        <f t="shared" si="39"/>
        <v>0</v>
      </c>
      <c r="T112" s="316">
        <f t="shared" si="39"/>
        <v>0</v>
      </c>
      <c r="U112" s="316">
        <f t="shared" si="39"/>
        <v>0</v>
      </c>
      <c r="V112" s="316">
        <f t="shared" si="39"/>
        <v>0</v>
      </c>
      <c r="W112" s="316">
        <f t="shared" si="39"/>
        <v>0</v>
      </c>
      <c r="X112" s="316">
        <f t="shared" si="39"/>
        <v>0</v>
      </c>
      <c r="Y112" s="316">
        <f t="shared" si="39"/>
        <v>0</v>
      </c>
      <c r="Z112" s="316">
        <f t="shared" si="39"/>
        <v>0</v>
      </c>
      <c r="AA112" s="316">
        <f t="shared" si="39"/>
        <v>0</v>
      </c>
      <c r="AB112" s="316">
        <f t="shared" si="39"/>
        <v>0</v>
      </c>
      <c r="AC112" s="316">
        <f t="shared" si="39"/>
        <v>24698335</v>
      </c>
      <c r="AD112" s="316">
        <f t="shared" si="39"/>
        <v>0</v>
      </c>
      <c r="AE112" s="316">
        <f t="shared" si="39"/>
        <v>0</v>
      </c>
      <c r="AF112" s="316">
        <f t="shared" si="39"/>
        <v>0</v>
      </c>
      <c r="AG112" s="316">
        <f t="shared" si="39"/>
        <v>0</v>
      </c>
      <c r="AH112" s="316">
        <f t="shared" si="39"/>
        <v>0</v>
      </c>
      <c r="AI112" s="316">
        <f t="shared" si="39"/>
        <v>0</v>
      </c>
      <c r="AJ112" s="316">
        <f t="shared" si="39"/>
        <v>0</v>
      </c>
      <c r="AK112" s="316">
        <f t="shared" si="39"/>
        <v>0</v>
      </c>
      <c r="AL112" s="316">
        <f t="shared" si="39"/>
        <v>0</v>
      </c>
      <c r="AM112" s="316">
        <f t="shared" si="39"/>
        <v>0</v>
      </c>
      <c r="AN112" s="316">
        <f t="shared" si="39"/>
        <v>0</v>
      </c>
      <c r="AO112" s="316">
        <f t="shared" si="39"/>
        <v>0</v>
      </c>
      <c r="AP112" s="316">
        <f t="shared" si="39"/>
        <v>0</v>
      </c>
      <c r="AQ112" s="316">
        <f t="shared" si="39"/>
        <v>0</v>
      </c>
      <c r="AR112" s="316">
        <f t="shared" si="39"/>
        <v>0</v>
      </c>
      <c r="AS112" s="316">
        <f t="shared" si="39"/>
        <v>0</v>
      </c>
      <c r="AT112" s="316">
        <f t="shared" si="39"/>
        <v>0</v>
      </c>
      <c r="AU112" s="316">
        <f t="shared" si="39"/>
        <v>0</v>
      </c>
      <c r="AV112" s="316">
        <f t="shared" si="39"/>
        <v>0</v>
      </c>
      <c r="AW112" s="316">
        <f t="shared" si="39"/>
        <v>0</v>
      </c>
      <c r="AX112" s="316">
        <f t="shared" si="39"/>
        <v>0</v>
      </c>
      <c r="AY112" s="316">
        <f t="shared" si="39"/>
        <v>0</v>
      </c>
      <c r="AZ112" s="316">
        <f t="shared" si="39"/>
        <v>0</v>
      </c>
      <c r="BA112" s="316">
        <f t="shared" si="39"/>
        <v>0</v>
      </c>
      <c r="BB112" s="316">
        <f t="shared" si="39"/>
        <v>0</v>
      </c>
      <c r="BC112" s="316">
        <f t="shared" si="39"/>
        <v>0</v>
      </c>
      <c r="BD112" s="316">
        <f t="shared" si="39"/>
        <v>0</v>
      </c>
      <c r="BE112" s="316">
        <f t="shared" si="39"/>
        <v>0</v>
      </c>
      <c r="BF112" s="316">
        <f t="shared" si="39"/>
        <v>0</v>
      </c>
      <c r="BG112" s="316">
        <f t="shared" si="39"/>
        <v>0</v>
      </c>
      <c r="BH112" s="316">
        <f t="shared" si="39"/>
        <v>0</v>
      </c>
      <c r="BI112" s="316">
        <f t="shared" si="39"/>
        <v>0</v>
      </c>
      <c r="BJ112" s="316">
        <f t="shared" si="39"/>
        <v>0</v>
      </c>
      <c r="BK112" s="316">
        <f t="shared" si="39"/>
        <v>0</v>
      </c>
      <c r="BL112" s="316">
        <f t="shared" si="39"/>
        <v>0</v>
      </c>
      <c r="BM112" s="316">
        <f t="shared" si="39"/>
        <v>0</v>
      </c>
      <c r="BN112" s="316">
        <f t="shared" ref="BN112:BX112" si="40">-(BN5+BN91)</f>
        <v>0</v>
      </c>
      <c r="BO112" s="316">
        <f t="shared" si="40"/>
        <v>0</v>
      </c>
      <c r="BP112" s="316">
        <f t="shared" si="40"/>
        <v>0</v>
      </c>
      <c r="BQ112" s="316">
        <f t="shared" si="40"/>
        <v>0</v>
      </c>
      <c r="BR112" s="316">
        <f t="shared" si="40"/>
        <v>0</v>
      </c>
      <c r="BS112" s="316">
        <f t="shared" si="40"/>
        <v>0</v>
      </c>
      <c r="BT112" s="316">
        <f t="shared" si="40"/>
        <v>0</v>
      </c>
      <c r="BU112" s="316">
        <f t="shared" si="40"/>
        <v>0</v>
      </c>
      <c r="BV112" s="316">
        <f t="shared" si="40"/>
        <v>0</v>
      </c>
      <c r="BW112" s="316">
        <f t="shared" si="40"/>
        <v>0</v>
      </c>
      <c r="BX112" s="316">
        <f t="shared" si="40"/>
        <v>0</v>
      </c>
      <c r="BY112" s="226"/>
      <c r="BZ112" s="226"/>
    </row>
    <row r="113" spans="3:76">
      <c r="C113" s="314" t="s">
        <v>342</v>
      </c>
      <c r="D113" s="323"/>
      <c r="E113" s="315"/>
      <c r="F113" s="315"/>
      <c r="G113" s="315"/>
      <c r="H113" s="315">
        <f>-8333333</f>
        <v>-8333333</v>
      </c>
      <c r="I113" s="315"/>
      <c r="J113" s="315"/>
      <c r="K113" s="315"/>
      <c r="L113" s="315"/>
      <c r="M113" s="315"/>
      <c r="N113" s="315"/>
      <c r="O113" s="315"/>
      <c r="P113" s="315"/>
      <c r="Q113" s="315"/>
      <c r="R113" s="315"/>
      <c r="S113" s="315"/>
      <c r="T113" s="315"/>
      <c r="U113" s="315"/>
      <c r="V113" s="315"/>
      <c r="W113" s="315"/>
      <c r="X113" s="315"/>
      <c r="Y113" s="315"/>
      <c r="Z113" s="315"/>
      <c r="AA113" s="315"/>
      <c r="AB113" s="315"/>
      <c r="AC113" s="315"/>
      <c r="AD113" s="315"/>
      <c r="AE113" s="315"/>
      <c r="AF113" s="315"/>
      <c r="AG113" s="315"/>
      <c r="AH113" s="315"/>
      <c r="AI113" s="315"/>
      <c r="AJ113" s="315"/>
      <c r="AK113" s="315"/>
      <c r="AL113" s="315"/>
      <c r="AM113" s="315"/>
      <c r="AN113" s="315"/>
      <c r="AO113" s="315"/>
      <c r="AP113" s="315"/>
      <c r="AQ113" s="315"/>
      <c r="AR113" s="315"/>
      <c r="AS113" s="315"/>
      <c r="AT113" s="315"/>
      <c r="AU113" s="315"/>
      <c r="AV113" s="315"/>
      <c r="AW113" s="315"/>
      <c r="AX113" s="315"/>
      <c r="AY113" s="315"/>
      <c r="AZ113" s="315"/>
      <c r="BA113" s="315"/>
      <c r="BB113" s="315"/>
      <c r="BC113" s="315"/>
      <c r="BD113" s="315"/>
      <c r="BE113" s="315"/>
      <c r="BF113" s="315"/>
      <c r="BG113" s="315"/>
      <c r="BH113" s="315"/>
      <c r="BI113" s="315"/>
      <c r="BJ113" s="315"/>
      <c r="BK113" s="315"/>
      <c r="BL113" s="315"/>
      <c r="BM113" s="315"/>
      <c r="BN113" s="315"/>
      <c r="BO113" s="315"/>
      <c r="BP113" s="315"/>
      <c r="BQ113" s="315"/>
      <c r="BR113" s="315"/>
      <c r="BS113" s="315"/>
      <c r="BT113" s="315"/>
      <c r="BU113" s="315"/>
      <c r="BV113" s="315"/>
      <c r="BW113" s="315"/>
      <c r="BX113" s="315"/>
    </row>
    <row r="114" spans="3:76">
      <c r="C114" s="314" t="s">
        <v>343</v>
      </c>
      <c r="D114" s="323"/>
      <c r="E114" s="315">
        <f t="shared" ref="E114:S114" si="41">-E56</f>
        <v>0</v>
      </c>
      <c r="F114" s="315">
        <f t="shared" si="41"/>
        <v>0</v>
      </c>
      <c r="G114" s="315">
        <f t="shared" si="41"/>
        <v>0</v>
      </c>
      <c r="H114" s="315">
        <f t="shared" si="41"/>
        <v>0</v>
      </c>
      <c r="I114" s="315">
        <f t="shared" si="41"/>
        <v>0</v>
      </c>
      <c r="J114" s="315">
        <f t="shared" si="41"/>
        <v>0</v>
      </c>
      <c r="K114" s="315">
        <f t="shared" si="41"/>
        <v>0</v>
      </c>
      <c r="L114" s="315">
        <f t="shared" si="41"/>
        <v>0</v>
      </c>
      <c r="M114" s="315">
        <f t="shared" si="41"/>
        <v>0</v>
      </c>
      <c r="N114" s="315">
        <f t="shared" si="41"/>
        <v>0</v>
      </c>
      <c r="O114" s="315">
        <f t="shared" si="41"/>
        <v>0</v>
      </c>
      <c r="P114" s="315">
        <f t="shared" si="41"/>
        <v>0</v>
      </c>
      <c r="Q114" s="315">
        <f t="shared" si="41"/>
        <v>0</v>
      </c>
      <c r="R114" s="315">
        <f t="shared" si="41"/>
        <v>0</v>
      </c>
      <c r="S114" s="315">
        <f t="shared" si="41"/>
        <v>0</v>
      </c>
      <c r="T114" s="315">
        <f>-T56-T57</f>
        <v>0</v>
      </c>
      <c r="U114" s="315">
        <f t="shared" ref="U114:BX114" si="42">-U56</f>
        <v>0</v>
      </c>
      <c r="V114" s="315">
        <f t="shared" si="42"/>
        <v>0</v>
      </c>
      <c r="W114" s="315">
        <f t="shared" si="42"/>
        <v>0</v>
      </c>
      <c r="X114" s="315">
        <f t="shared" si="42"/>
        <v>0</v>
      </c>
      <c r="Y114" s="315">
        <f t="shared" si="42"/>
        <v>0</v>
      </c>
      <c r="Z114" s="315">
        <f t="shared" si="42"/>
        <v>0</v>
      </c>
      <c r="AA114" s="315">
        <f t="shared" si="42"/>
        <v>0</v>
      </c>
      <c r="AB114" s="315">
        <f t="shared" si="42"/>
        <v>0</v>
      </c>
      <c r="AC114" s="315">
        <f t="shared" si="42"/>
        <v>0</v>
      </c>
      <c r="AD114" s="315">
        <f t="shared" si="42"/>
        <v>0</v>
      </c>
      <c r="AE114" s="315">
        <f t="shared" si="42"/>
        <v>0</v>
      </c>
      <c r="AF114" s="315">
        <f t="shared" si="42"/>
        <v>0</v>
      </c>
      <c r="AG114" s="315">
        <f t="shared" si="42"/>
        <v>0</v>
      </c>
      <c r="AH114" s="315">
        <f t="shared" si="42"/>
        <v>0</v>
      </c>
      <c r="AI114" s="315">
        <f t="shared" si="42"/>
        <v>0</v>
      </c>
      <c r="AJ114" s="315">
        <f t="shared" si="42"/>
        <v>0</v>
      </c>
      <c r="AK114" s="315">
        <f t="shared" si="42"/>
        <v>0</v>
      </c>
      <c r="AL114" s="315">
        <f t="shared" si="42"/>
        <v>0</v>
      </c>
      <c r="AM114" s="315">
        <f t="shared" si="42"/>
        <v>0</v>
      </c>
      <c r="AN114" s="315">
        <f t="shared" si="42"/>
        <v>0</v>
      </c>
      <c r="AO114" s="315">
        <f t="shared" si="42"/>
        <v>0</v>
      </c>
      <c r="AP114" s="315">
        <f t="shared" si="42"/>
        <v>0</v>
      </c>
      <c r="AQ114" s="315">
        <f t="shared" si="42"/>
        <v>0</v>
      </c>
      <c r="AR114" s="315">
        <f t="shared" si="42"/>
        <v>0</v>
      </c>
      <c r="AS114" s="315">
        <f t="shared" si="42"/>
        <v>0</v>
      </c>
      <c r="AT114" s="315">
        <f t="shared" si="42"/>
        <v>0</v>
      </c>
      <c r="AU114" s="315">
        <f t="shared" si="42"/>
        <v>0</v>
      </c>
      <c r="AV114" s="315">
        <f t="shared" si="42"/>
        <v>0</v>
      </c>
      <c r="AW114" s="315">
        <f t="shared" si="42"/>
        <v>0</v>
      </c>
      <c r="AX114" s="315">
        <f t="shared" si="42"/>
        <v>0</v>
      </c>
      <c r="AY114" s="315">
        <f t="shared" si="42"/>
        <v>0</v>
      </c>
      <c r="AZ114" s="315">
        <f t="shared" si="42"/>
        <v>0</v>
      </c>
      <c r="BA114" s="315">
        <f t="shared" si="42"/>
        <v>0</v>
      </c>
      <c r="BB114" s="315">
        <f t="shared" si="42"/>
        <v>0</v>
      </c>
      <c r="BC114" s="315">
        <f t="shared" si="42"/>
        <v>0</v>
      </c>
      <c r="BD114" s="315">
        <f t="shared" si="42"/>
        <v>0</v>
      </c>
      <c r="BE114" s="315">
        <f t="shared" si="42"/>
        <v>0</v>
      </c>
      <c r="BF114" s="315">
        <f t="shared" si="42"/>
        <v>0</v>
      </c>
      <c r="BG114" s="315">
        <f t="shared" si="42"/>
        <v>0</v>
      </c>
      <c r="BH114" s="315">
        <f t="shared" si="42"/>
        <v>0</v>
      </c>
      <c r="BI114" s="315">
        <f t="shared" si="42"/>
        <v>0</v>
      </c>
      <c r="BJ114" s="315">
        <f t="shared" si="42"/>
        <v>0</v>
      </c>
      <c r="BK114" s="315">
        <f t="shared" si="42"/>
        <v>0</v>
      </c>
      <c r="BL114" s="315">
        <f t="shared" si="42"/>
        <v>0</v>
      </c>
      <c r="BM114" s="315">
        <f t="shared" si="42"/>
        <v>0</v>
      </c>
      <c r="BN114" s="315">
        <f t="shared" si="42"/>
        <v>0</v>
      </c>
      <c r="BO114" s="315">
        <f t="shared" si="42"/>
        <v>0</v>
      </c>
      <c r="BP114" s="315">
        <f t="shared" si="42"/>
        <v>0</v>
      </c>
      <c r="BQ114" s="315">
        <f t="shared" si="42"/>
        <v>0</v>
      </c>
      <c r="BR114" s="315">
        <f t="shared" si="42"/>
        <v>0</v>
      </c>
      <c r="BS114" s="315">
        <f t="shared" si="42"/>
        <v>0</v>
      </c>
      <c r="BT114" s="315">
        <f t="shared" si="42"/>
        <v>0</v>
      </c>
      <c r="BU114" s="315">
        <f t="shared" si="42"/>
        <v>0</v>
      </c>
      <c r="BV114" s="315">
        <f t="shared" si="42"/>
        <v>0</v>
      </c>
      <c r="BW114" s="315">
        <f t="shared" si="42"/>
        <v>0</v>
      </c>
      <c r="BX114" s="315">
        <f t="shared" si="42"/>
        <v>0</v>
      </c>
    </row>
    <row r="115" spans="3:76">
      <c r="C115" s="314" t="s">
        <v>344</v>
      </c>
      <c r="D115" s="323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15"/>
      <c r="AH115" s="315"/>
      <c r="AI115" s="315"/>
      <c r="AJ115" s="315"/>
      <c r="AK115" s="315"/>
      <c r="AL115" s="315"/>
      <c r="AM115" s="315"/>
      <c r="AN115" s="315"/>
      <c r="AO115" s="315"/>
      <c r="AP115" s="315"/>
      <c r="AQ115" s="315"/>
      <c r="AR115" s="315"/>
      <c r="AS115" s="315"/>
      <c r="AT115" s="315"/>
      <c r="AU115" s="315"/>
      <c r="AV115" s="315"/>
      <c r="AW115" s="315"/>
      <c r="AX115" s="315"/>
      <c r="AY115" s="315"/>
      <c r="AZ115" s="315"/>
      <c r="BA115" s="315"/>
      <c r="BB115" s="315"/>
      <c r="BC115" s="315"/>
      <c r="BD115" s="315"/>
      <c r="BE115" s="315"/>
      <c r="BF115" s="315"/>
      <c r="BG115" s="315"/>
      <c r="BH115" s="315"/>
      <c r="BI115" s="315"/>
      <c r="BJ115" s="315"/>
      <c r="BK115" s="315"/>
      <c r="BL115" s="315"/>
      <c r="BM115" s="315"/>
      <c r="BN115" s="315"/>
      <c r="BO115" s="315"/>
      <c r="BP115" s="315"/>
      <c r="BQ115" s="315"/>
      <c r="BR115" s="315"/>
      <c r="BS115" s="315"/>
      <c r="BT115" s="315"/>
      <c r="BU115" s="315"/>
      <c r="BV115" s="315"/>
      <c r="BW115" s="315"/>
      <c r="BX115" s="315">
        <f>IF(D105&gt;0.25,(BX100-BX108)*D117,BX100*D117)</f>
        <v>51804896.260272652</v>
      </c>
    </row>
    <row r="116" spans="3:76">
      <c r="C116" s="314" t="s">
        <v>340</v>
      </c>
      <c r="D116" s="323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15"/>
      <c r="AH116" s="315"/>
      <c r="AI116" s="315"/>
      <c r="AJ116" s="315"/>
      <c r="AK116" s="315"/>
      <c r="AL116" s="315"/>
      <c r="AM116" s="315"/>
      <c r="AN116" s="315"/>
      <c r="AO116" s="315"/>
      <c r="AP116" s="315"/>
      <c r="AQ116" s="315"/>
      <c r="AR116" s="315"/>
      <c r="AS116" s="315"/>
      <c r="AT116" s="315"/>
      <c r="AU116" s="315"/>
      <c r="AV116" s="315"/>
      <c r="AW116" s="315"/>
      <c r="AX116" s="315"/>
      <c r="AY116" s="315"/>
      <c r="AZ116" s="315"/>
      <c r="BA116" s="315"/>
      <c r="BB116" s="315"/>
      <c r="BC116" s="315"/>
      <c r="BD116" s="315"/>
      <c r="BE116" s="315"/>
      <c r="BF116" s="315"/>
      <c r="BG116" s="315"/>
      <c r="BH116" s="315"/>
      <c r="BI116" s="315"/>
      <c r="BJ116" s="315"/>
      <c r="BK116" s="315"/>
      <c r="BL116" s="315"/>
      <c r="BM116" s="315"/>
      <c r="BN116" s="315"/>
      <c r="BO116" s="315"/>
      <c r="BP116" s="315"/>
      <c r="BQ116" s="315"/>
      <c r="BR116" s="315"/>
      <c r="BS116" s="315"/>
      <c r="BT116" s="315"/>
      <c r="BU116" s="315"/>
      <c r="BV116" s="315"/>
      <c r="BW116" s="315"/>
      <c r="BX116" s="315">
        <f>IF(D105&gt;0.25,BX108,0)</f>
        <v>12951224.065068163</v>
      </c>
    </row>
    <row r="117" spans="3:76">
      <c r="C117" s="317" t="s">
        <v>345</v>
      </c>
      <c r="D117" s="323">
        <v>1</v>
      </c>
      <c r="E117" s="246"/>
      <c r="F117" s="246"/>
      <c r="G117" s="246"/>
      <c r="H117" s="246"/>
      <c r="I117" s="246"/>
      <c r="J117" s="246"/>
      <c r="K117" s="246"/>
      <c r="L117" s="246"/>
      <c r="M117" s="246"/>
      <c r="N117" s="246"/>
      <c r="O117" s="246"/>
      <c r="P117" s="246"/>
      <c r="Q117" s="246"/>
      <c r="R117" s="246"/>
      <c r="S117" s="246"/>
      <c r="T117" s="246"/>
      <c r="U117" s="246"/>
      <c r="V117" s="246"/>
      <c r="W117" s="246"/>
      <c r="X117" s="246"/>
      <c r="Y117" s="246"/>
      <c r="Z117" s="246"/>
      <c r="AA117" s="246"/>
      <c r="AB117" s="246"/>
      <c r="AC117" s="246">
        <f>AC100-AC149</f>
        <v>63188620.325340815</v>
      </c>
      <c r="AD117" s="246"/>
      <c r="AE117" s="246"/>
      <c r="AF117" s="246"/>
      <c r="AG117" s="246"/>
      <c r="AH117" s="246"/>
      <c r="AI117" s="246"/>
      <c r="AJ117" s="246"/>
      <c r="AK117" s="246"/>
      <c r="AL117" s="246"/>
      <c r="AM117" s="246"/>
      <c r="AN117" s="246"/>
      <c r="AO117" s="246"/>
      <c r="AP117" s="246"/>
      <c r="AQ117" s="246"/>
      <c r="AR117" s="246"/>
      <c r="AS117" s="246"/>
      <c r="AT117" s="246"/>
      <c r="AU117" s="246"/>
      <c r="AV117" s="246"/>
      <c r="AW117" s="246"/>
      <c r="AX117" s="246"/>
      <c r="AY117" s="246"/>
      <c r="AZ117" s="246"/>
      <c r="BA117" s="246"/>
      <c r="BB117" s="246"/>
      <c r="BC117" s="324"/>
      <c r="BD117" s="246"/>
      <c r="BE117" s="246"/>
      <c r="BF117" s="246"/>
      <c r="BG117" s="246"/>
      <c r="BH117" s="246"/>
      <c r="BI117" s="246"/>
      <c r="BJ117" s="246"/>
      <c r="BK117" s="246"/>
      <c r="BL117" s="246"/>
      <c r="BM117" s="246"/>
      <c r="BN117" s="246"/>
      <c r="BO117" s="246"/>
      <c r="BP117" s="246"/>
      <c r="BQ117" s="246"/>
      <c r="BR117" s="246"/>
      <c r="BS117" s="246"/>
      <c r="BT117" s="246"/>
      <c r="BU117" s="246"/>
      <c r="BV117" s="246"/>
      <c r="BW117" s="246"/>
      <c r="BX117" s="246"/>
    </row>
    <row r="118" spans="3:76">
      <c r="C118" s="314" t="s">
        <v>346</v>
      </c>
      <c r="D118" s="318"/>
      <c r="E118" s="325">
        <f t="shared" ref="E118:BW118" si="43">E112+E113+E114+E115+E117</f>
        <v>0</v>
      </c>
      <c r="F118" s="325">
        <f t="shared" si="43"/>
        <v>0</v>
      </c>
      <c r="G118" s="325">
        <f t="shared" si="43"/>
        <v>0</v>
      </c>
      <c r="H118" s="325">
        <f t="shared" si="43"/>
        <v>-24698335</v>
      </c>
      <c r="I118" s="325">
        <f t="shared" si="43"/>
        <v>0</v>
      </c>
      <c r="J118" s="325">
        <f t="shared" si="43"/>
        <v>-8333333</v>
      </c>
      <c r="K118" s="325">
        <f t="shared" si="43"/>
        <v>-885000</v>
      </c>
      <c r="L118" s="325">
        <f t="shared" si="43"/>
        <v>885000</v>
      </c>
      <c r="M118" s="325">
        <f t="shared" si="43"/>
        <v>0</v>
      </c>
      <c r="N118" s="325">
        <f t="shared" si="43"/>
        <v>0</v>
      </c>
      <c r="O118" s="325">
        <f t="shared" si="43"/>
        <v>0</v>
      </c>
      <c r="P118" s="325">
        <f t="shared" si="43"/>
        <v>0</v>
      </c>
      <c r="Q118" s="325">
        <f t="shared" si="43"/>
        <v>0</v>
      </c>
      <c r="R118" s="325">
        <f t="shared" si="43"/>
        <v>0</v>
      </c>
      <c r="S118" s="325">
        <f t="shared" si="43"/>
        <v>0</v>
      </c>
      <c r="T118" s="325">
        <f t="shared" si="43"/>
        <v>0</v>
      </c>
      <c r="U118" s="325">
        <f t="shared" si="43"/>
        <v>0</v>
      </c>
      <c r="V118" s="325">
        <f t="shared" si="43"/>
        <v>0</v>
      </c>
      <c r="W118" s="325">
        <f t="shared" si="43"/>
        <v>0</v>
      </c>
      <c r="X118" s="325">
        <f t="shared" si="43"/>
        <v>0</v>
      </c>
      <c r="Y118" s="325">
        <f t="shared" si="43"/>
        <v>0</v>
      </c>
      <c r="Z118" s="325">
        <f t="shared" si="43"/>
        <v>0</v>
      </c>
      <c r="AA118" s="325">
        <f t="shared" si="43"/>
        <v>0</v>
      </c>
      <c r="AB118" s="325">
        <f t="shared" si="43"/>
        <v>0</v>
      </c>
      <c r="AC118" s="325">
        <f t="shared" si="43"/>
        <v>87886955.325340807</v>
      </c>
      <c r="AD118" s="325">
        <f t="shared" si="43"/>
        <v>0</v>
      </c>
      <c r="AE118" s="325">
        <f t="shared" si="43"/>
        <v>0</v>
      </c>
      <c r="AF118" s="325">
        <f t="shared" si="43"/>
        <v>0</v>
      </c>
      <c r="AG118" s="325">
        <f t="shared" si="43"/>
        <v>0</v>
      </c>
      <c r="AH118" s="325">
        <f t="shared" si="43"/>
        <v>0</v>
      </c>
      <c r="AI118" s="325">
        <f t="shared" si="43"/>
        <v>0</v>
      </c>
      <c r="AJ118" s="325">
        <f t="shared" si="43"/>
        <v>0</v>
      </c>
      <c r="AK118" s="325">
        <f t="shared" si="43"/>
        <v>0</v>
      </c>
      <c r="AL118" s="325">
        <f t="shared" si="43"/>
        <v>0</v>
      </c>
      <c r="AM118" s="325">
        <f t="shared" si="43"/>
        <v>0</v>
      </c>
      <c r="AN118" s="325">
        <f t="shared" si="43"/>
        <v>0</v>
      </c>
      <c r="AO118" s="325">
        <f t="shared" si="43"/>
        <v>0</v>
      </c>
      <c r="AP118" s="325">
        <f t="shared" si="43"/>
        <v>0</v>
      </c>
      <c r="AQ118" s="325">
        <f t="shared" si="43"/>
        <v>0</v>
      </c>
      <c r="AR118" s="325">
        <f t="shared" si="43"/>
        <v>0</v>
      </c>
      <c r="AS118" s="325">
        <f t="shared" si="43"/>
        <v>0</v>
      </c>
      <c r="AT118" s="325">
        <f t="shared" si="43"/>
        <v>0</v>
      </c>
      <c r="AU118" s="325">
        <f t="shared" si="43"/>
        <v>0</v>
      </c>
      <c r="AV118" s="325">
        <f t="shared" si="43"/>
        <v>0</v>
      </c>
      <c r="AW118" s="325">
        <f t="shared" si="43"/>
        <v>0</v>
      </c>
      <c r="AX118" s="325">
        <f t="shared" si="43"/>
        <v>0</v>
      </c>
      <c r="AY118" s="325">
        <f t="shared" si="43"/>
        <v>0</v>
      </c>
      <c r="AZ118" s="325">
        <f t="shared" si="43"/>
        <v>0</v>
      </c>
      <c r="BA118" s="325">
        <f t="shared" si="43"/>
        <v>0</v>
      </c>
      <c r="BB118" s="325">
        <f t="shared" si="43"/>
        <v>0</v>
      </c>
      <c r="BC118" s="325">
        <f t="shared" si="43"/>
        <v>0</v>
      </c>
      <c r="BD118" s="325">
        <f t="shared" si="43"/>
        <v>0</v>
      </c>
      <c r="BE118" s="325">
        <f t="shared" si="43"/>
        <v>0</v>
      </c>
      <c r="BF118" s="325">
        <f t="shared" si="43"/>
        <v>0</v>
      </c>
      <c r="BG118" s="325">
        <f t="shared" si="43"/>
        <v>0</v>
      </c>
      <c r="BH118" s="325">
        <f t="shared" si="43"/>
        <v>0</v>
      </c>
      <c r="BI118" s="325">
        <f t="shared" si="43"/>
        <v>0</v>
      </c>
      <c r="BJ118" s="325">
        <f t="shared" si="43"/>
        <v>0</v>
      </c>
      <c r="BK118" s="325">
        <f t="shared" si="43"/>
        <v>0</v>
      </c>
      <c r="BL118" s="325">
        <f t="shared" si="43"/>
        <v>0</v>
      </c>
      <c r="BM118" s="325">
        <f t="shared" si="43"/>
        <v>0</v>
      </c>
      <c r="BN118" s="325">
        <f t="shared" si="43"/>
        <v>0</v>
      </c>
      <c r="BO118" s="325">
        <f t="shared" si="43"/>
        <v>0</v>
      </c>
      <c r="BP118" s="325">
        <f t="shared" si="43"/>
        <v>0</v>
      </c>
      <c r="BQ118" s="325">
        <f t="shared" si="43"/>
        <v>0</v>
      </c>
      <c r="BR118" s="325">
        <f t="shared" si="43"/>
        <v>0</v>
      </c>
      <c r="BS118" s="325">
        <f t="shared" si="43"/>
        <v>0</v>
      </c>
      <c r="BT118" s="325">
        <f t="shared" si="43"/>
        <v>0</v>
      </c>
      <c r="BU118" s="325">
        <f t="shared" si="43"/>
        <v>0</v>
      </c>
      <c r="BV118" s="325">
        <f t="shared" si="43"/>
        <v>0</v>
      </c>
      <c r="BW118" s="325">
        <f t="shared" si="43"/>
        <v>0</v>
      </c>
      <c r="BX118" s="325">
        <f>BX112+BX113+BX114+BX115+BX116+BX117</f>
        <v>64756120.325340815</v>
      </c>
    </row>
    <row r="119" spans="3:76">
      <c r="C119" s="317" t="s">
        <v>339</v>
      </c>
      <c r="D119" s="326">
        <f>IRR(E118:BX118)*12</f>
        <v>0.62576608291437363</v>
      </c>
      <c r="E119" s="226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  <c r="AI119" s="226"/>
      <c r="AJ119" s="226"/>
      <c r="AK119" s="226"/>
      <c r="AL119" s="226"/>
      <c r="AM119" s="226"/>
      <c r="AN119" s="226"/>
      <c r="AO119" s="226"/>
      <c r="AP119" s="226"/>
      <c r="AQ119" s="226"/>
      <c r="AR119" s="226"/>
      <c r="AS119" s="226"/>
      <c r="AT119" s="226"/>
      <c r="AU119" s="226"/>
      <c r="AV119" s="226"/>
      <c r="AW119" s="226"/>
      <c r="AX119" s="226"/>
      <c r="AY119" s="226"/>
      <c r="AZ119" s="226"/>
      <c r="BA119" s="226"/>
      <c r="BB119" s="226"/>
      <c r="BC119" s="226"/>
      <c r="BD119" s="226"/>
      <c r="BE119" s="226"/>
      <c r="BF119" s="226"/>
      <c r="BG119" s="226"/>
      <c r="BH119" s="226"/>
      <c r="BI119" s="226"/>
      <c r="BJ119" s="226"/>
      <c r="BK119" s="226"/>
      <c r="BL119" s="226"/>
      <c r="BM119" s="226"/>
      <c r="BN119" s="226"/>
      <c r="BO119" s="226"/>
      <c r="BP119" s="226"/>
      <c r="BQ119" s="226"/>
      <c r="BR119" s="226"/>
      <c r="BS119" s="226"/>
      <c r="BT119" s="226"/>
      <c r="BU119" s="226"/>
      <c r="BV119" s="226"/>
      <c r="BW119" s="226"/>
      <c r="BX119" s="226"/>
    </row>
    <row r="120" spans="3:76">
      <c r="C120" s="327" t="s">
        <v>347</v>
      </c>
      <c r="D120" s="328">
        <f>SUM(BY5:BY6)</f>
        <v>25583335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6"/>
      <c r="BQ120" s="226"/>
      <c r="BR120" s="226"/>
      <c r="BS120" s="226"/>
      <c r="BT120" s="226"/>
      <c r="BU120" s="226"/>
      <c r="BV120" s="226"/>
      <c r="BW120" s="226"/>
      <c r="BX120" s="226"/>
    </row>
    <row r="121" spans="3:76">
      <c r="C121" s="327" t="s">
        <v>348</v>
      </c>
      <c r="D121" s="328">
        <f>-SUM(E113:BM113)</f>
        <v>8333333</v>
      </c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  <c r="BX121" s="226"/>
    </row>
    <row r="122" spans="3:76">
      <c r="C122" s="317" t="s">
        <v>349</v>
      </c>
      <c r="D122" s="329">
        <f>D120+D121</f>
        <v>33916668</v>
      </c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858" t="s">
        <v>625</v>
      </c>
      <c r="T122" s="772"/>
      <c r="U122" s="463"/>
      <c r="V122" s="463">
        <f>AC112+5000000+3333333</f>
        <v>33031668</v>
      </c>
      <c r="W122" s="226" t="s">
        <v>628</v>
      </c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  <c r="BX122" s="226"/>
    </row>
    <row r="123" spans="3:76">
      <c r="C123" s="317" t="s">
        <v>350</v>
      </c>
      <c r="D123" s="329">
        <f>AC117</f>
        <v>63188620.325340815</v>
      </c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858" t="s">
        <v>626</v>
      </c>
      <c r="T123" s="772"/>
      <c r="U123" s="463"/>
      <c r="V123" s="463">
        <f>V122+11000000</f>
        <v>44031668</v>
      </c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Y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  <c r="BX123" s="226"/>
    </row>
    <row r="124" spans="3:76">
      <c r="C124" s="317" t="s">
        <v>351</v>
      </c>
      <c r="D124" s="326">
        <f>(D123-D121)/D122</f>
        <v>1.6173548452737401</v>
      </c>
      <c r="E124" s="226"/>
      <c r="F124" s="242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464" t="s">
        <v>627</v>
      </c>
      <c r="T124" s="464"/>
      <c r="U124" s="464"/>
      <c r="V124" s="464">
        <f>AC118-V123</f>
        <v>43855287.325340807</v>
      </c>
      <c r="W124" s="226"/>
      <c r="X124" s="226"/>
      <c r="Y124" s="226"/>
      <c r="Z124" s="226"/>
      <c r="AA124" s="226"/>
      <c r="AB124" s="226"/>
      <c r="AC124" s="226"/>
      <c r="AD124" s="226"/>
      <c r="AE124" s="226"/>
      <c r="AF124" s="226"/>
      <c r="AG124" s="226"/>
      <c r="AH124" s="226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AY124" s="226"/>
      <c r="AZ124" s="226"/>
      <c r="BA124" s="226"/>
      <c r="BB124" s="226"/>
      <c r="BC124" s="226"/>
      <c r="BD124" s="226"/>
      <c r="BE124" s="226"/>
      <c r="BF124" s="226"/>
      <c r="BG124" s="226"/>
      <c r="BH124" s="226"/>
      <c r="BI124" s="226"/>
      <c r="BJ124" s="226"/>
      <c r="BK124" s="226"/>
      <c r="BL124" s="226"/>
      <c r="BM124" s="226"/>
      <c r="BN124" s="226"/>
      <c r="BO124" s="226"/>
      <c r="BP124" s="226"/>
      <c r="BQ124" s="226"/>
      <c r="BR124" s="226"/>
      <c r="BS124" s="226"/>
      <c r="BT124" s="226"/>
      <c r="BU124" s="226"/>
      <c r="BV124" s="226"/>
      <c r="BW124" s="226"/>
      <c r="BX124" s="226"/>
    </row>
    <row r="130" spans="3:76" hidden="1">
      <c r="C130" s="314" t="s">
        <v>352</v>
      </c>
      <c r="D130" s="315"/>
      <c r="E130" s="315">
        <f t="shared" ref="E130:BX130" si="44">-(E6+E92)</f>
        <v>0</v>
      </c>
      <c r="F130" s="315">
        <f t="shared" si="44"/>
        <v>0</v>
      </c>
      <c r="G130" s="315">
        <f t="shared" si="44"/>
        <v>0</v>
      </c>
      <c r="H130" s="315">
        <f t="shared" si="44"/>
        <v>0</v>
      </c>
      <c r="I130" s="315">
        <f t="shared" si="44"/>
        <v>0</v>
      </c>
      <c r="J130" s="315">
        <f t="shared" si="44"/>
        <v>-8333333</v>
      </c>
      <c r="K130" s="315">
        <f t="shared" si="44"/>
        <v>-885000</v>
      </c>
      <c r="L130" s="315">
        <f t="shared" si="44"/>
        <v>885000</v>
      </c>
      <c r="M130" s="315">
        <f t="shared" si="44"/>
        <v>0</v>
      </c>
      <c r="N130" s="315">
        <f t="shared" si="44"/>
        <v>0</v>
      </c>
      <c r="O130" s="315">
        <f t="shared" si="44"/>
        <v>0</v>
      </c>
      <c r="P130" s="315">
        <f t="shared" si="44"/>
        <v>0</v>
      </c>
      <c r="Q130" s="315">
        <f t="shared" si="44"/>
        <v>0</v>
      </c>
      <c r="R130" s="315">
        <f t="shared" si="44"/>
        <v>0</v>
      </c>
      <c r="S130" s="315">
        <f t="shared" si="44"/>
        <v>0</v>
      </c>
      <c r="T130" s="315">
        <f t="shared" si="44"/>
        <v>0</v>
      </c>
      <c r="U130" s="315">
        <f t="shared" si="44"/>
        <v>0</v>
      </c>
      <c r="V130" s="315">
        <f t="shared" si="44"/>
        <v>0</v>
      </c>
      <c r="W130" s="315">
        <f t="shared" si="44"/>
        <v>0</v>
      </c>
      <c r="X130" s="315">
        <f t="shared" si="44"/>
        <v>0</v>
      </c>
      <c r="Y130" s="315">
        <f t="shared" si="44"/>
        <v>0</v>
      </c>
      <c r="Z130" s="315">
        <f t="shared" si="44"/>
        <v>0</v>
      </c>
      <c r="AA130" s="315">
        <f t="shared" si="44"/>
        <v>0</v>
      </c>
      <c r="AB130" s="315">
        <f t="shared" si="44"/>
        <v>0</v>
      </c>
      <c r="AC130" s="315">
        <f t="shared" si="44"/>
        <v>8333333</v>
      </c>
      <c r="AD130" s="315">
        <f t="shared" si="44"/>
        <v>0</v>
      </c>
      <c r="AE130" s="315">
        <f t="shared" si="44"/>
        <v>0</v>
      </c>
      <c r="AF130" s="315">
        <f t="shared" si="44"/>
        <v>0</v>
      </c>
      <c r="AG130" s="315">
        <f t="shared" si="44"/>
        <v>0</v>
      </c>
      <c r="AH130" s="315">
        <f t="shared" si="44"/>
        <v>0</v>
      </c>
      <c r="AI130" s="315">
        <f t="shared" si="44"/>
        <v>0</v>
      </c>
      <c r="AJ130" s="315">
        <f t="shared" si="44"/>
        <v>0</v>
      </c>
      <c r="AK130" s="315">
        <f t="shared" si="44"/>
        <v>0</v>
      </c>
      <c r="AL130" s="315">
        <f t="shared" si="44"/>
        <v>0</v>
      </c>
      <c r="AM130" s="315">
        <f t="shared" si="44"/>
        <v>0</v>
      </c>
      <c r="AN130" s="315">
        <f t="shared" si="44"/>
        <v>0</v>
      </c>
      <c r="AO130" s="315">
        <f t="shared" si="44"/>
        <v>0</v>
      </c>
      <c r="AP130" s="315">
        <f t="shared" si="44"/>
        <v>0</v>
      </c>
      <c r="AQ130" s="315">
        <f t="shared" si="44"/>
        <v>0</v>
      </c>
      <c r="AR130" s="315">
        <f t="shared" si="44"/>
        <v>0</v>
      </c>
      <c r="AS130" s="315">
        <f t="shared" si="44"/>
        <v>0</v>
      </c>
      <c r="AT130" s="315">
        <f t="shared" si="44"/>
        <v>0</v>
      </c>
      <c r="AU130" s="315">
        <f t="shared" si="44"/>
        <v>0</v>
      </c>
      <c r="AV130" s="315">
        <f t="shared" si="44"/>
        <v>0</v>
      </c>
      <c r="AW130" s="315">
        <f t="shared" si="44"/>
        <v>0</v>
      </c>
      <c r="AX130" s="315">
        <f t="shared" si="44"/>
        <v>0</v>
      </c>
      <c r="AY130" s="315">
        <f t="shared" si="44"/>
        <v>0</v>
      </c>
      <c r="AZ130" s="315">
        <f t="shared" si="44"/>
        <v>0</v>
      </c>
      <c r="BA130" s="315">
        <f t="shared" si="44"/>
        <v>0</v>
      </c>
      <c r="BB130" s="315">
        <f t="shared" si="44"/>
        <v>0</v>
      </c>
      <c r="BC130" s="315">
        <f t="shared" si="44"/>
        <v>0</v>
      </c>
      <c r="BD130" s="315">
        <f t="shared" si="44"/>
        <v>0</v>
      </c>
      <c r="BE130" s="315">
        <f t="shared" si="44"/>
        <v>0</v>
      </c>
      <c r="BF130" s="315">
        <f t="shared" si="44"/>
        <v>0</v>
      </c>
      <c r="BG130" s="315">
        <f t="shared" si="44"/>
        <v>0</v>
      </c>
      <c r="BH130" s="315">
        <f t="shared" si="44"/>
        <v>0</v>
      </c>
      <c r="BI130" s="315">
        <f t="shared" si="44"/>
        <v>0</v>
      </c>
      <c r="BJ130" s="315">
        <f t="shared" si="44"/>
        <v>0</v>
      </c>
      <c r="BK130" s="315">
        <f t="shared" si="44"/>
        <v>0</v>
      </c>
      <c r="BL130" s="315">
        <f t="shared" si="44"/>
        <v>0</v>
      </c>
      <c r="BM130" s="315">
        <f t="shared" si="44"/>
        <v>0</v>
      </c>
      <c r="BN130" s="315">
        <f t="shared" si="44"/>
        <v>0</v>
      </c>
      <c r="BO130" s="315">
        <f t="shared" si="44"/>
        <v>0</v>
      </c>
      <c r="BP130" s="315">
        <f t="shared" si="44"/>
        <v>0</v>
      </c>
      <c r="BQ130" s="315">
        <f t="shared" si="44"/>
        <v>0</v>
      </c>
      <c r="BR130" s="315">
        <f t="shared" si="44"/>
        <v>0</v>
      </c>
      <c r="BS130" s="315">
        <f t="shared" si="44"/>
        <v>0</v>
      </c>
      <c r="BT130" s="315">
        <f t="shared" si="44"/>
        <v>0</v>
      </c>
      <c r="BU130" s="315">
        <f t="shared" si="44"/>
        <v>0</v>
      </c>
      <c r="BV130" s="315">
        <f t="shared" si="44"/>
        <v>0</v>
      </c>
      <c r="BW130" s="315">
        <f t="shared" si="44"/>
        <v>0</v>
      </c>
      <c r="BX130" s="315">
        <f t="shared" si="44"/>
        <v>0</v>
      </c>
    </row>
    <row r="131" spans="3:76" hidden="1">
      <c r="C131" s="314" t="s">
        <v>353</v>
      </c>
      <c r="D131" s="323"/>
      <c r="E131" s="315"/>
      <c r="F131" s="315"/>
      <c r="G131" s="315"/>
      <c r="H131" s="315"/>
      <c r="I131" s="315"/>
      <c r="J131" s="315"/>
      <c r="K131" s="315"/>
      <c r="L131" s="315"/>
      <c r="M131" s="315"/>
      <c r="N131" s="315"/>
      <c r="O131" s="315"/>
      <c r="P131" s="315"/>
      <c r="Q131" s="315"/>
      <c r="R131" s="315"/>
      <c r="S131" s="315"/>
      <c r="T131" s="315"/>
      <c r="U131" s="315"/>
      <c r="V131" s="315"/>
      <c r="W131" s="315"/>
      <c r="X131" s="315"/>
      <c r="Y131" s="315"/>
      <c r="Z131" s="315"/>
      <c r="AA131" s="315"/>
      <c r="AB131" s="315"/>
      <c r="AC131" s="315"/>
      <c r="AD131" s="315"/>
      <c r="AE131" s="315"/>
      <c r="AF131" s="315"/>
      <c r="AG131" s="315"/>
      <c r="AH131" s="315"/>
      <c r="AI131" s="315"/>
      <c r="AJ131" s="315"/>
      <c r="AK131" s="315"/>
      <c r="AL131" s="315"/>
      <c r="AM131" s="315"/>
      <c r="AN131" s="315"/>
      <c r="AO131" s="315"/>
      <c r="AP131" s="315"/>
      <c r="AQ131" s="315"/>
      <c r="AR131" s="315"/>
      <c r="AS131" s="315"/>
      <c r="AT131" s="315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</row>
    <row r="132" spans="3:76" hidden="1">
      <c r="C132" s="314" t="s">
        <v>343</v>
      </c>
      <c r="D132" s="323"/>
      <c r="E132" s="315">
        <f t="shared" ref="E132:BX132" si="45">-E57</f>
        <v>0</v>
      </c>
      <c r="F132" s="315">
        <f t="shared" si="45"/>
        <v>0</v>
      </c>
      <c r="G132" s="315">
        <f t="shared" si="45"/>
        <v>0</v>
      </c>
      <c r="H132" s="315">
        <f t="shared" si="45"/>
        <v>0</v>
      </c>
      <c r="I132" s="315">
        <f t="shared" si="45"/>
        <v>0</v>
      </c>
      <c r="J132" s="315">
        <f t="shared" si="45"/>
        <v>0</v>
      </c>
      <c r="K132" s="315">
        <f t="shared" si="45"/>
        <v>0</v>
      </c>
      <c r="L132" s="315">
        <f t="shared" si="45"/>
        <v>8112.5</v>
      </c>
      <c r="M132" s="315">
        <f t="shared" si="45"/>
        <v>0</v>
      </c>
      <c r="N132" s="315">
        <f t="shared" si="45"/>
        <v>0</v>
      </c>
      <c r="O132" s="315">
        <f t="shared" si="45"/>
        <v>0</v>
      </c>
      <c r="P132" s="315">
        <f t="shared" si="45"/>
        <v>0</v>
      </c>
      <c r="Q132" s="315">
        <f t="shared" si="45"/>
        <v>0</v>
      </c>
      <c r="R132" s="315">
        <f t="shared" si="45"/>
        <v>0</v>
      </c>
      <c r="S132" s="315">
        <f t="shared" si="45"/>
        <v>0</v>
      </c>
      <c r="T132" s="315">
        <f t="shared" si="45"/>
        <v>0</v>
      </c>
      <c r="U132" s="315">
        <f t="shared" si="45"/>
        <v>0</v>
      </c>
      <c r="V132" s="315">
        <f t="shared" si="45"/>
        <v>0</v>
      </c>
      <c r="W132" s="315">
        <f t="shared" si="45"/>
        <v>0</v>
      </c>
      <c r="X132" s="315">
        <f t="shared" si="45"/>
        <v>0</v>
      </c>
      <c r="Y132" s="315">
        <f t="shared" si="45"/>
        <v>0</v>
      </c>
      <c r="Z132" s="315">
        <f t="shared" si="45"/>
        <v>0</v>
      </c>
      <c r="AA132" s="315">
        <f t="shared" si="45"/>
        <v>0</v>
      </c>
      <c r="AB132" s="315">
        <f t="shared" si="45"/>
        <v>0</v>
      </c>
      <c r="AC132" s="315">
        <f t="shared" si="45"/>
        <v>0</v>
      </c>
      <c r="AD132" s="315">
        <f t="shared" si="45"/>
        <v>0</v>
      </c>
      <c r="AE132" s="315">
        <f t="shared" si="45"/>
        <v>0</v>
      </c>
      <c r="AF132" s="315">
        <f t="shared" si="45"/>
        <v>0</v>
      </c>
      <c r="AG132" s="315">
        <f t="shared" si="45"/>
        <v>0</v>
      </c>
      <c r="AH132" s="315">
        <f t="shared" si="45"/>
        <v>0</v>
      </c>
      <c r="AI132" s="315">
        <f t="shared" si="45"/>
        <v>0</v>
      </c>
      <c r="AJ132" s="315">
        <f t="shared" si="45"/>
        <v>0</v>
      </c>
      <c r="AK132" s="315">
        <f t="shared" si="45"/>
        <v>0</v>
      </c>
      <c r="AL132" s="315">
        <f t="shared" si="45"/>
        <v>0</v>
      </c>
      <c r="AM132" s="315">
        <f t="shared" si="45"/>
        <v>0</v>
      </c>
      <c r="AN132" s="315">
        <f t="shared" si="45"/>
        <v>0</v>
      </c>
      <c r="AO132" s="315">
        <f t="shared" si="45"/>
        <v>0</v>
      </c>
      <c r="AP132" s="315">
        <f t="shared" si="45"/>
        <v>0</v>
      </c>
      <c r="AQ132" s="315">
        <f t="shared" si="45"/>
        <v>0</v>
      </c>
      <c r="AR132" s="315">
        <f t="shared" si="45"/>
        <v>0</v>
      </c>
      <c r="AS132" s="315">
        <f t="shared" si="45"/>
        <v>0</v>
      </c>
      <c r="AT132" s="315">
        <f t="shared" si="45"/>
        <v>0</v>
      </c>
      <c r="AU132" s="315">
        <f t="shared" si="45"/>
        <v>0</v>
      </c>
      <c r="AV132" s="315">
        <f t="shared" si="45"/>
        <v>0</v>
      </c>
      <c r="AW132" s="315">
        <f t="shared" si="45"/>
        <v>0</v>
      </c>
      <c r="AX132" s="315">
        <f t="shared" si="45"/>
        <v>0</v>
      </c>
      <c r="AY132" s="315">
        <f t="shared" si="45"/>
        <v>0</v>
      </c>
      <c r="AZ132" s="315">
        <f t="shared" si="45"/>
        <v>0</v>
      </c>
      <c r="BA132" s="315">
        <f t="shared" si="45"/>
        <v>0</v>
      </c>
      <c r="BB132" s="315">
        <f t="shared" si="45"/>
        <v>0</v>
      </c>
      <c r="BC132" s="315">
        <f t="shared" si="45"/>
        <v>0</v>
      </c>
      <c r="BD132" s="315">
        <f t="shared" si="45"/>
        <v>0</v>
      </c>
      <c r="BE132" s="315">
        <f t="shared" si="45"/>
        <v>0</v>
      </c>
      <c r="BF132" s="315">
        <f t="shared" si="45"/>
        <v>0</v>
      </c>
      <c r="BG132" s="315">
        <f t="shared" si="45"/>
        <v>0</v>
      </c>
      <c r="BH132" s="315">
        <f t="shared" si="45"/>
        <v>0</v>
      </c>
      <c r="BI132" s="315">
        <f t="shared" si="45"/>
        <v>0</v>
      </c>
      <c r="BJ132" s="315">
        <f t="shared" si="45"/>
        <v>0</v>
      </c>
      <c r="BK132" s="315">
        <f t="shared" si="45"/>
        <v>0</v>
      </c>
      <c r="BL132" s="315">
        <f t="shared" si="45"/>
        <v>0</v>
      </c>
      <c r="BM132" s="315">
        <f t="shared" si="45"/>
        <v>0</v>
      </c>
      <c r="BN132" s="315">
        <f t="shared" si="45"/>
        <v>0</v>
      </c>
      <c r="BO132" s="315">
        <f t="shared" si="45"/>
        <v>0</v>
      </c>
      <c r="BP132" s="315">
        <f t="shared" si="45"/>
        <v>0</v>
      </c>
      <c r="BQ132" s="315">
        <f t="shared" si="45"/>
        <v>0</v>
      </c>
      <c r="BR132" s="315">
        <f t="shared" si="45"/>
        <v>0</v>
      </c>
      <c r="BS132" s="315">
        <f t="shared" si="45"/>
        <v>0</v>
      </c>
      <c r="BT132" s="315">
        <f t="shared" si="45"/>
        <v>0</v>
      </c>
      <c r="BU132" s="315">
        <f t="shared" si="45"/>
        <v>0</v>
      </c>
      <c r="BV132" s="315">
        <f t="shared" si="45"/>
        <v>0</v>
      </c>
      <c r="BW132" s="315">
        <f t="shared" si="45"/>
        <v>0</v>
      </c>
      <c r="BX132" s="315">
        <f t="shared" si="45"/>
        <v>0</v>
      </c>
    </row>
    <row r="133" spans="3:76" hidden="1">
      <c r="C133" s="314" t="s">
        <v>344</v>
      </c>
      <c r="D133" s="323"/>
      <c r="E133" s="315"/>
      <c r="F133" s="315"/>
      <c r="G133" s="315"/>
      <c r="H133" s="315"/>
      <c r="I133" s="315"/>
      <c r="J133" s="315"/>
      <c r="K133" s="315"/>
      <c r="L133" s="315"/>
      <c r="M133" s="315"/>
      <c r="N133" s="315"/>
      <c r="O133" s="315"/>
      <c r="P133" s="315"/>
      <c r="Q133" s="315"/>
      <c r="R133" s="315"/>
      <c r="S133" s="315"/>
      <c r="T133" s="315">
        <f>T100-T178-T194-T210</f>
        <v>-1378269.4565420169</v>
      </c>
      <c r="U133" s="315"/>
      <c r="V133" s="315"/>
      <c r="W133" s="315"/>
      <c r="X133" s="315"/>
      <c r="Y133" s="315"/>
      <c r="Z133" s="315"/>
      <c r="AA133" s="315"/>
      <c r="AB133" s="315"/>
      <c r="AC133" s="315"/>
      <c r="AD133" s="315"/>
      <c r="AE133" s="315"/>
      <c r="AF133" s="315"/>
      <c r="AG133" s="315"/>
      <c r="AH133" s="315"/>
      <c r="AI133" s="315"/>
      <c r="AJ133" s="315"/>
      <c r="AK133" s="315"/>
      <c r="AL133" s="315"/>
      <c r="AM133" s="315"/>
      <c r="AN133" s="315"/>
      <c r="AO133" s="315"/>
      <c r="AP133" s="315"/>
      <c r="AQ133" s="315"/>
      <c r="AR133" s="315"/>
      <c r="AS133" s="315"/>
      <c r="AT133" s="315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>
        <f>IF(D105&gt;0.25,(BX100-BX108)*D134,BX100*D134)</f>
        <v>0</v>
      </c>
    </row>
    <row r="134" spans="3:76" hidden="1">
      <c r="C134" s="317" t="s">
        <v>345</v>
      </c>
      <c r="D134" s="323">
        <v>0</v>
      </c>
      <c r="E134" s="246"/>
      <c r="F134" s="246"/>
      <c r="G134" s="246"/>
      <c r="H134" s="246"/>
      <c r="I134" s="246"/>
      <c r="J134" s="246"/>
      <c r="K134" s="246"/>
      <c r="L134" s="246"/>
      <c r="M134" s="246"/>
      <c r="N134" s="246"/>
      <c r="O134" s="246"/>
      <c r="P134" s="246"/>
      <c r="Q134" s="246"/>
      <c r="R134" s="246"/>
      <c r="S134" s="246"/>
      <c r="T134" s="246"/>
      <c r="U134" s="246"/>
      <c r="V134" s="246"/>
      <c r="W134" s="246"/>
      <c r="X134" s="246"/>
      <c r="Y134" s="246"/>
      <c r="Z134" s="246"/>
      <c r="AA134" s="246"/>
      <c r="AB134" s="246"/>
      <c r="AC134" s="246"/>
      <c r="AD134" s="246"/>
      <c r="AE134" s="246"/>
      <c r="AF134" s="246"/>
      <c r="AG134" s="246"/>
      <c r="AH134" s="246"/>
      <c r="AI134" s="246"/>
      <c r="AJ134" s="246"/>
      <c r="AK134" s="246"/>
      <c r="AL134" s="246"/>
      <c r="AM134" s="246"/>
      <c r="AN134" s="246"/>
      <c r="AO134" s="246"/>
      <c r="AP134" s="246"/>
      <c r="AQ134" s="246"/>
      <c r="AR134" s="246"/>
      <c r="AS134" s="246"/>
      <c r="AT134" s="246"/>
      <c r="AU134" s="246"/>
      <c r="AV134" s="246"/>
      <c r="AW134" s="246"/>
      <c r="AX134" s="246"/>
      <c r="AY134" s="246"/>
      <c r="AZ134" s="246"/>
      <c r="BA134" s="246"/>
      <c r="BB134" s="246"/>
      <c r="BC134" s="246"/>
      <c r="BD134" s="246"/>
      <c r="BE134" s="246"/>
      <c r="BF134" s="246"/>
      <c r="BG134" s="246"/>
      <c r="BH134" s="246"/>
      <c r="BI134" s="246"/>
      <c r="BJ134" s="246"/>
      <c r="BK134" s="246"/>
      <c r="BL134" s="246"/>
      <c r="BM134" s="246"/>
      <c r="BN134" s="246"/>
      <c r="BO134" s="246"/>
      <c r="BP134" s="246"/>
      <c r="BQ134" s="246"/>
      <c r="BR134" s="246"/>
      <c r="BS134" s="246"/>
      <c r="BT134" s="246"/>
      <c r="BU134" s="246"/>
      <c r="BV134" s="246"/>
      <c r="BW134" s="246"/>
      <c r="BX134" s="246"/>
    </row>
    <row r="135" spans="3:76" hidden="1">
      <c r="C135" s="314" t="s">
        <v>346</v>
      </c>
      <c r="D135" s="315"/>
      <c r="E135" s="325">
        <f t="shared" ref="E135:BX135" si="46">E130+E131+E132+E133+E134</f>
        <v>0</v>
      </c>
      <c r="F135" s="325">
        <f t="shared" si="46"/>
        <v>0</v>
      </c>
      <c r="G135" s="325">
        <f t="shared" si="46"/>
        <v>0</v>
      </c>
      <c r="H135" s="325">
        <f t="shared" si="46"/>
        <v>0</v>
      </c>
      <c r="I135" s="325">
        <f t="shared" si="46"/>
        <v>0</v>
      </c>
      <c r="J135" s="325">
        <f t="shared" si="46"/>
        <v>-8333333</v>
      </c>
      <c r="K135" s="325">
        <f t="shared" si="46"/>
        <v>-885000</v>
      </c>
      <c r="L135" s="325">
        <f t="shared" si="46"/>
        <v>893112.5</v>
      </c>
      <c r="M135" s="325">
        <f t="shared" si="46"/>
        <v>0</v>
      </c>
      <c r="N135" s="325">
        <f t="shared" si="46"/>
        <v>0</v>
      </c>
      <c r="O135" s="325">
        <f t="shared" si="46"/>
        <v>0</v>
      </c>
      <c r="P135" s="325">
        <f t="shared" si="46"/>
        <v>0</v>
      </c>
      <c r="Q135" s="325">
        <f t="shared" si="46"/>
        <v>0</v>
      </c>
      <c r="R135" s="325">
        <f t="shared" si="46"/>
        <v>0</v>
      </c>
      <c r="S135" s="325">
        <f t="shared" si="46"/>
        <v>0</v>
      </c>
      <c r="T135" s="325">
        <f t="shared" si="46"/>
        <v>-1378269.4565420169</v>
      </c>
      <c r="U135" s="325">
        <f t="shared" si="46"/>
        <v>0</v>
      </c>
      <c r="V135" s="325">
        <f t="shared" si="46"/>
        <v>0</v>
      </c>
      <c r="W135" s="325">
        <f t="shared" si="46"/>
        <v>0</v>
      </c>
      <c r="X135" s="325">
        <f t="shared" si="46"/>
        <v>0</v>
      </c>
      <c r="Y135" s="325">
        <f t="shared" si="46"/>
        <v>0</v>
      </c>
      <c r="Z135" s="325">
        <f t="shared" si="46"/>
        <v>0</v>
      </c>
      <c r="AA135" s="325">
        <f t="shared" si="46"/>
        <v>0</v>
      </c>
      <c r="AB135" s="325">
        <f t="shared" si="46"/>
        <v>0</v>
      </c>
      <c r="AC135" s="325">
        <f t="shared" si="46"/>
        <v>8333333</v>
      </c>
      <c r="AD135" s="325">
        <f t="shared" si="46"/>
        <v>0</v>
      </c>
      <c r="AE135" s="325">
        <f t="shared" si="46"/>
        <v>0</v>
      </c>
      <c r="AF135" s="325">
        <f t="shared" si="46"/>
        <v>0</v>
      </c>
      <c r="AG135" s="325">
        <f t="shared" si="46"/>
        <v>0</v>
      </c>
      <c r="AH135" s="325">
        <f t="shared" si="46"/>
        <v>0</v>
      </c>
      <c r="AI135" s="325">
        <f t="shared" si="46"/>
        <v>0</v>
      </c>
      <c r="AJ135" s="325">
        <f t="shared" si="46"/>
        <v>0</v>
      </c>
      <c r="AK135" s="325">
        <f t="shared" si="46"/>
        <v>0</v>
      </c>
      <c r="AL135" s="325">
        <f t="shared" si="46"/>
        <v>0</v>
      </c>
      <c r="AM135" s="325">
        <f t="shared" si="46"/>
        <v>0</v>
      </c>
      <c r="AN135" s="325">
        <f t="shared" si="46"/>
        <v>0</v>
      </c>
      <c r="AO135" s="325">
        <f t="shared" si="46"/>
        <v>0</v>
      </c>
      <c r="AP135" s="325">
        <f t="shared" si="46"/>
        <v>0</v>
      </c>
      <c r="AQ135" s="325">
        <f t="shared" si="46"/>
        <v>0</v>
      </c>
      <c r="AR135" s="325">
        <f t="shared" si="46"/>
        <v>0</v>
      </c>
      <c r="AS135" s="325">
        <f t="shared" si="46"/>
        <v>0</v>
      </c>
      <c r="AT135" s="325">
        <f t="shared" si="46"/>
        <v>0</v>
      </c>
      <c r="AU135" s="325">
        <f t="shared" si="46"/>
        <v>0</v>
      </c>
      <c r="AV135" s="325">
        <f t="shared" si="46"/>
        <v>0</v>
      </c>
      <c r="AW135" s="325">
        <f t="shared" si="46"/>
        <v>0</v>
      </c>
      <c r="AX135" s="325">
        <f t="shared" si="46"/>
        <v>0</v>
      </c>
      <c r="AY135" s="325">
        <f t="shared" si="46"/>
        <v>0</v>
      </c>
      <c r="AZ135" s="325">
        <f t="shared" si="46"/>
        <v>0</v>
      </c>
      <c r="BA135" s="325">
        <f t="shared" si="46"/>
        <v>0</v>
      </c>
      <c r="BB135" s="325">
        <f t="shared" si="46"/>
        <v>0</v>
      </c>
      <c r="BC135" s="325">
        <f t="shared" si="46"/>
        <v>0</v>
      </c>
      <c r="BD135" s="325">
        <f t="shared" si="46"/>
        <v>0</v>
      </c>
      <c r="BE135" s="325">
        <f t="shared" si="46"/>
        <v>0</v>
      </c>
      <c r="BF135" s="325">
        <f t="shared" si="46"/>
        <v>0</v>
      </c>
      <c r="BG135" s="325">
        <f t="shared" si="46"/>
        <v>0</v>
      </c>
      <c r="BH135" s="325">
        <f t="shared" si="46"/>
        <v>0</v>
      </c>
      <c r="BI135" s="325">
        <f t="shared" si="46"/>
        <v>0</v>
      </c>
      <c r="BJ135" s="325">
        <f t="shared" si="46"/>
        <v>0</v>
      </c>
      <c r="BK135" s="325">
        <f t="shared" si="46"/>
        <v>0</v>
      </c>
      <c r="BL135" s="325">
        <f t="shared" si="46"/>
        <v>0</v>
      </c>
      <c r="BM135" s="325">
        <f t="shared" si="46"/>
        <v>0</v>
      </c>
      <c r="BN135" s="325">
        <f t="shared" si="46"/>
        <v>0</v>
      </c>
      <c r="BO135" s="325">
        <f t="shared" si="46"/>
        <v>0</v>
      </c>
      <c r="BP135" s="325">
        <f t="shared" si="46"/>
        <v>0</v>
      </c>
      <c r="BQ135" s="325">
        <f t="shared" si="46"/>
        <v>0</v>
      </c>
      <c r="BR135" s="325">
        <f t="shared" si="46"/>
        <v>0</v>
      </c>
      <c r="BS135" s="325">
        <f t="shared" si="46"/>
        <v>0</v>
      </c>
      <c r="BT135" s="325">
        <f t="shared" si="46"/>
        <v>0</v>
      </c>
      <c r="BU135" s="325">
        <f t="shared" si="46"/>
        <v>0</v>
      </c>
      <c r="BV135" s="325">
        <f t="shared" si="46"/>
        <v>0</v>
      </c>
      <c r="BW135" s="325">
        <f t="shared" si="46"/>
        <v>0</v>
      </c>
      <c r="BX135" s="325">
        <f t="shared" si="46"/>
        <v>0</v>
      </c>
    </row>
    <row r="136" spans="3:76" hidden="1">
      <c r="C136" s="318"/>
      <c r="D136" s="326" t="s">
        <v>354</v>
      </c>
      <c r="E136" s="330">
        <f>E135</f>
        <v>0</v>
      </c>
      <c r="F136" s="330">
        <f t="shared" ref="F136:BX136" si="47">E136+F135</f>
        <v>0</v>
      </c>
      <c r="G136" s="330">
        <f t="shared" si="47"/>
        <v>0</v>
      </c>
      <c r="H136" s="330">
        <f t="shared" si="47"/>
        <v>0</v>
      </c>
      <c r="I136" s="330">
        <f t="shared" si="47"/>
        <v>0</v>
      </c>
      <c r="J136" s="330">
        <f t="shared" si="47"/>
        <v>-8333333</v>
      </c>
      <c r="K136" s="330">
        <f t="shared" si="47"/>
        <v>-9218333</v>
      </c>
      <c r="L136" s="330">
        <f t="shared" si="47"/>
        <v>-8325220.5</v>
      </c>
      <c r="M136" s="330">
        <f t="shared" si="47"/>
        <v>-8325220.5</v>
      </c>
      <c r="N136" s="330">
        <f t="shared" si="47"/>
        <v>-8325220.5</v>
      </c>
      <c r="O136" s="330">
        <f t="shared" si="47"/>
        <v>-8325220.5</v>
      </c>
      <c r="P136" s="330">
        <f t="shared" si="47"/>
        <v>-8325220.5</v>
      </c>
      <c r="Q136" s="330">
        <f t="shared" si="47"/>
        <v>-8325220.5</v>
      </c>
      <c r="R136" s="330">
        <f t="shared" si="47"/>
        <v>-8325220.5</v>
      </c>
      <c r="S136" s="330">
        <f t="shared" si="47"/>
        <v>-8325220.5</v>
      </c>
      <c r="T136" s="330">
        <f t="shared" si="47"/>
        <v>-9703489.9565420169</v>
      </c>
      <c r="U136" s="330">
        <f t="shared" si="47"/>
        <v>-9703489.9565420169</v>
      </c>
      <c r="V136" s="330">
        <f t="shared" si="47"/>
        <v>-9703489.9565420169</v>
      </c>
      <c r="W136" s="330">
        <f t="shared" si="47"/>
        <v>-9703489.9565420169</v>
      </c>
      <c r="X136" s="330">
        <f t="shared" si="47"/>
        <v>-9703489.9565420169</v>
      </c>
      <c r="Y136" s="330">
        <f t="shared" si="47"/>
        <v>-9703489.9565420169</v>
      </c>
      <c r="Z136" s="330">
        <f t="shared" si="47"/>
        <v>-9703489.9565420169</v>
      </c>
      <c r="AA136" s="330">
        <f t="shared" si="47"/>
        <v>-9703489.9565420169</v>
      </c>
      <c r="AB136" s="330">
        <f t="shared" si="47"/>
        <v>-9703489.9565420169</v>
      </c>
      <c r="AC136" s="330">
        <f t="shared" si="47"/>
        <v>-1370156.9565420169</v>
      </c>
      <c r="AD136" s="330">
        <f t="shared" si="47"/>
        <v>-1370156.9565420169</v>
      </c>
      <c r="AE136" s="330">
        <f t="shared" si="47"/>
        <v>-1370156.9565420169</v>
      </c>
      <c r="AF136" s="330">
        <f t="shared" si="47"/>
        <v>-1370156.9565420169</v>
      </c>
      <c r="AG136" s="330">
        <f t="shared" si="47"/>
        <v>-1370156.9565420169</v>
      </c>
      <c r="AH136" s="330">
        <f t="shared" si="47"/>
        <v>-1370156.9565420169</v>
      </c>
      <c r="AI136" s="330">
        <f t="shared" si="47"/>
        <v>-1370156.9565420169</v>
      </c>
      <c r="AJ136" s="330">
        <f t="shared" si="47"/>
        <v>-1370156.9565420169</v>
      </c>
      <c r="AK136" s="330">
        <f t="shared" si="47"/>
        <v>-1370156.9565420169</v>
      </c>
      <c r="AL136" s="330">
        <f t="shared" si="47"/>
        <v>-1370156.9565420169</v>
      </c>
      <c r="AM136" s="330">
        <f t="shared" si="47"/>
        <v>-1370156.9565420169</v>
      </c>
      <c r="AN136" s="330">
        <f t="shared" si="47"/>
        <v>-1370156.9565420169</v>
      </c>
      <c r="AO136" s="330">
        <f t="shared" si="47"/>
        <v>-1370156.9565420169</v>
      </c>
      <c r="AP136" s="330">
        <f t="shared" si="47"/>
        <v>-1370156.9565420169</v>
      </c>
      <c r="AQ136" s="330">
        <f t="shared" si="47"/>
        <v>-1370156.9565420169</v>
      </c>
      <c r="AR136" s="330">
        <f t="shared" si="47"/>
        <v>-1370156.9565420169</v>
      </c>
      <c r="AS136" s="330">
        <f t="shared" si="47"/>
        <v>-1370156.9565420169</v>
      </c>
      <c r="AT136" s="330">
        <f t="shared" si="47"/>
        <v>-1370156.9565420169</v>
      </c>
      <c r="AU136" s="330">
        <f t="shared" si="47"/>
        <v>-1370156.9565420169</v>
      </c>
      <c r="AV136" s="330">
        <f t="shared" si="47"/>
        <v>-1370156.9565420169</v>
      </c>
      <c r="AW136" s="330">
        <f t="shared" si="47"/>
        <v>-1370156.9565420169</v>
      </c>
      <c r="AX136" s="330">
        <f t="shared" si="47"/>
        <v>-1370156.9565420169</v>
      </c>
      <c r="AY136" s="330">
        <f t="shared" si="47"/>
        <v>-1370156.9565420169</v>
      </c>
      <c r="AZ136" s="330">
        <f t="shared" si="47"/>
        <v>-1370156.9565420169</v>
      </c>
      <c r="BA136" s="330">
        <f t="shared" si="47"/>
        <v>-1370156.9565420169</v>
      </c>
      <c r="BB136" s="330">
        <f t="shared" si="47"/>
        <v>-1370156.9565420169</v>
      </c>
      <c r="BC136" s="330">
        <f t="shared" si="47"/>
        <v>-1370156.9565420169</v>
      </c>
      <c r="BD136" s="330">
        <f t="shared" si="47"/>
        <v>-1370156.9565420169</v>
      </c>
      <c r="BE136" s="330">
        <f t="shared" si="47"/>
        <v>-1370156.9565420169</v>
      </c>
      <c r="BF136" s="330">
        <f t="shared" si="47"/>
        <v>-1370156.9565420169</v>
      </c>
      <c r="BG136" s="330">
        <f t="shared" si="47"/>
        <v>-1370156.9565420169</v>
      </c>
      <c r="BH136" s="330">
        <f t="shared" si="47"/>
        <v>-1370156.9565420169</v>
      </c>
      <c r="BI136" s="330">
        <f t="shared" si="47"/>
        <v>-1370156.9565420169</v>
      </c>
      <c r="BJ136" s="330">
        <f t="shared" si="47"/>
        <v>-1370156.9565420169</v>
      </c>
      <c r="BK136" s="330">
        <f t="shared" si="47"/>
        <v>-1370156.9565420169</v>
      </c>
      <c r="BL136" s="330">
        <f t="shared" si="47"/>
        <v>-1370156.9565420169</v>
      </c>
      <c r="BM136" s="330">
        <f t="shared" si="47"/>
        <v>-1370156.9565420169</v>
      </c>
      <c r="BN136" s="330">
        <f t="shared" si="47"/>
        <v>-1370156.9565420169</v>
      </c>
      <c r="BO136" s="330">
        <f t="shared" si="47"/>
        <v>-1370156.9565420169</v>
      </c>
      <c r="BP136" s="330">
        <f t="shared" si="47"/>
        <v>-1370156.9565420169</v>
      </c>
      <c r="BQ136" s="330">
        <f t="shared" si="47"/>
        <v>-1370156.9565420169</v>
      </c>
      <c r="BR136" s="330">
        <f t="shared" si="47"/>
        <v>-1370156.9565420169</v>
      </c>
      <c r="BS136" s="330">
        <f t="shared" si="47"/>
        <v>-1370156.9565420169</v>
      </c>
      <c r="BT136" s="330">
        <f t="shared" si="47"/>
        <v>-1370156.9565420169</v>
      </c>
      <c r="BU136" s="330">
        <f t="shared" si="47"/>
        <v>-1370156.9565420169</v>
      </c>
      <c r="BV136" s="330">
        <f t="shared" si="47"/>
        <v>-1370156.9565420169</v>
      </c>
      <c r="BW136" s="330">
        <f t="shared" si="47"/>
        <v>-1370156.9565420169</v>
      </c>
      <c r="BX136" s="330">
        <f t="shared" si="47"/>
        <v>-1370156.9565420169</v>
      </c>
    </row>
    <row r="137" spans="3:76" hidden="1">
      <c r="C137" s="317" t="s">
        <v>339</v>
      </c>
      <c r="D137" s="326">
        <f>IRR(E135:BX135)*12</f>
        <v>-0.10323044673149129</v>
      </c>
      <c r="E137" s="226"/>
      <c r="F137" s="226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  <c r="AD137" s="226"/>
      <c r="AE137" s="226"/>
      <c r="AF137" s="226"/>
      <c r="AG137" s="226"/>
      <c r="AH137" s="226"/>
      <c r="AI137" s="226"/>
      <c r="AJ137" s="226"/>
      <c r="AK137" s="226"/>
      <c r="AL137" s="226"/>
      <c r="AM137" s="226"/>
      <c r="AN137" s="226"/>
      <c r="AO137" s="226"/>
      <c r="AP137" s="226"/>
      <c r="AQ137" s="226"/>
      <c r="AR137" s="226"/>
      <c r="AS137" s="226"/>
      <c r="AT137" s="226"/>
      <c r="AU137" s="226"/>
      <c r="AV137" s="226"/>
      <c r="AW137" s="226"/>
      <c r="AX137" s="226"/>
      <c r="AY137" s="226"/>
      <c r="AZ137" s="226"/>
      <c r="BA137" s="226"/>
      <c r="BB137" s="226"/>
      <c r="BC137" s="226"/>
      <c r="BD137" s="226"/>
      <c r="BE137" s="226"/>
      <c r="BF137" s="226"/>
      <c r="BG137" s="226"/>
      <c r="BH137" s="226"/>
      <c r="BI137" s="226"/>
      <c r="BJ137" s="226"/>
      <c r="BK137" s="226"/>
      <c r="BL137" s="226"/>
      <c r="BM137" s="226"/>
      <c r="BN137" s="226"/>
      <c r="BO137" s="226"/>
      <c r="BP137" s="226"/>
      <c r="BQ137" s="226"/>
      <c r="BR137" s="226"/>
      <c r="BS137" s="226"/>
      <c r="BT137" s="226"/>
      <c r="BU137" s="226"/>
      <c r="BV137" s="226"/>
      <c r="BW137" s="226"/>
      <c r="BX137" s="226"/>
    </row>
    <row r="138" spans="3:76" hidden="1">
      <c r="C138" s="327" t="s">
        <v>347</v>
      </c>
      <c r="D138" s="328">
        <f>-MIN(E130:BL130)</f>
        <v>8333333</v>
      </c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  <c r="BU138" s="226"/>
      <c r="BV138" s="226"/>
      <c r="BW138" s="226"/>
      <c r="BX138" s="226"/>
    </row>
    <row r="139" spans="3:76" hidden="1">
      <c r="C139" s="327" t="s">
        <v>348</v>
      </c>
      <c r="D139" s="328">
        <f>-SUM(M134:BB134)</f>
        <v>0</v>
      </c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6"/>
      <c r="BN139" s="226"/>
      <c r="BO139" s="226"/>
      <c r="BP139" s="226"/>
      <c r="BQ139" s="226"/>
      <c r="BR139" s="226"/>
      <c r="BS139" s="226"/>
      <c r="BT139" s="226"/>
      <c r="BU139" s="226"/>
      <c r="BV139" s="226"/>
      <c r="BW139" s="226"/>
      <c r="BX139" s="226"/>
    </row>
    <row r="140" spans="3:76" hidden="1">
      <c r="C140" s="317" t="s">
        <v>349</v>
      </c>
      <c r="D140" s="329">
        <f>D139+D138</f>
        <v>8333333</v>
      </c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  <c r="BU140" s="226"/>
      <c r="BV140" s="226"/>
      <c r="BW140" s="226"/>
      <c r="BX140" s="226"/>
    </row>
    <row r="141" spans="3:76" hidden="1">
      <c r="C141" s="317" t="s">
        <v>350</v>
      </c>
      <c r="D141" s="329">
        <f>BX132+BX133</f>
        <v>0</v>
      </c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AY141" s="226"/>
      <c r="AZ141" s="226"/>
      <c r="BA141" s="226"/>
      <c r="BB141" s="226"/>
      <c r="BC141" s="226"/>
      <c r="BD141" s="226"/>
      <c r="BE141" s="226"/>
      <c r="BF141" s="226"/>
      <c r="BG141" s="226"/>
      <c r="BH141" s="226"/>
      <c r="BI141" s="226"/>
      <c r="BJ141" s="226"/>
      <c r="BK141" s="226"/>
      <c r="BL141" s="226"/>
      <c r="BM141" s="226"/>
      <c r="BN141" s="226"/>
      <c r="BO141" s="226"/>
      <c r="BP141" s="226"/>
      <c r="BQ141" s="226"/>
      <c r="BR141" s="226"/>
      <c r="BS141" s="226"/>
      <c r="BT141" s="226"/>
      <c r="BU141" s="226"/>
      <c r="BV141" s="226"/>
      <c r="BW141" s="226"/>
      <c r="BX141" s="226"/>
    </row>
    <row r="142" spans="3:76" hidden="1">
      <c r="C142" s="317" t="s">
        <v>351</v>
      </c>
      <c r="D142" s="326">
        <f>(D141-D139)/D140</f>
        <v>0</v>
      </c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  <c r="AY142" s="226"/>
      <c r="AZ142" s="226"/>
      <c r="BA142" s="226"/>
      <c r="BB142" s="226"/>
      <c r="BC142" s="226"/>
      <c r="BD142" s="226"/>
      <c r="BE142" s="226"/>
      <c r="BF142" s="226"/>
      <c r="BG142" s="226"/>
      <c r="BH142" s="226"/>
      <c r="BI142" s="226"/>
      <c r="BJ142" s="226"/>
      <c r="BK142" s="226"/>
      <c r="BL142" s="226"/>
      <c r="BM142" s="226"/>
      <c r="BN142" s="226"/>
      <c r="BO142" s="226"/>
      <c r="BP142" s="226"/>
      <c r="BQ142" s="226"/>
      <c r="BR142" s="226"/>
      <c r="BS142" s="226"/>
      <c r="BT142" s="226"/>
      <c r="BU142" s="226"/>
      <c r="BV142" s="226"/>
      <c r="BW142" s="226"/>
      <c r="BX142" s="226"/>
    </row>
    <row r="145" spans="3:76">
      <c r="C145" s="314" t="s">
        <v>629</v>
      </c>
      <c r="D145" s="315"/>
      <c r="E145" s="315">
        <f t="shared" ref="E145:AC145" si="48">-(E7+E93)</f>
        <v>0</v>
      </c>
      <c r="F145" s="315">
        <f t="shared" si="48"/>
        <v>0</v>
      </c>
      <c r="G145" s="315">
        <f t="shared" si="48"/>
        <v>0</v>
      </c>
      <c r="H145" s="315">
        <f t="shared" si="48"/>
        <v>0</v>
      </c>
      <c r="I145" s="315">
        <f t="shared" si="48"/>
        <v>0</v>
      </c>
      <c r="J145" s="315">
        <f t="shared" si="48"/>
        <v>0</v>
      </c>
      <c r="K145" s="315">
        <f t="shared" si="48"/>
        <v>0</v>
      </c>
      <c r="L145" s="315">
        <f t="shared" si="48"/>
        <v>-9000000</v>
      </c>
      <c r="M145" s="315">
        <f t="shared" si="48"/>
        <v>0</v>
      </c>
      <c r="N145" s="315">
        <f t="shared" si="48"/>
        <v>0</v>
      </c>
      <c r="O145" s="315">
        <f t="shared" si="48"/>
        <v>0</v>
      </c>
      <c r="P145" s="315">
        <f t="shared" si="48"/>
        <v>0</v>
      </c>
      <c r="Q145" s="315">
        <f t="shared" si="48"/>
        <v>0</v>
      </c>
      <c r="R145" s="315">
        <f t="shared" si="48"/>
        <v>0</v>
      </c>
      <c r="S145" s="315">
        <f t="shared" si="48"/>
        <v>0</v>
      </c>
      <c r="T145" s="315">
        <f t="shared" si="48"/>
        <v>0</v>
      </c>
      <c r="U145" s="315">
        <f t="shared" si="48"/>
        <v>0</v>
      </c>
      <c r="V145" s="315">
        <f t="shared" si="48"/>
        <v>0</v>
      </c>
      <c r="W145" s="315">
        <f t="shared" si="48"/>
        <v>0</v>
      </c>
      <c r="X145" s="315">
        <f t="shared" si="48"/>
        <v>0</v>
      </c>
      <c r="Y145" s="315">
        <f t="shared" si="48"/>
        <v>0</v>
      </c>
      <c r="Z145" s="315">
        <f t="shared" si="48"/>
        <v>0</v>
      </c>
      <c r="AA145" s="315">
        <f t="shared" si="48"/>
        <v>0</v>
      </c>
      <c r="AB145" s="315">
        <f t="shared" si="48"/>
        <v>0</v>
      </c>
      <c r="AC145" s="315">
        <f t="shared" si="48"/>
        <v>9000000</v>
      </c>
      <c r="AD145" s="315">
        <f t="shared" ref="AD145:BX145" si="49">-(AD21+AD107)</f>
        <v>0</v>
      </c>
      <c r="AE145" s="315">
        <f t="shared" si="49"/>
        <v>0</v>
      </c>
      <c r="AF145" s="315">
        <f t="shared" si="49"/>
        <v>0</v>
      </c>
      <c r="AG145" s="315">
        <f t="shared" si="49"/>
        <v>0</v>
      </c>
      <c r="AH145" s="315">
        <f t="shared" si="49"/>
        <v>0</v>
      </c>
      <c r="AI145" s="315">
        <f t="shared" si="49"/>
        <v>0</v>
      </c>
      <c r="AJ145" s="315">
        <f t="shared" si="49"/>
        <v>0</v>
      </c>
      <c r="AK145" s="315">
        <f t="shared" si="49"/>
        <v>0</v>
      </c>
      <c r="AL145" s="315">
        <f t="shared" si="49"/>
        <v>0</v>
      </c>
      <c r="AM145" s="315">
        <f t="shared" si="49"/>
        <v>0</v>
      </c>
      <c r="AN145" s="315">
        <f t="shared" si="49"/>
        <v>0</v>
      </c>
      <c r="AO145" s="315">
        <f t="shared" si="49"/>
        <v>0</v>
      </c>
      <c r="AP145" s="315">
        <f t="shared" si="49"/>
        <v>0</v>
      </c>
      <c r="AQ145" s="315">
        <f t="shared" si="49"/>
        <v>0</v>
      </c>
      <c r="AR145" s="315">
        <f t="shared" si="49"/>
        <v>0</v>
      </c>
      <c r="AS145" s="315">
        <f t="shared" si="49"/>
        <v>0</v>
      </c>
      <c r="AT145" s="315">
        <f t="shared" si="49"/>
        <v>0</v>
      </c>
      <c r="AU145" s="315">
        <f t="shared" si="49"/>
        <v>0</v>
      </c>
      <c r="AV145" s="315">
        <f t="shared" si="49"/>
        <v>0</v>
      </c>
      <c r="AW145" s="315">
        <f t="shared" si="49"/>
        <v>0</v>
      </c>
      <c r="AX145" s="315">
        <f t="shared" si="49"/>
        <v>0</v>
      </c>
      <c r="AY145" s="315">
        <f t="shared" si="49"/>
        <v>0</v>
      </c>
      <c r="AZ145" s="315">
        <f t="shared" si="49"/>
        <v>0</v>
      </c>
      <c r="BA145" s="315">
        <f t="shared" si="49"/>
        <v>0</v>
      </c>
      <c r="BB145" s="315">
        <f t="shared" si="49"/>
        <v>0</v>
      </c>
      <c r="BC145" s="315">
        <f t="shared" si="49"/>
        <v>0</v>
      </c>
      <c r="BD145" s="315">
        <f t="shared" si="49"/>
        <v>0</v>
      </c>
      <c r="BE145" s="315">
        <f t="shared" si="49"/>
        <v>0</v>
      </c>
      <c r="BF145" s="315">
        <f t="shared" si="49"/>
        <v>0</v>
      </c>
      <c r="BG145" s="315">
        <f t="shared" si="49"/>
        <v>0</v>
      </c>
      <c r="BH145" s="315">
        <f t="shared" si="49"/>
        <v>0</v>
      </c>
      <c r="BI145" s="315">
        <f t="shared" si="49"/>
        <v>0</v>
      </c>
      <c r="BJ145" s="315">
        <f t="shared" si="49"/>
        <v>0</v>
      </c>
      <c r="BK145" s="315">
        <f t="shared" si="49"/>
        <v>0</v>
      </c>
      <c r="BL145" s="315">
        <f t="shared" si="49"/>
        <v>0</v>
      </c>
      <c r="BM145" s="315">
        <f t="shared" si="49"/>
        <v>0</v>
      </c>
      <c r="BN145" s="315">
        <f t="shared" si="49"/>
        <v>0</v>
      </c>
      <c r="BO145" s="315">
        <f t="shared" si="49"/>
        <v>0</v>
      </c>
      <c r="BP145" s="315">
        <f t="shared" si="49"/>
        <v>0</v>
      </c>
      <c r="BQ145" s="315">
        <f t="shared" si="49"/>
        <v>0</v>
      </c>
      <c r="BR145" s="315">
        <f t="shared" si="49"/>
        <v>0</v>
      </c>
      <c r="BS145" s="315">
        <f t="shared" si="49"/>
        <v>0</v>
      </c>
      <c r="BT145" s="315">
        <f t="shared" si="49"/>
        <v>0</v>
      </c>
      <c r="BU145" s="315">
        <f t="shared" si="49"/>
        <v>0</v>
      </c>
      <c r="BV145" s="315">
        <f t="shared" si="49"/>
        <v>0</v>
      </c>
      <c r="BW145" s="315">
        <f t="shared" si="49"/>
        <v>0</v>
      </c>
      <c r="BX145" s="315">
        <f t="shared" si="49"/>
        <v>0</v>
      </c>
    </row>
    <row r="146" spans="3:76">
      <c r="C146" s="314" t="s">
        <v>353</v>
      </c>
      <c r="D146" s="323"/>
      <c r="E146" s="315"/>
      <c r="F146" s="315"/>
      <c r="G146" s="315"/>
      <c r="H146" s="315"/>
      <c r="I146" s="315"/>
      <c r="J146" s="315"/>
      <c r="K146" s="315"/>
      <c r="L146" s="315"/>
      <c r="M146" s="315"/>
      <c r="N146" s="315"/>
      <c r="O146" s="315"/>
      <c r="P146" s="315"/>
      <c r="Q146" s="315"/>
      <c r="R146" s="315"/>
      <c r="S146" s="315"/>
      <c r="T146" s="315"/>
      <c r="U146" s="315"/>
      <c r="V146" s="315"/>
      <c r="W146" s="315"/>
      <c r="X146" s="315"/>
      <c r="Y146" s="315"/>
      <c r="Z146" s="315"/>
      <c r="AA146" s="315"/>
      <c r="AB146" s="315"/>
      <c r="AC146" s="315"/>
      <c r="AD146" s="315"/>
      <c r="AE146" s="315"/>
      <c r="AF146" s="315"/>
      <c r="AG146" s="315"/>
      <c r="AH146" s="315"/>
      <c r="AI146" s="315"/>
      <c r="AJ146" s="315"/>
      <c r="AK146" s="315"/>
      <c r="AL146" s="315"/>
      <c r="AM146" s="315"/>
      <c r="AN146" s="315"/>
      <c r="AO146" s="315"/>
      <c r="AP146" s="315"/>
      <c r="AQ146" s="315"/>
      <c r="AR146" s="315"/>
      <c r="AS146" s="315"/>
      <c r="AT146" s="315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</row>
    <row r="147" spans="3:76">
      <c r="C147" s="314" t="s">
        <v>343</v>
      </c>
      <c r="D147" s="323"/>
      <c r="E147" s="315">
        <f t="shared" ref="E147:AC147" si="50">-E58</f>
        <v>0</v>
      </c>
      <c r="F147" s="315">
        <f t="shared" si="50"/>
        <v>0</v>
      </c>
      <c r="G147" s="315">
        <f t="shared" si="50"/>
        <v>0</v>
      </c>
      <c r="H147" s="315">
        <f t="shared" si="50"/>
        <v>0</v>
      </c>
      <c r="I147" s="315">
        <f t="shared" si="50"/>
        <v>0</v>
      </c>
      <c r="J147" s="315">
        <f t="shared" si="50"/>
        <v>0</v>
      </c>
      <c r="K147" s="315">
        <f t="shared" si="50"/>
        <v>0</v>
      </c>
      <c r="L147" s="315">
        <f t="shared" si="50"/>
        <v>0</v>
      </c>
      <c r="M147" s="315">
        <f t="shared" si="50"/>
        <v>0</v>
      </c>
      <c r="N147" s="315">
        <f t="shared" si="50"/>
        <v>0</v>
      </c>
      <c r="O147" s="315">
        <f t="shared" si="50"/>
        <v>0</v>
      </c>
      <c r="P147" s="315">
        <f t="shared" si="50"/>
        <v>0</v>
      </c>
      <c r="Q147" s="315">
        <f t="shared" si="50"/>
        <v>0</v>
      </c>
      <c r="R147" s="315">
        <f t="shared" si="50"/>
        <v>0</v>
      </c>
      <c r="S147" s="315">
        <f t="shared" si="50"/>
        <v>0</v>
      </c>
      <c r="T147" s="315">
        <f t="shared" si="50"/>
        <v>0</v>
      </c>
      <c r="U147" s="315">
        <f t="shared" si="50"/>
        <v>0</v>
      </c>
      <c r="V147" s="315">
        <f t="shared" si="50"/>
        <v>0</v>
      </c>
      <c r="W147" s="315">
        <f t="shared" si="50"/>
        <v>0</v>
      </c>
      <c r="X147" s="315">
        <f t="shared" si="50"/>
        <v>0</v>
      </c>
      <c r="Y147" s="315">
        <f t="shared" si="50"/>
        <v>0</v>
      </c>
      <c r="Z147" s="315">
        <f t="shared" si="50"/>
        <v>0</v>
      </c>
      <c r="AA147" s="315">
        <f t="shared" si="50"/>
        <v>0</v>
      </c>
      <c r="AB147" s="315">
        <f t="shared" si="50"/>
        <v>0</v>
      </c>
      <c r="AC147" s="315">
        <f t="shared" si="50"/>
        <v>1485000</v>
      </c>
      <c r="AD147" s="315">
        <f t="shared" ref="AD147:BX147" si="51">-AD72</f>
        <v>0</v>
      </c>
      <c r="AE147" s="315">
        <f t="shared" si="51"/>
        <v>0</v>
      </c>
      <c r="AF147" s="315">
        <f t="shared" si="51"/>
        <v>0</v>
      </c>
      <c r="AG147" s="315">
        <f t="shared" si="51"/>
        <v>0</v>
      </c>
      <c r="AH147" s="315">
        <f t="shared" si="51"/>
        <v>0</v>
      </c>
      <c r="AI147" s="315">
        <f t="shared" si="51"/>
        <v>0</v>
      </c>
      <c r="AJ147" s="315">
        <f t="shared" si="51"/>
        <v>0</v>
      </c>
      <c r="AK147" s="315">
        <f t="shared" si="51"/>
        <v>0</v>
      </c>
      <c r="AL147" s="315">
        <f t="shared" si="51"/>
        <v>0</v>
      </c>
      <c r="AM147" s="315">
        <f t="shared" si="51"/>
        <v>0</v>
      </c>
      <c r="AN147" s="315">
        <f t="shared" si="51"/>
        <v>0</v>
      </c>
      <c r="AO147" s="315">
        <f t="shared" si="51"/>
        <v>0</v>
      </c>
      <c r="AP147" s="315">
        <f t="shared" si="51"/>
        <v>0</v>
      </c>
      <c r="AQ147" s="315">
        <f t="shared" si="51"/>
        <v>0</v>
      </c>
      <c r="AR147" s="315">
        <f t="shared" si="51"/>
        <v>0</v>
      </c>
      <c r="AS147" s="315">
        <f t="shared" si="51"/>
        <v>0</v>
      </c>
      <c r="AT147" s="315">
        <f t="shared" si="51"/>
        <v>0</v>
      </c>
      <c r="AU147" s="315">
        <f t="shared" si="51"/>
        <v>0</v>
      </c>
      <c r="AV147" s="315">
        <f t="shared" si="51"/>
        <v>0</v>
      </c>
      <c r="AW147" s="315">
        <f t="shared" si="51"/>
        <v>0</v>
      </c>
      <c r="AX147" s="315">
        <f t="shared" si="51"/>
        <v>0</v>
      </c>
      <c r="AY147" s="315">
        <f t="shared" si="51"/>
        <v>0</v>
      </c>
      <c r="AZ147" s="315">
        <f t="shared" si="51"/>
        <v>0</v>
      </c>
      <c r="BA147" s="315">
        <f t="shared" si="51"/>
        <v>0</v>
      </c>
      <c r="BB147" s="315">
        <f t="shared" si="51"/>
        <v>0</v>
      </c>
      <c r="BC147" s="315">
        <f t="shared" si="51"/>
        <v>0</v>
      </c>
      <c r="BD147" s="315">
        <f t="shared" si="51"/>
        <v>0</v>
      </c>
      <c r="BE147" s="315">
        <f t="shared" si="51"/>
        <v>0</v>
      </c>
      <c r="BF147" s="315">
        <f t="shared" si="51"/>
        <v>0</v>
      </c>
      <c r="BG147" s="315">
        <f t="shared" si="51"/>
        <v>0</v>
      </c>
      <c r="BH147" s="315">
        <f t="shared" si="51"/>
        <v>0</v>
      </c>
      <c r="BI147" s="315">
        <f t="shared" si="51"/>
        <v>0</v>
      </c>
      <c r="BJ147" s="315">
        <f t="shared" si="51"/>
        <v>0</v>
      </c>
      <c r="BK147" s="315">
        <f t="shared" si="51"/>
        <v>0</v>
      </c>
      <c r="BL147" s="315">
        <f t="shared" si="51"/>
        <v>0</v>
      </c>
      <c r="BM147" s="315">
        <f t="shared" si="51"/>
        <v>0</v>
      </c>
      <c r="BN147" s="315">
        <f t="shared" si="51"/>
        <v>0</v>
      </c>
      <c r="BO147" s="315">
        <f t="shared" si="51"/>
        <v>0</v>
      </c>
      <c r="BP147" s="315">
        <f t="shared" si="51"/>
        <v>0</v>
      </c>
      <c r="BQ147" s="315">
        <f t="shared" si="51"/>
        <v>0</v>
      </c>
      <c r="BR147" s="315">
        <f t="shared" si="51"/>
        <v>0</v>
      </c>
      <c r="BS147" s="315">
        <f t="shared" si="51"/>
        <v>0</v>
      </c>
      <c r="BT147" s="315">
        <f t="shared" si="51"/>
        <v>0</v>
      </c>
      <c r="BU147" s="315">
        <f t="shared" si="51"/>
        <v>0</v>
      </c>
      <c r="BV147" s="315">
        <f t="shared" si="51"/>
        <v>0</v>
      </c>
      <c r="BW147" s="315">
        <f t="shared" si="51"/>
        <v>0</v>
      </c>
      <c r="BX147" s="315">
        <f t="shared" si="51"/>
        <v>0</v>
      </c>
    </row>
    <row r="148" spans="3:76">
      <c r="C148" s="314" t="s">
        <v>344</v>
      </c>
      <c r="D148" s="323"/>
      <c r="E148" s="315"/>
      <c r="F148" s="315"/>
      <c r="G148" s="315"/>
      <c r="H148" s="315"/>
      <c r="I148" s="315"/>
      <c r="J148" s="315"/>
      <c r="K148" s="315"/>
      <c r="L148" s="315"/>
      <c r="M148" s="315"/>
      <c r="N148" s="315"/>
      <c r="O148" s="315"/>
      <c r="P148" s="315"/>
      <c r="Q148" s="315"/>
      <c r="R148" s="315"/>
      <c r="S148" s="315"/>
      <c r="T148" s="315">
        <f>T115-T193-T209-T225</f>
        <v>0</v>
      </c>
      <c r="U148" s="315"/>
      <c r="V148" s="315"/>
      <c r="W148" s="315"/>
      <c r="X148" s="315"/>
      <c r="Y148" s="315"/>
      <c r="Z148" s="315"/>
      <c r="AA148" s="315"/>
      <c r="AB148" s="315"/>
      <c r="AC148" s="315"/>
      <c r="AD148" s="315"/>
      <c r="AE148" s="315"/>
      <c r="AF148" s="315"/>
      <c r="AG148" s="315"/>
      <c r="AH148" s="315"/>
      <c r="AI148" s="315"/>
      <c r="AJ148" s="315"/>
      <c r="AK148" s="315"/>
      <c r="AL148" s="315"/>
      <c r="AM148" s="315"/>
      <c r="AN148" s="315"/>
      <c r="AO148" s="315"/>
      <c r="AP148" s="315"/>
      <c r="AQ148" s="315"/>
      <c r="AR148" s="315"/>
      <c r="AS148" s="315"/>
      <c r="AT148" s="315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>
        <f>IF(D120&gt;0.25,(BX115-BX123)*D149,BX115*D149)</f>
        <v>0</v>
      </c>
    </row>
    <row r="149" spans="3:76">
      <c r="C149" s="317" t="s">
        <v>345</v>
      </c>
      <c r="D149" s="323">
        <v>0</v>
      </c>
      <c r="E149" s="246"/>
      <c r="F149" s="246"/>
      <c r="G149" s="246"/>
      <c r="H149" s="246"/>
      <c r="I149" s="246"/>
      <c r="J149" s="246"/>
      <c r="K149" s="246"/>
      <c r="L149" s="246"/>
      <c r="M149" s="246"/>
      <c r="N149" s="246"/>
      <c r="O149" s="246"/>
      <c r="P149" s="246"/>
      <c r="Q149" s="246"/>
      <c r="R149" s="246"/>
      <c r="S149" s="246"/>
      <c r="T149" s="246"/>
      <c r="U149" s="246"/>
      <c r="V149" s="246"/>
      <c r="W149" s="246"/>
      <c r="X149" s="246"/>
      <c r="Y149" s="246"/>
      <c r="Z149" s="246"/>
      <c r="AA149" s="246"/>
      <c r="AB149" s="246"/>
      <c r="AC149" s="246">
        <v>1567500</v>
      </c>
      <c r="AD149" s="246"/>
      <c r="AE149" s="246"/>
      <c r="AF149" s="246"/>
      <c r="AG149" s="246"/>
      <c r="AH149" s="246"/>
      <c r="AI149" s="246"/>
      <c r="AJ149" s="246"/>
      <c r="AK149" s="246"/>
      <c r="AL149" s="246"/>
      <c r="AM149" s="246"/>
      <c r="AN149" s="246"/>
      <c r="AO149" s="246"/>
      <c r="AP149" s="246"/>
      <c r="AQ149" s="246"/>
      <c r="AR149" s="246"/>
      <c r="AS149" s="246"/>
      <c r="AT149" s="246"/>
      <c r="AU149" s="246"/>
      <c r="AV149" s="246"/>
      <c r="AW149" s="246"/>
      <c r="AX149" s="246"/>
      <c r="AY149" s="246"/>
      <c r="AZ149" s="246"/>
      <c r="BA149" s="246"/>
      <c r="BB149" s="246"/>
      <c r="BC149" s="246"/>
      <c r="BD149" s="246"/>
      <c r="BE149" s="246"/>
      <c r="BF149" s="246"/>
      <c r="BG149" s="246"/>
      <c r="BH149" s="246"/>
      <c r="BI149" s="246"/>
      <c r="BJ149" s="246"/>
      <c r="BK149" s="246"/>
      <c r="BL149" s="246"/>
      <c r="BM149" s="246"/>
      <c r="BN149" s="246"/>
      <c r="BO149" s="246"/>
      <c r="BP149" s="246"/>
      <c r="BQ149" s="246"/>
      <c r="BR149" s="246"/>
      <c r="BS149" s="246"/>
      <c r="BT149" s="246"/>
      <c r="BU149" s="246"/>
      <c r="BV149" s="246"/>
      <c r="BW149" s="246"/>
      <c r="BX149" s="246"/>
    </row>
    <row r="150" spans="3:76">
      <c r="C150" s="314" t="s">
        <v>346</v>
      </c>
      <c r="D150" s="315"/>
      <c r="E150" s="325">
        <f t="shared" ref="E150:BX150" si="52">E145+E146+E147+E148+E149</f>
        <v>0</v>
      </c>
      <c r="F150" s="325">
        <f t="shared" si="52"/>
        <v>0</v>
      </c>
      <c r="G150" s="325">
        <f t="shared" si="52"/>
        <v>0</v>
      </c>
      <c r="H150" s="325">
        <f t="shared" si="52"/>
        <v>0</v>
      </c>
      <c r="I150" s="325">
        <f t="shared" si="52"/>
        <v>0</v>
      </c>
      <c r="J150" s="325">
        <f t="shared" si="52"/>
        <v>0</v>
      </c>
      <c r="K150" s="325">
        <f t="shared" si="52"/>
        <v>0</v>
      </c>
      <c r="L150" s="325">
        <f t="shared" si="52"/>
        <v>-9000000</v>
      </c>
      <c r="M150" s="325">
        <f t="shared" si="52"/>
        <v>0</v>
      </c>
      <c r="N150" s="325">
        <f t="shared" si="52"/>
        <v>0</v>
      </c>
      <c r="O150" s="325">
        <f t="shared" si="52"/>
        <v>0</v>
      </c>
      <c r="P150" s="325">
        <f t="shared" si="52"/>
        <v>0</v>
      </c>
      <c r="Q150" s="325">
        <f t="shared" si="52"/>
        <v>0</v>
      </c>
      <c r="R150" s="325">
        <f t="shared" si="52"/>
        <v>0</v>
      </c>
      <c r="S150" s="325">
        <f t="shared" si="52"/>
        <v>0</v>
      </c>
      <c r="T150" s="325">
        <f t="shared" si="52"/>
        <v>0</v>
      </c>
      <c r="U150" s="325">
        <f t="shared" si="52"/>
        <v>0</v>
      </c>
      <c r="V150" s="325">
        <f t="shared" si="52"/>
        <v>0</v>
      </c>
      <c r="W150" s="325">
        <f t="shared" si="52"/>
        <v>0</v>
      </c>
      <c r="X150" s="325">
        <f t="shared" si="52"/>
        <v>0</v>
      </c>
      <c r="Y150" s="325">
        <f t="shared" si="52"/>
        <v>0</v>
      </c>
      <c r="Z150" s="325">
        <f t="shared" si="52"/>
        <v>0</v>
      </c>
      <c r="AA150" s="325">
        <f t="shared" si="52"/>
        <v>0</v>
      </c>
      <c r="AB150" s="325">
        <f t="shared" si="52"/>
        <v>0</v>
      </c>
      <c r="AC150" s="325">
        <f t="shared" si="52"/>
        <v>12052500</v>
      </c>
      <c r="AD150" s="325">
        <f t="shared" si="52"/>
        <v>0</v>
      </c>
      <c r="AE150" s="325">
        <f t="shared" si="52"/>
        <v>0</v>
      </c>
      <c r="AF150" s="325">
        <f t="shared" si="52"/>
        <v>0</v>
      </c>
      <c r="AG150" s="325">
        <f t="shared" si="52"/>
        <v>0</v>
      </c>
      <c r="AH150" s="325">
        <f t="shared" si="52"/>
        <v>0</v>
      </c>
      <c r="AI150" s="325">
        <f t="shared" si="52"/>
        <v>0</v>
      </c>
      <c r="AJ150" s="325">
        <f t="shared" si="52"/>
        <v>0</v>
      </c>
      <c r="AK150" s="325">
        <f t="shared" si="52"/>
        <v>0</v>
      </c>
      <c r="AL150" s="325">
        <f t="shared" si="52"/>
        <v>0</v>
      </c>
      <c r="AM150" s="325">
        <f t="shared" si="52"/>
        <v>0</v>
      </c>
      <c r="AN150" s="325">
        <f t="shared" si="52"/>
        <v>0</v>
      </c>
      <c r="AO150" s="325">
        <f t="shared" si="52"/>
        <v>0</v>
      </c>
      <c r="AP150" s="325">
        <f t="shared" si="52"/>
        <v>0</v>
      </c>
      <c r="AQ150" s="325">
        <f t="shared" si="52"/>
        <v>0</v>
      </c>
      <c r="AR150" s="325">
        <f t="shared" si="52"/>
        <v>0</v>
      </c>
      <c r="AS150" s="325">
        <f t="shared" si="52"/>
        <v>0</v>
      </c>
      <c r="AT150" s="325">
        <f t="shared" si="52"/>
        <v>0</v>
      </c>
      <c r="AU150" s="325">
        <f t="shared" si="52"/>
        <v>0</v>
      </c>
      <c r="AV150" s="325">
        <f t="shared" si="52"/>
        <v>0</v>
      </c>
      <c r="AW150" s="325">
        <f t="shared" si="52"/>
        <v>0</v>
      </c>
      <c r="AX150" s="325">
        <f t="shared" si="52"/>
        <v>0</v>
      </c>
      <c r="AY150" s="325">
        <f t="shared" si="52"/>
        <v>0</v>
      </c>
      <c r="AZ150" s="325">
        <f t="shared" si="52"/>
        <v>0</v>
      </c>
      <c r="BA150" s="325">
        <f t="shared" si="52"/>
        <v>0</v>
      </c>
      <c r="BB150" s="325">
        <f t="shared" si="52"/>
        <v>0</v>
      </c>
      <c r="BC150" s="325">
        <f t="shared" si="52"/>
        <v>0</v>
      </c>
      <c r="BD150" s="325">
        <f t="shared" si="52"/>
        <v>0</v>
      </c>
      <c r="BE150" s="325">
        <f t="shared" si="52"/>
        <v>0</v>
      </c>
      <c r="BF150" s="325">
        <f t="shared" si="52"/>
        <v>0</v>
      </c>
      <c r="BG150" s="325">
        <f t="shared" si="52"/>
        <v>0</v>
      </c>
      <c r="BH150" s="325">
        <f t="shared" si="52"/>
        <v>0</v>
      </c>
      <c r="BI150" s="325">
        <f t="shared" si="52"/>
        <v>0</v>
      </c>
      <c r="BJ150" s="325">
        <f t="shared" si="52"/>
        <v>0</v>
      </c>
      <c r="BK150" s="325">
        <f t="shared" si="52"/>
        <v>0</v>
      </c>
      <c r="BL150" s="325">
        <f t="shared" si="52"/>
        <v>0</v>
      </c>
      <c r="BM150" s="325">
        <f t="shared" si="52"/>
        <v>0</v>
      </c>
      <c r="BN150" s="325">
        <f t="shared" si="52"/>
        <v>0</v>
      </c>
      <c r="BO150" s="325">
        <f t="shared" si="52"/>
        <v>0</v>
      </c>
      <c r="BP150" s="325">
        <f t="shared" si="52"/>
        <v>0</v>
      </c>
      <c r="BQ150" s="325">
        <f t="shared" si="52"/>
        <v>0</v>
      </c>
      <c r="BR150" s="325">
        <f t="shared" si="52"/>
        <v>0</v>
      </c>
      <c r="BS150" s="325">
        <f t="shared" si="52"/>
        <v>0</v>
      </c>
      <c r="BT150" s="325">
        <f t="shared" si="52"/>
        <v>0</v>
      </c>
      <c r="BU150" s="325">
        <f t="shared" si="52"/>
        <v>0</v>
      </c>
      <c r="BV150" s="325">
        <f t="shared" si="52"/>
        <v>0</v>
      </c>
      <c r="BW150" s="325">
        <f t="shared" si="52"/>
        <v>0</v>
      </c>
      <c r="BX150" s="325">
        <f t="shared" si="52"/>
        <v>0</v>
      </c>
    </row>
    <row r="151" spans="3:76">
      <c r="C151" s="318"/>
      <c r="D151" s="326" t="s">
        <v>354</v>
      </c>
      <c r="E151" s="330">
        <f>E150</f>
        <v>0</v>
      </c>
      <c r="F151" s="330">
        <f t="shared" ref="F151:BX151" si="53">E151+F150</f>
        <v>0</v>
      </c>
      <c r="G151" s="330">
        <f t="shared" si="53"/>
        <v>0</v>
      </c>
      <c r="H151" s="330">
        <f t="shared" si="53"/>
        <v>0</v>
      </c>
      <c r="I151" s="330">
        <f t="shared" si="53"/>
        <v>0</v>
      </c>
      <c r="J151" s="330">
        <f t="shared" si="53"/>
        <v>0</v>
      </c>
      <c r="K151" s="330">
        <f t="shared" si="53"/>
        <v>0</v>
      </c>
      <c r="L151" s="330">
        <f t="shared" si="53"/>
        <v>-9000000</v>
      </c>
      <c r="M151" s="330">
        <f t="shared" si="53"/>
        <v>-9000000</v>
      </c>
      <c r="N151" s="330">
        <f t="shared" si="53"/>
        <v>-9000000</v>
      </c>
      <c r="O151" s="330">
        <f t="shared" si="53"/>
        <v>-9000000</v>
      </c>
      <c r="P151" s="330">
        <f t="shared" si="53"/>
        <v>-9000000</v>
      </c>
      <c r="Q151" s="330">
        <f t="shared" si="53"/>
        <v>-9000000</v>
      </c>
      <c r="R151" s="330">
        <f t="shared" si="53"/>
        <v>-9000000</v>
      </c>
      <c r="S151" s="330">
        <f t="shared" si="53"/>
        <v>-9000000</v>
      </c>
      <c r="T151" s="330">
        <f t="shared" si="53"/>
        <v>-9000000</v>
      </c>
      <c r="U151" s="330">
        <f t="shared" si="53"/>
        <v>-9000000</v>
      </c>
      <c r="V151" s="330">
        <f t="shared" si="53"/>
        <v>-9000000</v>
      </c>
      <c r="W151" s="330">
        <f t="shared" si="53"/>
        <v>-9000000</v>
      </c>
      <c r="X151" s="330">
        <f t="shared" si="53"/>
        <v>-9000000</v>
      </c>
      <c r="Y151" s="330">
        <f t="shared" si="53"/>
        <v>-9000000</v>
      </c>
      <c r="Z151" s="330">
        <f t="shared" si="53"/>
        <v>-9000000</v>
      </c>
      <c r="AA151" s="330">
        <f t="shared" si="53"/>
        <v>-9000000</v>
      </c>
      <c r="AB151" s="330">
        <f t="shared" si="53"/>
        <v>-9000000</v>
      </c>
      <c r="AC151" s="330">
        <f t="shared" si="53"/>
        <v>3052500</v>
      </c>
      <c r="AD151" s="330">
        <f t="shared" si="53"/>
        <v>3052500</v>
      </c>
      <c r="AE151" s="330">
        <f t="shared" si="53"/>
        <v>3052500</v>
      </c>
      <c r="AF151" s="330">
        <f t="shared" si="53"/>
        <v>3052500</v>
      </c>
      <c r="AG151" s="330">
        <f t="shared" si="53"/>
        <v>3052500</v>
      </c>
      <c r="AH151" s="330">
        <f t="shared" si="53"/>
        <v>3052500</v>
      </c>
      <c r="AI151" s="330">
        <f t="shared" si="53"/>
        <v>3052500</v>
      </c>
      <c r="AJ151" s="330">
        <f t="shared" si="53"/>
        <v>3052500</v>
      </c>
      <c r="AK151" s="330">
        <f t="shared" si="53"/>
        <v>3052500</v>
      </c>
      <c r="AL151" s="330">
        <f t="shared" si="53"/>
        <v>3052500</v>
      </c>
      <c r="AM151" s="330">
        <f t="shared" si="53"/>
        <v>3052500</v>
      </c>
      <c r="AN151" s="330">
        <f t="shared" si="53"/>
        <v>3052500</v>
      </c>
      <c r="AO151" s="330">
        <f t="shared" si="53"/>
        <v>3052500</v>
      </c>
      <c r="AP151" s="330">
        <f t="shared" si="53"/>
        <v>3052500</v>
      </c>
      <c r="AQ151" s="330">
        <f t="shared" si="53"/>
        <v>3052500</v>
      </c>
      <c r="AR151" s="330">
        <f t="shared" si="53"/>
        <v>3052500</v>
      </c>
      <c r="AS151" s="330">
        <f t="shared" si="53"/>
        <v>3052500</v>
      </c>
      <c r="AT151" s="330">
        <f t="shared" si="53"/>
        <v>3052500</v>
      </c>
      <c r="AU151" s="330">
        <f t="shared" si="53"/>
        <v>3052500</v>
      </c>
      <c r="AV151" s="330">
        <f t="shared" si="53"/>
        <v>3052500</v>
      </c>
      <c r="AW151" s="330">
        <f t="shared" si="53"/>
        <v>3052500</v>
      </c>
      <c r="AX151" s="330">
        <f t="shared" si="53"/>
        <v>3052500</v>
      </c>
      <c r="AY151" s="330">
        <f t="shared" si="53"/>
        <v>3052500</v>
      </c>
      <c r="AZ151" s="330">
        <f t="shared" si="53"/>
        <v>3052500</v>
      </c>
      <c r="BA151" s="330">
        <f t="shared" si="53"/>
        <v>3052500</v>
      </c>
      <c r="BB151" s="330">
        <f t="shared" si="53"/>
        <v>3052500</v>
      </c>
      <c r="BC151" s="330">
        <f t="shared" si="53"/>
        <v>3052500</v>
      </c>
      <c r="BD151" s="330">
        <f t="shared" si="53"/>
        <v>3052500</v>
      </c>
      <c r="BE151" s="330">
        <f t="shared" si="53"/>
        <v>3052500</v>
      </c>
      <c r="BF151" s="330">
        <f t="shared" si="53"/>
        <v>3052500</v>
      </c>
      <c r="BG151" s="330">
        <f t="shared" si="53"/>
        <v>3052500</v>
      </c>
      <c r="BH151" s="330">
        <f t="shared" si="53"/>
        <v>3052500</v>
      </c>
      <c r="BI151" s="330">
        <f t="shared" si="53"/>
        <v>3052500</v>
      </c>
      <c r="BJ151" s="330">
        <f t="shared" si="53"/>
        <v>3052500</v>
      </c>
      <c r="BK151" s="330">
        <f t="shared" si="53"/>
        <v>3052500</v>
      </c>
      <c r="BL151" s="330">
        <f t="shared" si="53"/>
        <v>3052500</v>
      </c>
      <c r="BM151" s="330">
        <f t="shared" si="53"/>
        <v>3052500</v>
      </c>
      <c r="BN151" s="330">
        <f t="shared" si="53"/>
        <v>3052500</v>
      </c>
      <c r="BO151" s="330">
        <f t="shared" si="53"/>
        <v>3052500</v>
      </c>
      <c r="BP151" s="330">
        <f t="shared" si="53"/>
        <v>3052500</v>
      </c>
      <c r="BQ151" s="330">
        <f t="shared" si="53"/>
        <v>3052500</v>
      </c>
      <c r="BR151" s="330">
        <f t="shared" si="53"/>
        <v>3052500</v>
      </c>
      <c r="BS151" s="330">
        <f t="shared" si="53"/>
        <v>3052500</v>
      </c>
      <c r="BT151" s="330">
        <f t="shared" si="53"/>
        <v>3052500</v>
      </c>
      <c r="BU151" s="330">
        <f t="shared" si="53"/>
        <v>3052500</v>
      </c>
      <c r="BV151" s="330">
        <f t="shared" si="53"/>
        <v>3052500</v>
      </c>
      <c r="BW151" s="330">
        <f t="shared" si="53"/>
        <v>3052500</v>
      </c>
      <c r="BX151" s="330">
        <f t="shared" si="53"/>
        <v>3052500</v>
      </c>
    </row>
    <row r="152" spans="3:76">
      <c r="C152" s="317" t="s">
        <v>339</v>
      </c>
      <c r="D152" s="326">
        <f>IRR(K150:AC150)*12</f>
        <v>0.20793214463575094</v>
      </c>
      <c r="E152" s="226"/>
      <c r="F152" s="226"/>
      <c r="G152" s="226"/>
      <c r="H152" s="226"/>
      <c r="I152" s="226"/>
      <c r="J152" s="226"/>
      <c r="K152" s="226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6"/>
      <c r="AA152" s="226"/>
      <c r="AB152" s="226"/>
      <c r="AC152" s="226"/>
      <c r="AD152" s="226"/>
      <c r="AE152" s="226"/>
      <c r="AF152" s="226"/>
      <c r="AG152" s="226"/>
      <c r="AH152" s="226"/>
      <c r="AI152" s="226"/>
      <c r="AJ152" s="226"/>
      <c r="AK152" s="226"/>
      <c r="AL152" s="226"/>
      <c r="AM152" s="226"/>
      <c r="AN152" s="226"/>
      <c r="AO152" s="226"/>
      <c r="AP152" s="226"/>
      <c r="AQ152" s="226"/>
      <c r="AR152" s="226"/>
      <c r="AS152" s="226"/>
      <c r="AT152" s="226"/>
      <c r="AU152" s="226"/>
      <c r="AV152" s="226"/>
      <c r="AW152" s="226"/>
      <c r="AX152" s="226"/>
      <c r="AY152" s="226"/>
      <c r="AZ152" s="226"/>
      <c r="BA152" s="226"/>
      <c r="BB152" s="226"/>
      <c r="BC152" s="226"/>
      <c r="BD152" s="226"/>
      <c r="BE152" s="226"/>
      <c r="BF152" s="226"/>
      <c r="BG152" s="226"/>
      <c r="BH152" s="226"/>
      <c r="BI152" s="226"/>
      <c r="BJ152" s="226"/>
      <c r="BK152" s="226"/>
      <c r="BL152" s="226"/>
      <c r="BM152" s="226"/>
      <c r="BN152" s="226"/>
      <c r="BO152" s="226"/>
      <c r="BP152" s="226"/>
      <c r="BQ152" s="226"/>
      <c r="BR152" s="226"/>
      <c r="BS152" s="226"/>
      <c r="BT152" s="226"/>
      <c r="BU152" s="226"/>
      <c r="BV152" s="226"/>
      <c r="BW152" s="226"/>
      <c r="BX152" s="226"/>
    </row>
    <row r="153" spans="3:76">
      <c r="C153" s="327" t="s">
        <v>347</v>
      </c>
      <c r="D153" s="328">
        <f>-MIN(E145:BL145)</f>
        <v>9000000</v>
      </c>
      <c r="E153" s="226"/>
      <c r="F153" s="226"/>
      <c r="G153" s="226"/>
      <c r="H153" s="226"/>
      <c r="I153" s="226"/>
      <c r="J153" s="226"/>
      <c r="K153" s="226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6"/>
      <c r="AA153" s="226"/>
      <c r="AB153" s="226"/>
      <c r="AC153" s="226"/>
      <c r="AD153" s="226"/>
      <c r="AE153" s="226"/>
      <c r="AF153" s="226"/>
      <c r="AG153" s="226"/>
      <c r="AH153" s="226"/>
      <c r="AI153" s="226"/>
      <c r="AJ153" s="226"/>
      <c r="AK153" s="226"/>
      <c r="AL153" s="226"/>
      <c r="AM153" s="226"/>
      <c r="AN153" s="226"/>
      <c r="AO153" s="226"/>
      <c r="AP153" s="226"/>
      <c r="AQ153" s="226"/>
      <c r="AR153" s="226"/>
      <c r="AS153" s="226"/>
      <c r="AT153" s="226"/>
      <c r="AU153" s="226"/>
      <c r="AV153" s="226"/>
      <c r="AW153" s="226"/>
      <c r="AX153" s="226"/>
      <c r="AY153" s="226"/>
      <c r="AZ153" s="226"/>
      <c r="BA153" s="226"/>
      <c r="BB153" s="226"/>
      <c r="BC153" s="226"/>
      <c r="BD153" s="226"/>
      <c r="BE153" s="226"/>
      <c r="BF153" s="226"/>
      <c r="BG153" s="226"/>
      <c r="BH153" s="226"/>
      <c r="BI153" s="226"/>
      <c r="BJ153" s="226"/>
      <c r="BK153" s="226"/>
      <c r="BL153" s="226"/>
      <c r="BM153" s="226"/>
      <c r="BN153" s="226"/>
      <c r="BO153" s="226"/>
      <c r="BP153" s="226"/>
      <c r="BQ153" s="226"/>
      <c r="BR153" s="226"/>
      <c r="BS153" s="226"/>
      <c r="BT153" s="226"/>
      <c r="BU153" s="226"/>
      <c r="BV153" s="226"/>
      <c r="BW153" s="226"/>
      <c r="BX153" s="226"/>
    </row>
    <row r="154" spans="3:76">
      <c r="C154" s="327" t="s">
        <v>348</v>
      </c>
      <c r="D154" s="328">
        <v>0</v>
      </c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  <c r="AG154" s="226"/>
      <c r="AH154" s="226"/>
      <c r="AI154" s="226"/>
      <c r="AJ154" s="226"/>
      <c r="AK154" s="226"/>
      <c r="AL154" s="226"/>
      <c r="AM154" s="226"/>
      <c r="AN154" s="226"/>
      <c r="AO154" s="226"/>
      <c r="AP154" s="226"/>
      <c r="AQ154" s="226"/>
      <c r="AR154" s="226"/>
      <c r="AS154" s="226"/>
      <c r="AT154" s="226"/>
      <c r="AU154" s="226"/>
      <c r="AV154" s="226"/>
      <c r="AW154" s="226"/>
      <c r="AX154" s="226"/>
      <c r="AY154" s="226"/>
      <c r="AZ154" s="226"/>
      <c r="BA154" s="226"/>
      <c r="BB154" s="226"/>
      <c r="BC154" s="226"/>
      <c r="BD154" s="226"/>
      <c r="BE154" s="226"/>
      <c r="BF154" s="226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6"/>
      <c r="BQ154" s="226"/>
      <c r="BR154" s="226"/>
      <c r="BS154" s="226"/>
      <c r="BT154" s="226"/>
      <c r="BU154" s="226"/>
      <c r="BV154" s="226"/>
      <c r="BW154" s="226"/>
      <c r="BX154" s="226"/>
    </row>
    <row r="155" spans="3:76">
      <c r="C155" s="317" t="s">
        <v>349</v>
      </c>
      <c r="D155" s="329">
        <f>D154+D153</f>
        <v>9000000</v>
      </c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  <c r="BX155" s="226"/>
    </row>
    <row r="156" spans="3:76">
      <c r="C156" s="317" t="s">
        <v>350</v>
      </c>
      <c r="D156" s="329">
        <f>AC147+AC149</f>
        <v>3052500</v>
      </c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  <c r="BX156" s="226"/>
    </row>
    <row r="157" spans="3:76">
      <c r="C157" s="317" t="s">
        <v>351</v>
      </c>
      <c r="D157" s="326">
        <f>(D156-D154)/D155</f>
        <v>0.33916666666666667</v>
      </c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  <c r="BX157" s="226"/>
    </row>
    <row r="175" spans="3:76" hidden="1">
      <c r="C175" s="314" t="s">
        <v>355</v>
      </c>
      <c r="D175" s="315"/>
      <c r="E175" s="316">
        <f t="shared" ref="E175:G175" si="54">-(E24+E110)</f>
        <v>0</v>
      </c>
      <c r="F175" s="316">
        <f t="shared" si="54"/>
        <v>0</v>
      </c>
      <c r="G175" s="316">
        <f t="shared" si="54"/>
        <v>0</v>
      </c>
      <c r="H175" s="316">
        <f>-10682501</f>
        <v>-10682501</v>
      </c>
      <c r="I175" s="316">
        <v>0</v>
      </c>
      <c r="J175" s="316">
        <f>-(J24+J110)</f>
        <v>0</v>
      </c>
      <c r="K175" s="316">
        <v>0</v>
      </c>
      <c r="L175" s="316">
        <f t="shared" ref="L175:S175" si="55">-(L24+L110)</f>
        <v>0</v>
      </c>
      <c r="M175" s="316">
        <f t="shared" si="55"/>
        <v>0</v>
      </c>
      <c r="N175" s="316">
        <f t="shared" si="55"/>
        <v>0</v>
      </c>
      <c r="O175" s="316">
        <f t="shared" si="55"/>
        <v>0</v>
      </c>
      <c r="P175" s="316">
        <f t="shared" si="55"/>
        <v>0</v>
      </c>
      <c r="Q175" s="316">
        <f t="shared" si="55"/>
        <v>0</v>
      </c>
      <c r="R175" s="316">
        <f t="shared" si="55"/>
        <v>0</v>
      </c>
      <c r="S175" s="316">
        <f t="shared" si="55"/>
        <v>0</v>
      </c>
      <c r="T175" s="316">
        <f>-H175</f>
        <v>10682501</v>
      </c>
      <c r="U175" s="316">
        <f t="shared" ref="U175:BX175" si="56">-(U24+U110)</f>
        <v>0</v>
      </c>
      <c r="V175" s="316">
        <f t="shared" si="56"/>
        <v>0</v>
      </c>
      <c r="W175" s="316">
        <f t="shared" si="56"/>
        <v>0</v>
      </c>
      <c r="X175" s="316">
        <f t="shared" si="56"/>
        <v>0</v>
      </c>
      <c r="Y175" s="316">
        <f t="shared" si="56"/>
        <v>0</v>
      </c>
      <c r="Z175" s="316">
        <f t="shared" si="56"/>
        <v>0</v>
      </c>
      <c r="AA175" s="316">
        <f t="shared" si="56"/>
        <v>0</v>
      </c>
      <c r="AB175" s="316">
        <f t="shared" si="56"/>
        <v>0</v>
      </c>
      <c r="AC175" s="316">
        <f t="shared" si="56"/>
        <v>0</v>
      </c>
      <c r="AD175" s="316">
        <f t="shared" si="56"/>
        <v>0</v>
      </c>
      <c r="AE175" s="316">
        <f t="shared" si="56"/>
        <v>0</v>
      </c>
      <c r="AF175" s="316">
        <f t="shared" si="56"/>
        <v>0</v>
      </c>
      <c r="AG175" s="316">
        <f t="shared" si="56"/>
        <v>0</v>
      </c>
      <c r="AH175" s="316">
        <f t="shared" si="56"/>
        <v>0</v>
      </c>
      <c r="AI175" s="316">
        <f t="shared" si="56"/>
        <v>0</v>
      </c>
      <c r="AJ175" s="316">
        <f t="shared" si="56"/>
        <v>0</v>
      </c>
      <c r="AK175" s="316">
        <f t="shared" si="56"/>
        <v>0</v>
      </c>
      <c r="AL175" s="316">
        <f t="shared" si="56"/>
        <v>0</v>
      </c>
      <c r="AM175" s="316">
        <f t="shared" si="56"/>
        <v>0</v>
      </c>
      <c r="AN175" s="316">
        <f t="shared" si="56"/>
        <v>0</v>
      </c>
      <c r="AO175" s="316">
        <f t="shared" si="56"/>
        <v>0</v>
      </c>
      <c r="AP175" s="316">
        <f t="shared" si="56"/>
        <v>0</v>
      </c>
      <c r="AQ175" s="316">
        <f t="shared" si="56"/>
        <v>0</v>
      </c>
      <c r="AR175" s="316">
        <f t="shared" si="56"/>
        <v>0</v>
      </c>
      <c r="AS175" s="316">
        <f t="shared" si="56"/>
        <v>0</v>
      </c>
      <c r="AT175" s="316">
        <f t="shared" si="56"/>
        <v>0</v>
      </c>
      <c r="AU175" s="316">
        <f t="shared" si="56"/>
        <v>0</v>
      </c>
      <c r="AV175" s="316">
        <f t="shared" si="56"/>
        <v>0</v>
      </c>
      <c r="AW175" s="316">
        <f t="shared" si="56"/>
        <v>0</v>
      </c>
      <c r="AX175" s="316">
        <f t="shared" si="56"/>
        <v>0</v>
      </c>
      <c r="AY175" s="316">
        <f t="shared" si="56"/>
        <v>0</v>
      </c>
      <c r="AZ175" s="316">
        <f t="shared" si="56"/>
        <v>0</v>
      </c>
      <c r="BA175" s="316">
        <f t="shared" si="56"/>
        <v>0</v>
      </c>
      <c r="BB175" s="316">
        <f t="shared" si="56"/>
        <v>0</v>
      </c>
      <c r="BC175" s="316">
        <f t="shared" si="56"/>
        <v>0</v>
      </c>
      <c r="BD175" s="316">
        <f t="shared" si="56"/>
        <v>0</v>
      </c>
      <c r="BE175" s="316">
        <f t="shared" si="56"/>
        <v>0</v>
      </c>
      <c r="BF175" s="316">
        <f t="shared" si="56"/>
        <v>0</v>
      </c>
      <c r="BG175" s="316">
        <f t="shared" si="56"/>
        <v>0</v>
      </c>
      <c r="BH175" s="316">
        <f t="shared" si="56"/>
        <v>0</v>
      </c>
      <c r="BI175" s="316">
        <f t="shared" si="56"/>
        <v>0</v>
      </c>
      <c r="BJ175" s="316">
        <f t="shared" si="56"/>
        <v>0</v>
      </c>
      <c r="BK175" s="316">
        <f t="shared" si="56"/>
        <v>0</v>
      </c>
      <c r="BL175" s="316">
        <f t="shared" si="56"/>
        <v>0</v>
      </c>
      <c r="BM175" s="316">
        <f t="shared" si="56"/>
        <v>0</v>
      </c>
      <c r="BN175" s="316">
        <f t="shared" si="56"/>
        <v>0</v>
      </c>
      <c r="BO175" s="316">
        <f t="shared" si="56"/>
        <v>0</v>
      </c>
      <c r="BP175" s="316">
        <f t="shared" si="56"/>
        <v>0</v>
      </c>
      <c r="BQ175" s="316">
        <f t="shared" si="56"/>
        <v>0</v>
      </c>
      <c r="BR175" s="316">
        <f t="shared" si="56"/>
        <v>0</v>
      </c>
      <c r="BS175" s="316">
        <f t="shared" si="56"/>
        <v>0</v>
      </c>
      <c r="BT175" s="316">
        <f t="shared" si="56"/>
        <v>0</v>
      </c>
      <c r="BU175" s="316">
        <f t="shared" si="56"/>
        <v>0</v>
      </c>
      <c r="BV175" s="316">
        <f t="shared" si="56"/>
        <v>0</v>
      </c>
      <c r="BW175" s="316">
        <f t="shared" si="56"/>
        <v>0</v>
      </c>
      <c r="BX175" s="316">
        <f t="shared" si="56"/>
        <v>0</v>
      </c>
    </row>
    <row r="176" spans="3:76" hidden="1">
      <c r="C176" s="314" t="s">
        <v>353</v>
      </c>
      <c r="D176" s="323"/>
      <c r="E176" s="315"/>
      <c r="F176" s="315"/>
      <c r="G176" s="315"/>
      <c r="H176" s="315"/>
      <c r="I176" s="315"/>
      <c r="J176" s="315"/>
      <c r="K176" s="315"/>
      <c r="L176" s="315"/>
      <c r="M176" s="315"/>
      <c r="N176" s="315"/>
      <c r="O176" s="315"/>
      <c r="P176" s="315"/>
      <c r="Q176" s="315"/>
      <c r="R176" s="315"/>
      <c r="S176" s="315"/>
      <c r="T176" s="315"/>
      <c r="U176" s="315"/>
      <c r="V176" s="315"/>
      <c r="W176" s="315"/>
      <c r="X176" s="315"/>
      <c r="Y176" s="315"/>
      <c r="Z176" s="315"/>
      <c r="AA176" s="315"/>
      <c r="AB176" s="315"/>
      <c r="AC176" s="315"/>
      <c r="AD176" s="315"/>
      <c r="AE176" s="315"/>
      <c r="AF176" s="315"/>
      <c r="AG176" s="315"/>
      <c r="AH176" s="315"/>
      <c r="AI176" s="315"/>
      <c r="AJ176" s="315"/>
      <c r="AK176" s="315"/>
      <c r="AL176" s="315"/>
      <c r="AM176" s="315"/>
      <c r="AN176" s="315"/>
      <c r="AO176" s="315"/>
      <c r="AP176" s="315"/>
      <c r="AQ176" s="315"/>
      <c r="AR176" s="315"/>
      <c r="AS176" s="315"/>
      <c r="AT176" s="315"/>
      <c r="AU176" s="315"/>
      <c r="AV176" s="315"/>
      <c r="AW176" s="315"/>
      <c r="AX176" s="315"/>
      <c r="AY176" s="315"/>
      <c r="AZ176" s="315"/>
      <c r="BA176" s="315"/>
      <c r="BB176" s="315"/>
      <c r="BC176" s="316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</row>
    <row r="177" spans="3:76" hidden="1">
      <c r="C177" s="314" t="s">
        <v>343</v>
      </c>
      <c r="D177" s="323"/>
      <c r="E177" s="315">
        <f t="shared" ref="E177:BX177" si="57">-E75</f>
        <v>0</v>
      </c>
      <c r="F177" s="315">
        <f t="shared" si="57"/>
        <v>0</v>
      </c>
      <c r="G177" s="315">
        <f t="shared" si="57"/>
        <v>0</v>
      </c>
      <c r="H177" s="315">
        <f t="shared" si="57"/>
        <v>0</v>
      </c>
      <c r="I177" s="315">
        <f t="shared" si="57"/>
        <v>0</v>
      </c>
      <c r="J177" s="315">
        <f t="shared" si="57"/>
        <v>0</v>
      </c>
      <c r="K177" s="315">
        <f t="shared" si="57"/>
        <v>0</v>
      </c>
      <c r="L177" s="315">
        <f t="shared" si="57"/>
        <v>0</v>
      </c>
      <c r="M177" s="315">
        <f t="shared" si="57"/>
        <v>0</v>
      </c>
      <c r="N177" s="315">
        <f t="shared" si="57"/>
        <v>0</v>
      </c>
      <c r="O177" s="315">
        <f t="shared" si="57"/>
        <v>0</v>
      </c>
      <c r="P177" s="315">
        <f t="shared" si="57"/>
        <v>0</v>
      </c>
      <c r="Q177" s="315">
        <f t="shared" si="57"/>
        <v>0</v>
      </c>
      <c r="R177" s="315">
        <f t="shared" si="57"/>
        <v>0</v>
      </c>
      <c r="S177" s="315">
        <f t="shared" si="57"/>
        <v>0</v>
      </c>
      <c r="T177" s="315">
        <f t="shared" si="57"/>
        <v>0</v>
      </c>
      <c r="U177" s="315">
        <f t="shared" si="57"/>
        <v>0</v>
      </c>
      <c r="V177" s="315">
        <f t="shared" si="57"/>
        <v>0</v>
      </c>
      <c r="W177" s="315">
        <f t="shared" si="57"/>
        <v>0</v>
      </c>
      <c r="X177" s="315">
        <f t="shared" si="57"/>
        <v>0</v>
      </c>
      <c r="Y177" s="315">
        <f t="shared" si="57"/>
        <v>0</v>
      </c>
      <c r="Z177" s="315">
        <f t="shared" si="57"/>
        <v>0</v>
      </c>
      <c r="AA177" s="315">
        <f t="shared" si="57"/>
        <v>0</v>
      </c>
      <c r="AB177" s="315">
        <f t="shared" si="57"/>
        <v>0</v>
      </c>
      <c r="AC177" s="315">
        <f t="shared" si="57"/>
        <v>0</v>
      </c>
      <c r="AD177" s="315">
        <f t="shared" si="57"/>
        <v>0</v>
      </c>
      <c r="AE177" s="315">
        <f t="shared" si="57"/>
        <v>0</v>
      </c>
      <c r="AF177" s="315">
        <f t="shared" si="57"/>
        <v>0</v>
      </c>
      <c r="AG177" s="315">
        <f t="shared" si="57"/>
        <v>0</v>
      </c>
      <c r="AH177" s="315">
        <f t="shared" si="57"/>
        <v>0</v>
      </c>
      <c r="AI177" s="315">
        <f t="shared" si="57"/>
        <v>0</v>
      </c>
      <c r="AJ177" s="315">
        <f t="shared" si="57"/>
        <v>0</v>
      </c>
      <c r="AK177" s="315">
        <f t="shared" si="57"/>
        <v>0</v>
      </c>
      <c r="AL177" s="315">
        <f t="shared" si="57"/>
        <v>0</v>
      </c>
      <c r="AM177" s="315">
        <f t="shared" si="57"/>
        <v>0</v>
      </c>
      <c r="AN177" s="315">
        <f t="shared" si="57"/>
        <v>0</v>
      </c>
      <c r="AO177" s="315">
        <f t="shared" si="57"/>
        <v>0</v>
      </c>
      <c r="AP177" s="315">
        <f t="shared" si="57"/>
        <v>0</v>
      </c>
      <c r="AQ177" s="315">
        <f t="shared" si="57"/>
        <v>0</v>
      </c>
      <c r="AR177" s="315">
        <f t="shared" si="57"/>
        <v>0</v>
      </c>
      <c r="AS177" s="315">
        <f t="shared" si="57"/>
        <v>0</v>
      </c>
      <c r="AT177" s="315">
        <f t="shared" si="57"/>
        <v>0</v>
      </c>
      <c r="AU177" s="315">
        <f t="shared" si="57"/>
        <v>0</v>
      </c>
      <c r="AV177" s="315">
        <f t="shared" si="57"/>
        <v>0</v>
      </c>
      <c r="AW177" s="315">
        <f t="shared" si="57"/>
        <v>0</v>
      </c>
      <c r="AX177" s="315">
        <f t="shared" si="57"/>
        <v>0</v>
      </c>
      <c r="AY177" s="315">
        <f t="shared" si="57"/>
        <v>0</v>
      </c>
      <c r="AZ177" s="315">
        <f t="shared" si="57"/>
        <v>0</v>
      </c>
      <c r="BA177" s="315">
        <f t="shared" si="57"/>
        <v>0</v>
      </c>
      <c r="BB177" s="315">
        <f t="shared" si="57"/>
        <v>0</v>
      </c>
      <c r="BC177" s="315">
        <f t="shared" si="57"/>
        <v>0</v>
      </c>
      <c r="BD177" s="315">
        <f t="shared" si="57"/>
        <v>0</v>
      </c>
      <c r="BE177" s="315">
        <f t="shared" si="57"/>
        <v>0</v>
      </c>
      <c r="BF177" s="315">
        <f t="shared" si="57"/>
        <v>0</v>
      </c>
      <c r="BG177" s="315">
        <f t="shared" si="57"/>
        <v>0</v>
      </c>
      <c r="BH177" s="315">
        <f t="shared" si="57"/>
        <v>0</v>
      </c>
      <c r="BI177" s="315">
        <f t="shared" si="57"/>
        <v>0</v>
      </c>
      <c r="BJ177" s="315">
        <f t="shared" si="57"/>
        <v>0</v>
      </c>
      <c r="BK177" s="315">
        <f t="shared" si="57"/>
        <v>0</v>
      </c>
      <c r="BL177" s="315">
        <f t="shared" si="57"/>
        <v>0</v>
      </c>
      <c r="BM177" s="315">
        <f t="shared" si="57"/>
        <v>0</v>
      </c>
      <c r="BN177" s="315">
        <f t="shared" si="57"/>
        <v>0</v>
      </c>
      <c r="BO177" s="315">
        <f t="shared" si="57"/>
        <v>0</v>
      </c>
      <c r="BP177" s="315">
        <f t="shared" si="57"/>
        <v>0</v>
      </c>
      <c r="BQ177" s="315">
        <f t="shared" si="57"/>
        <v>0</v>
      </c>
      <c r="BR177" s="315">
        <f t="shared" si="57"/>
        <v>0</v>
      </c>
      <c r="BS177" s="315">
        <f t="shared" si="57"/>
        <v>0</v>
      </c>
      <c r="BT177" s="315">
        <f t="shared" si="57"/>
        <v>0</v>
      </c>
      <c r="BU177" s="315">
        <f t="shared" si="57"/>
        <v>0</v>
      </c>
      <c r="BV177" s="315">
        <f t="shared" si="57"/>
        <v>0</v>
      </c>
      <c r="BW177" s="315">
        <f t="shared" si="57"/>
        <v>0</v>
      </c>
      <c r="BX177" s="315">
        <f t="shared" si="57"/>
        <v>0</v>
      </c>
    </row>
    <row r="178" spans="3:76" hidden="1">
      <c r="C178" s="314" t="s">
        <v>344</v>
      </c>
      <c r="D178" s="323"/>
      <c r="E178" s="315"/>
      <c r="F178" s="315"/>
      <c r="G178" s="315"/>
      <c r="H178" s="315"/>
      <c r="I178" s="315"/>
      <c r="J178" s="315"/>
      <c r="K178" s="315"/>
      <c r="L178" s="315"/>
      <c r="M178" s="315"/>
      <c r="N178" s="315"/>
      <c r="O178" s="315"/>
      <c r="P178" s="315"/>
      <c r="Q178" s="315"/>
      <c r="R178" s="315"/>
      <c r="S178" s="315"/>
      <c r="T178" s="315">
        <f>5500000</f>
        <v>5500000</v>
      </c>
      <c r="U178" s="315"/>
      <c r="V178" s="315"/>
      <c r="W178" s="315"/>
      <c r="X178" s="315"/>
      <c r="Y178" s="315"/>
      <c r="Z178" s="315"/>
      <c r="AA178" s="315"/>
      <c r="AB178" s="315"/>
      <c r="AC178" s="315"/>
      <c r="AD178" s="315"/>
      <c r="AE178" s="315"/>
      <c r="AF178" s="315"/>
      <c r="AG178" s="315"/>
      <c r="AH178" s="315"/>
      <c r="AI178" s="315"/>
      <c r="AJ178" s="315"/>
      <c r="AK178" s="315"/>
      <c r="AL178" s="315"/>
      <c r="AM178" s="315"/>
      <c r="AN178" s="315"/>
      <c r="AO178" s="315"/>
      <c r="AP178" s="315"/>
      <c r="AQ178" s="315"/>
      <c r="AR178" s="315"/>
      <c r="AS178" s="315"/>
      <c r="AT178" s="315"/>
      <c r="AU178" s="315"/>
      <c r="AV178" s="315"/>
      <c r="AW178" s="315"/>
      <c r="AX178" s="315"/>
      <c r="AY178" s="315"/>
      <c r="AZ178" s="315"/>
      <c r="BA178" s="315"/>
      <c r="BB178" s="315"/>
      <c r="BC178" s="316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>
        <f>IF(D121&gt;0.25,(BX116-BX124)*D179,BX116*D179)</f>
        <v>0</v>
      </c>
    </row>
    <row r="179" spans="3:76" hidden="1">
      <c r="C179" s="317" t="s">
        <v>345</v>
      </c>
      <c r="D179" s="323">
        <v>0</v>
      </c>
      <c r="E179" s="315"/>
      <c r="F179" s="315"/>
      <c r="G179" s="315"/>
      <c r="H179" s="315"/>
      <c r="I179" s="315"/>
      <c r="J179" s="315"/>
      <c r="K179" s="315"/>
      <c r="L179" s="315"/>
      <c r="M179" s="315"/>
      <c r="N179" s="315"/>
      <c r="O179" s="315"/>
      <c r="P179" s="315"/>
      <c r="Q179" s="315"/>
      <c r="R179" s="315"/>
      <c r="S179" s="315"/>
      <c r="T179" s="315"/>
      <c r="U179" s="315"/>
      <c r="V179" s="315"/>
      <c r="W179" s="315"/>
      <c r="X179" s="315"/>
      <c r="Y179" s="315"/>
      <c r="Z179" s="315"/>
      <c r="AA179" s="315"/>
      <c r="AB179" s="315"/>
      <c r="AC179" s="315"/>
      <c r="AD179" s="315"/>
      <c r="AE179" s="315"/>
      <c r="AF179" s="315"/>
      <c r="AG179" s="315"/>
      <c r="AH179" s="315"/>
      <c r="AI179" s="315"/>
      <c r="AJ179" s="315"/>
      <c r="AK179" s="315"/>
      <c r="AL179" s="315"/>
      <c r="AM179" s="315"/>
      <c r="AN179" s="315"/>
      <c r="AO179" s="315"/>
      <c r="AP179" s="315"/>
      <c r="AQ179" s="315"/>
      <c r="AR179" s="315"/>
      <c r="AS179" s="315"/>
      <c r="AT179" s="315"/>
      <c r="AU179" s="315"/>
      <c r="AV179" s="315"/>
      <c r="AW179" s="315"/>
      <c r="AX179" s="315"/>
      <c r="AY179" s="315"/>
      <c r="AZ179" s="315"/>
      <c r="BA179" s="315"/>
      <c r="BB179" s="315"/>
      <c r="BC179" s="316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</row>
    <row r="180" spans="3:76" hidden="1">
      <c r="C180" s="314" t="s">
        <v>346</v>
      </c>
      <c r="D180" s="315"/>
      <c r="E180" s="325">
        <f t="shared" ref="E180:BX180" si="58">E175+E176+E177+E178+E179</f>
        <v>0</v>
      </c>
      <c r="F180" s="325">
        <f t="shared" si="58"/>
        <v>0</v>
      </c>
      <c r="G180" s="325">
        <f t="shared" si="58"/>
        <v>0</v>
      </c>
      <c r="H180" s="325">
        <f t="shared" si="58"/>
        <v>-10682501</v>
      </c>
      <c r="I180" s="325">
        <f t="shared" si="58"/>
        <v>0</v>
      </c>
      <c r="J180" s="325">
        <f t="shared" si="58"/>
        <v>0</v>
      </c>
      <c r="K180" s="325">
        <f t="shared" si="58"/>
        <v>0</v>
      </c>
      <c r="L180" s="325">
        <f t="shared" si="58"/>
        <v>0</v>
      </c>
      <c r="M180" s="325">
        <f t="shared" si="58"/>
        <v>0</v>
      </c>
      <c r="N180" s="325">
        <f t="shared" si="58"/>
        <v>0</v>
      </c>
      <c r="O180" s="325">
        <f t="shared" si="58"/>
        <v>0</v>
      </c>
      <c r="P180" s="325">
        <f t="shared" si="58"/>
        <v>0</v>
      </c>
      <c r="Q180" s="325">
        <f t="shared" si="58"/>
        <v>0</v>
      </c>
      <c r="R180" s="325">
        <f t="shared" si="58"/>
        <v>0</v>
      </c>
      <c r="S180" s="325">
        <f t="shared" si="58"/>
        <v>0</v>
      </c>
      <c r="T180" s="325">
        <f t="shared" si="58"/>
        <v>16182501</v>
      </c>
      <c r="U180" s="325">
        <f t="shared" si="58"/>
        <v>0</v>
      </c>
      <c r="V180" s="325">
        <f t="shared" si="58"/>
        <v>0</v>
      </c>
      <c r="W180" s="325">
        <f t="shared" si="58"/>
        <v>0</v>
      </c>
      <c r="X180" s="325">
        <f t="shared" si="58"/>
        <v>0</v>
      </c>
      <c r="Y180" s="325">
        <f t="shared" si="58"/>
        <v>0</v>
      </c>
      <c r="Z180" s="325">
        <f t="shared" si="58"/>
        <v>0</v>
      </c>
      <c r="AA180" s="325">
        <f t="shared" si="58"/>
        <v>0</v>
      </c>
      <c r="AB180" s="325">
        <f t="shared" si="58"/>
        <v>0</v>
      </c>
      <c r="AC180" s="325">
        <f t="shared" si="58"/>
        <v>0</v>
      </c>
      <c r="AD180" s="325">
        <f t="shared" si="58"/>
        <v>0</v>
      </c>
      <c r="AE180" s="325">
        <f t="shared" si="58"/>
        <v>0</v>
      </c>
      <c r="AF180" s="325">
        <f t="shared" si="58"/>
        <v>0</v>
      </c>
      <c r="AG180" s="325">
        <f t="shared" si="58"/>
        <v>0</v>
      </c>
      <c r="AH180" s="325">
        <f t="shared" si="58"/>
        <v>0</v>
      </c>
      <c r="AI180" s="325">
        <f t="shared" si="58"/>
        <v>0</v>
      </c>
      <c r="AJ180" s="325">
        <f t="shared" si="58"/>
        <v>0</v>
      </c>
      <c r="AK180" s="325">
        <f t="shared" si="58"/>
        <v>0</v>
      </c>
      <c r="AL180" s="325">
        <f t="shared" si="58"/>
        <v>0</v>
      </c>
      <c r="AM180" s="325">
        <f t="shared" si="58"/>
        <v>0</v>
      </c>
      <c r="AN180" s="325">
        <f t="shared" si="58"/>
        <v>0</v>
      </c>
      <c r="AO180" s="325">
        <f t="shared" si="58"/>
        <v>0</v>
      </c>
      <c r="AP180" s="325">
        <f t="shared" si="58"/>
        <v>0</v>
      </c>
      <c r="AQ180" s="325">
        <f t="shared" si="58"/>
        <v>0</v>
      </c>
      <c r="AR180" s="325">
        <f t="shared" si="58"/>
        <v>0</v>
      </c>
      <c r="AS180" s="325">
        <f t="shared" si="58"/>
        <v>0</v>
      </c>
      <c r="AT180" s="325">
        <f t="shared" si="58"/>
        <v>0</v>
      </c>
      <c r="AU180" s="325">
        <f t="shared" si="58"/>
        <v>0</v>
      </c>
      <c r="AV180" s="325">
        <f t="shared" si="58"/>
        <v>0</v>
      </c>
      <c r="AW180" s="325">
        <f t="shared" si="58"/>
        <v>0</v>
      </c>
      <c r="AX180" s="325">
        <f t="shared" si="58"/>
        <v>0</v>
      </c>
      <c r="AY180" s="325">
        <f t="shared" si="58"/>
        <v>0</v>
      </c>
      <c r="AZ180" s="325">
        <f t="shared" si="58"/>
        <v>0</v>
      </c>
      <c r="BA180" s="325">
        <f t="shared" si="58"/>
        <v>0</v>
      </c>
      <c r="BB180" s="325">
        <f t="shared" si="58"/>
        <v>0</v>
      </c>
      <c r="BC180" s="325">
        <f t="shared" si="58"/>
        <v>0</v>
      </c>
      <c r="BD180" s="325">
        <f t="shared" si="58"/>
        <v>0</v>
      </c>
      <c r="BE180" s="325">
        <f t="shared" si="58"/>
        <v>0</v>
      </c>
      <c r="BF180" s="325">
        <f t="shared" si="58"/>
        <v>0</v>
      </c>
      <c r="BG180" s="325">
        <f t="shared" si="58"/>
        <v>0</v>
      </c>
      <c r="BH180" s="325">
        <f t="shared" si="58"/>
        <v>0</v>
      </c>
      <c r="BI180" s="325">
        <f t="shared" si="58"/>
        <v>0</v>
      </c>
      <c r="BJ180" s="325">
        <f t="shared" si="58"/>
        <v>0</v>
      </c>
      <c r="BK180" s="325">
        <f t="shared" si="58"/>
        <v>0</v>
      </c>
      <c r="BL180" s="325">
        <f t="shared" si="58"/>
        <v>0</v>
      </c>
      <c r="BM180" s="325">
        <f t="shared" si="58"/>
        <v>0</v>
      </c>
      <c r="BN180" s="325">
        <f t="shared" si="58"/>
        <v>0</v>
      </c>
      <c r="BO180" s="325">
        <f t="shared" si="58"/>
        <v>0</v>
      </c>
      <c r="BP180" s="325">
        <f t="shared" si="58"/>
        <v>0</v>
      </c>
      <c r="BQ180" s="325">
        <f t="shared" si="58"/>
        <v>0</v>
      </c>
      <c r="BR180" s="325">
        <f t="shared" si="58"/>
        <v>0</v>
      </c>
      <c r="BS180" s="325">
        <f t="shared" si="58"/>
        <v>0</v>
      </c>
      <c r="BT180" s="325">
        <f t="shared" si="58"/>
        <v>0</v>
      </c>
      <c r="BU180" s="325">
        <f t="shared" si="58"/>
        <v>0</v>
      </c>
      <c r="BV180" s="325">
        <f t="shared" si="58"/>
        <v>0</v>
      </c>
      <c r="BW180" s="325">
        <f t="shared" si="58"/>
        <v>0</v>
      </c>
      <c r="BX180" s="325">
        <f t="shared" si="58"/>
        <v>0</v>
      </c>
    </row>
    <row r="181" spans="3:76" hidden="1">
      <c r="C181" s="318"/>
      <c r="D181" s="326" t="s">
        <v>354</v>
      </c>
      <c r="E181" s="330">
        <f>E180</f>
        <v>0</v>
      </c>
      <c r="F181" s="330">
        <f t="shared" ref="F181:BX181" si="59">E181+F180</f>
        <v>0</v>
      </c>
      <c r="G181" s="330">
        <f t="shared" si="59"/>
        <v>0</v>
      </c>
      <c r="H181" s="330">
        <f t="shared" si="59"/>
        <v>-10682501</v>
      </c>
      <c r="I181" s="330">
        <f t="shared" si="59"/>
        <v>-10682501</v>
      </c>
      <c r="J181" s="330">
        <f t="shared" si="59"/>
        <v>-10682501</v>
      </c>
      <c r="K181" s="330">
        <f t="shared" si="59"/>
        <v>-10682501</v>
      </c>
      <c r="L181" s="330">
        <f t="shared" si="59"/>
        <v>-10682501</v>
      </c>
      <c r="M181" s="330">
        <f t="shared" si="59"/>
        <v>-10682501</v>
      </c>
      <c r="N181" s="330">
        <f t="shared" si="59"/>
        <v>-10682501</v>
      </c>
      <c r="O181" s="330">
        <f t="shared" si="59"/>
        <v>-10682501</v>
      </c>
      <c r="P181" s="330">
        <f t="shared" si="59"/>
        <v>-10682501</v>
      </c>
      <c r="Q181" s="330">
        <f t="shared" si="59"/>
        <v>-10682501</v>
      </c>
      <c r="R181" s="330">
        <f t="shared" si="59"/>
        <v>-10682501</v>
      </c>
      <c r="S181" s="330">
        <f t="shared" si="59"/>
        <v>-10682501</v>
      </c>
      <c r="T181" s="330">
        <f t="shared" si="59"/>
        <v>5500000</v>
      </c>
      <c r="U181" s="330">
        <f t="shared" si="59"/>
        <v>5500000</v>
      </c>
      <c r="V181" s="331">
        <f t="shared" si="59"/>
        <v>5500000</v>
      </c>
      <c r="W181" s="331">
        <f t="shared" si="59"/>
        <v>5500000</v>
      </c>
      <c r="X181" s="331">
        <f t="shared" si="59"/>
        <v>5500000</v>
      </c>
      <c r="Y181" s="331">
        <f t="shared" si="59"/>
        <v>5500000</v>
      </c>
      <c r="Z181" s="331">
        <f t="shared" si="59"/>
        <v>5500000</v>
      </c>
      <c r="AA181" s="331">
        <f t="shared" si="59"/>
        <v>5500000</v>
      </c>
      <c r="AB181" s="331">
        <f t="shared" si="59"/>
        <v>5500000</v>
      </c>
      <c r="AC181" s="331">
        <f t="shared" si="59"/>
        <v>5500000</v>
      </c>
      <c r="AD181" s="331">
        <f t="shared" si="59"/>
        <v>5500000</v>
      </c>
      <c r="AE181" s="331">
        <f t="shared" si="59"/>
        <v>5500000</v>
      </c>
      <c r="AF181" s="331">
        <f t="shared" si="59"/>
        <v>5500000</v>
      </c>
      <c r="AG181" s="331">
        <f t="shared" si="59"/>
        <v>5500000</v>
      </c>
      <c r="AH181" s="331">
        <f t="shared" si="59"/>
        <v>5500000</v>
      </c>
      <c r="AI181" s="331">
        <f t="shared" si="59"/>
        <v>5500000</v>
      </c>
      <c r="AJ181" s="331">
        <f t="shared" si="59"/>
        <v>5500000</v>
      </c>
      <c r="AK181" s="331">
        <f t="shared" si="59"/>
        <v>5500000</v>
      </c>
      <c r="AL181" s="331">
        <f t="shared" si="59"/>
        <v>5500000</v>
      </c>
      <c r="AM181" s="331">
        <f t="shared" si="59"/>
        <v>5500000</v>
      </c>
      <c r="AN181" s="331">
        <f t="shared" si="59"/>
        <v>5500000</v>
      </c>
      <c r="AO181" s="331">
        <f t="shared" si="59"/>
        <v>5500000</v>
      </c>
      <c r="AP181" s="331">
        <f t="shared" si="59"/>
        <v>5500000</v>
      </c>
      <c r="AQ181" s="331">
        <f t="shared" si="59"/>
        <v>5500000</v>
      </c>
      <c r="AR181" s="331">
        <f t="shared" si="59"/>
        <v>5500000</v>
      </c>
      <c r="AS181" s="331">
        <f t="shared" si="59"/>
        <v>5500000</v>
      </c>
      <c r="AT181" s="331">
        <f t="shared" si="59"/>
        <v>5500000</v>
      </c>
      <c r="AU181" s="331">
        <f t="shared" si="59"/>
        <v>5500000</v>
      </c>
      <c r="AV181" s="331">
        <f t="shared" si="59"/>
        <v>5500000</v>
      </c>
      <c r="AW181" s="331">
        <f t="shared" si="59"/>
        <v>5500000</v>
      </c>
      <c r="AX181" s="331">
        <f t="shared" si="59"/>
        <v>5500000</v>
      </c>
      <c r="AY181" s="331">
        <f t="shared" si="59"/>
        <v>5500000</v>
      </c>
      <c r="AZ181" s="331">
        <f t="shared" si="59"/>
        <v>5500000</v>
      </c>
      <c r="BA181" s="331">
        <f t="shared" si="59"/>
        <v>5500000</v>
      </c>
      <c r="BB181" s="331">
        <f t="shared" si="59"/>
        <v>5500000</v>
      </c>
      <c r="BC181" s="330">
        <f t="shared" si="59"/>
        <v>5500000</v>
      </c>
      <c r="BD181" s="330">
        <f t="shared" si="59"/>
        <v>5500000</v>
      </c>
      <c r="BE181" s="330">
        <f t="shared" si="59"/>
        <v>5500000</v>
      </c>
      <c r="BF181" s="330">
        <f t="shared" si="59"/>
        <v>5500000</v>
      </c>
      <c r="BG181" s="330">
        <f t="shared" si="59"/>
        <v>5500000</v>
      </c>
      <c r="BH181" s="330">
        <f t="shared" si="59"/>
        <v>5500000</v>
      </c>
      <c r="BI181" s="330">
        <f t="shared" si="59"/>
        <v>5500000</v>
      </c>
      <c r="BJ181" s="330">
        <f t="shared" si="59"/>
        <v>5500000</v>
      </c>
      <c r="BK181" s="330">
        <f t="shared" si="59"/>
        <v>5500000</v>
      </c>
      <c r="BL181" s="330">
        <f t="shared" si="59"/>
        <v>5500000</v>
      </c>
      <c r="BM181" s="330">
        <f t="shared" si="59"/>
        <v>5500000</v>
      </c>
      <c r="BN181" s="330">
        <f t="shared" si="59"/>
        <v>5500000</v>
      </c>
      <c r="BO181" s="330">
        <f t="shared" si="59"/>
        <v>5500000</v>
      </c>
      <c r="BP181" s="330">
        <f t="shared" si="59"/>
        <v>5500000</v>
      </c>
      <c r="BQ181" s="330">
        <f t="shared" si="59"/>
        <v>5500000</v>
      </c>
      <c r="BR181" s="330">
        <f t="shared" si="59"/>
        <v>5500000</v>
      </c>
      <c r="BS181" s="330">
        <f t="shared" si="59"/>
        <v>5500000</v>
      </c>
      <c r="BT181" s="330">
        <f t="shared" si="59"/>
        <v>5500000</v>
      </c>
      <c r="BU181" s="330">
        <f t="shared" si="59"/>
        <v>5500000</v>
      </c>
      <c r="BV181" s="330">
        <f t="shared" si="59"/>
        <v>5500000</v>
      </c>
      <c r="BW181" s="330">
        <f t="shared" si="59"/>
        <v>5500000</v>
      </c>
      <c r="BX181" s="330">
        <f t="shared" si="59"/>
        <v>5500000</v>
      </c>
    </row>
    <row r="182" spans="3:76" hidden="1">
      <c r="C182" s="317" t="s">
        <v>339</v>
      </c>
      <c r="D182" s="326">
        <f>IRR(H180:T180)*12</f>
        <v>0.4225943643698109</v>
      </c>
      <c r="E182" s="226"/>
      <c r="F182" s="226"/>
      <c r="G182" s="226"/>
      <c r="H182" s="226"/>
      <c r="I182" s="226"/>
      <c r="J182" s="226"/>
      <c r="K182" s="226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6"/>
      <c r="AA182" s="226"/>
      <c r="AB182" s="226"/>
      <c r="AC182" s="226"/>
      <c r="AD182" s="226"/>
      <c r="AE182" s="226"/>
      <c r="AF182" s="226"/>
      <c r="AG182" s="226"/>
      <c r="AH182" s="226"/>
      <c r="AI182" s="226"/>
      <c r="AJ182" s="226"/>
      <c r="AK182" s="226"/>
      <c r="AL182" s="226"/>
      <c r="AM182" s="226"/>
      <c r="AN182" s="226"/>
      <c r="AO182" s="226"/>
      <c r="AP182" s="226"/>
      <c r="AQ182" s="226"/>
      <c r="AR182" s="226"/>
      <c r="AS182" s="226"/>
      <c r="AT182" s="226"/>
      <c r="AU182" s="226"/>
      <c r="AV182" s="226"/>
      <c r="AW182" s="226"/>
      <c r="AX182" s="226"/>
      <c r="AY182" s="226"/>
      <c r="AZ182" s="226"/>
      <c r="BA182" s="226"/>
      <c r="BB182" s="226"/>
      <c r="BC182" s="226"/>
      <c r="BD182" s="226"/>
      <c r="BE182" s="226"/>
      <c r="BF182" s="226"/>
      <c r="BG182" s="226"/>
      <c r="BH182" s="226"/>
      <c r="BI182" s="226"/>
      <c r="BJ182" s="226"/>
      <c r="BK182" s="226"/>
      <c r="BL182" s="226"/>
      <c r="BM182" s="226"/>
      <c r="BN182" s="226"/>
      <c r="BO182" s="226"/>
      <c r="BP182" s="226"/>
      <c r="BQ182" s="226"/>
      <c r="BR182" s="226"/>
      <c r="BS182" s="226"/>
      <c r="BT182" s="226"/>
      <c r="BU182" s="226"/>
      <c r="BV182" s="226"/>
      <c r="BW182" s="226"/>
      <c r="BX182" s="226"/>
    </row>
    <row r="183" spans="3:76" hidden="1">
      <c r="C183" s="327" t="s">
        <v>347</v>
      </c>
      <c r="D183" s="328">
        <f>-MIN(M181:BL181)-D184</f>
        <v>10682501</v>
      </c>
      <c r="E183" s="226"/>
      <c r="F183" s="226"/>
      <c r="G183" s="226"/>
      <c r="H183" s="226"/>
      <c r="I183" s="226"/>
      <c r="J183" s="226"/>
      <c r="K183" s="226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6"/>
      <c r="AA183" s="226"/>
      <c r="AB183" s="226"/>
      <c r="AC183" s="226"/>
      <c r="AD183" s="226"/>
      <c r="AE183" s="226"/>
      <c r="AF183" s="226"/>
      <c r="AG183" s="226"/>
      <c r="AH183" s="226"/>
      <c r="AI183" s="226"/>
      <c r="AJ183" s="226"/>
      <c r="AK183" s="226"/>
      <c r="AL183" s="226"/>
      <c r="AM183" s="226"/>
      <c r="AN183" s="226"/>
      <c r="AO183" s="226"/>
      <c r="AP183" s="226"/>
      <c r="AQ183" s="226"/>
      <c r="AR183" s="226"/>
      <c r="AS183" s="226"/>
      <c r="AT183" s="226"/>
      <c r="AU183" s="226"/>
      <c r="AV183" s="226"/>
      <c r="AW183" s="226"/>
      <c r="AX183" s="226"/>
      <c r="AY183" s="226"/>
      <c r="AZ183" s="226"/>
      <c r="BA183" s="226"/>
      <c r="BB183" s="226"/>
      <c r="BC183" s="226"/>
      <c r="BD183" s="226"/>
      <c r="BE183" s="226"/>
      <c r="BF183" s="226"/>
      <c r="BG183" s="226"/>
      <c r="BH183" s="226"/>
      <c r="BI183" s="226"/>
      <c r="BJ183" s="226"/>
      <c r="BK183" s="226"/>
      <c r="BL183" s="226"/>
      <c r="BM183" s="226"/>
      <c r="BN183" s="226"/>
      <c r="BO183" s="226"/>
      <c r="BP183" s="226"/>
      <c r="BQ183" s="226"/>
      <c r="BR183" s="226"/>
      <c r="BS183" s="226"/>
      <c r="BT183" s="226"/>
      <c r="BU183" s="226"/>
      <c r="BV183" s="226"/>
      <c r="BW183" s="226"/>
      <c r="BX183" s="226"/>
    </row>
    <row r="184" spans="3:76" hidden="1">
      <c r="C184" s="327" t="s">
        <v>348</v>
      </c>
      <c r="D184" s="328">
        <f>-SUM(M179:BB179)</f>
        <v>0</v>
      </c>
      <c r="E184" s="226"/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6"/>
      <c r="AA184" s="226"/>
      <c r="AB184" s="226"/>
      <c r="AC184" s="226"/>
      <c r="AD184" s="226"/>
      <c r="AE184" s="226"/>
      <c r="AF184" s="226"/>
      <c r="AG184" s="226"/>
      <c r="AH184" s="226"/>
      <c r="AI184" s="226"/>
      <c r="AJ184" s="226"/>
      <c r="AK184" s="226"/>
      <c r="AL184" s="226"/>
      <c r="AM184" s="226"/>
      <c r="AN184" s="226"/>
      <c r="AO184" s="226"/>
      <c r="AP184" s="226"/>
      <c r="AQ184" s="226"/>
      <c r="AR184" s="226"/>
      <c r="AS184" s="226"/>
      <c r="AT184" s="226"/>
      <c r="AU184" s="226"/>
      <c r="AV184" s="226"/>
      <c r="AW184" s="226"/>
      <c r="AX184" s="226"/>
      <c r="AY184" s="226"/>
      <c r="AZ184" s="226"/>
      <c r="BA184" s="226"/>
      <c r="BB184" s="226"/>
      <c r="BC184" s="226"/>
      <c r="BD184" s="226"/>
      <c r="BE184" s="226"/>
      <c r="BF184" s="226"/>
      <c r="BG184" s="226"/>
      <c r="BH184" s="226"/>
      <c r="BI184" s="226"/>
      <c r="BJ184" s="226"/>
      <c r="BK184" s="226"/>
      <c r="BL184" s="226"/>
      <c r="BM184" s="226"/>
      <c r="BN184" s="226"/>
      <c r="BO184" s="226"/>
      <c r="BP184" s="226"/>
      <c r="BQ184" s="226"/>
      <c r="BR184" s="226"/>
      <c r="BS184" s="226"/>
      <c r="BT184" s="226"/>
      <c r="BU184" s="226"/>
      <c r="BV184" s="226"/>
      <c r="BW184" s="226"/>
      <c r="BX184" s="226"/>
    </row>
    <row r="185" spans="3:76" hidden="1">
      <c r="C185" s="317" t="s">
        <v>349</v>
      </c>
      <c r="D185" s="329">
        <f>D184+D183</f>
        <v>10682501</v>
      </c>
      <c r="E185" s="226"/>
      <c r="F185" s="226"/>
      <c r="G185" s="226"/>
      <c r="H185" s="226"/>
      <c r="I185" s="226"/>
      <c r="J185" s="226"/>
      <c r="K185" s="226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6"/>
      <c r="AA185" s="226"/>
      <c r="AB185" s="226"/>
      <c r="AC185" s="226"/>
      <c r="AD185" s="226"/>
      <c r="AE185" s="226"/>
      <c r="AF185" s="226"/>
      <c r="AG185" s="226"/>
      <c r="AH185" s="226"/>
      <c r="AI185" s="226"/>
      <c r="AJ185" s="226"/>
      <c r="AK185" s="226"/>
      <c r="AL185" s="226"/>
      <c r="AM185" s="226"/>
      <c r="AN185" s="226"/>
      <c r="AO185" s="226"/>
      <c r="AP185" s="226"/>
      <c r="AQ185" s="226"/>
      <c r="AR185" s="226"/>
      <c r="AS185" s="226"/>
      <c r="AT185" s="226"/>
      <c r="AU185" s="226"/>
      <c r="AV185" s="226"/>
      <c r="AW185" s="226"/>
      <c r="AX185" s="226"/>
      <c r="AY185" s="226"/>
      <c r="AZ185" s="226"/>
      <c r="BA185" s="226"/>
      <c r="BB185" s="226"/>
      <c r="BC185" s="226"/>
      <c r="BD185" s="226"/>
      <c r="BE185" s="226"/>
      <c r="BF185" s="226"/>
      <c r="BG185" s="226"/>
      <c r="BH185" s="226"/>
      <c r="BI185" s="226"/>
      <c r="BJ185" s="226"/>
      <c r="BK185" s="226"/>
      <c r="BL185" s="226"/>
      <c r="BM185" s="226"/>
      <c r="BN185" s="226"/>
      <c r="BO185" s="226"/>
      <c r="BP185" s="226"/>
      <c r="BQ185" s="226"/>
      <c r="BR185" s="226"/>
      <c r="BS185" s="226"/>
      <c r="BT185" s="226"/>
      <c r="BU185" s="226"/>
      <c r="BV185" s="226"/>
      <c r="BW185" s="226"/>
      <c r="BX185" s="226"/>
    </row>
    <row r="186" spans="3:76" hidden="1">
      <c r="C186" s="317" t="s">
        <v>350</v>
      </c>
      <c r="D186" s="329">
        <f>BX177+BX178</f>
        <v>0</v>
      </c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  <c r="AE186" s="226"/>
      <c r="AF186" s="226"/>
      <c r="AG186" s="226"/>
      <c r="AH186" s="226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AY186" s="226"/>
      <c r="AZ186" s="226"/>
      <c r="BA186" s="226"/>
      <c r="BB186" s="226"/>
      <c r="BC186" s="226"/>
      <c r="BD186" s="226"/>
      <c r="BE186" s="226"/>
      <c r="BF186" s="226"/>
      <c r="BG186" s="226"/>
      <c r="BH186" s="226"/>
      <c r="BI186" s="226"/>
      <c r="BJ186" s="226"/>
      <c r="BK186" s="226"/>
      <c r="BL186" s="226"/>
      <c r="BM186" s="226"/>
      <c r="BN186" s="226"/>
      <c r="BO186" s="226"/>
      <c r="BP186" s="226"/>
      <c r="BQ186" s="226"/>
      <c r="BR186" s="226"/>
      <c r="BS186" s="226"/>
      <c r="BT186" s="226"/>
      <c r="BU186" s="226"/>
      <c r="BV186" s="226"/>
      <c r="BW186" s="226"/>
      <c r="BX186" s="226"/>
    </row>
    <row r="187" spans="3:76" hidden="1">
      <c r="C187" s="317" t="s">
        <v>351</v>
      </c>
      <c r="D187" s="326">
        <f>T178/T175</f>
        <v>0.51486070537227191</v>
      </c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  <c r="AD187" s="226"/>
      <c r="AE187" s="226"/>
      <c r="AF187" s="226"/>
      <c r="AG187" s="226"/>
      <c r="AH187" s="226"/>
      <c r="AI187" s="226"/>
      <c r="AJ187" s="226"/>
      <c r="AK187" s="226"/>
      <c r="AL187" s="226"/>
      <c r="AM187" s="226"/>
      <c r="AN187" s="226"/>
      <c r="AO187" s="226"/>
      <c r="AP187" s="226"/>
      <c r="AQ187" s="226"/>
      <c r="AR187" s="226"/>
      <c r="AS187" s="226"/>
      <c r="AT187" s="226"/>
      <c r="AU187" s="226"/>
      <c r="AV187" s="226"/>
      <c r="AW187" s="226"/>
      <c r="AX187" s="226"/>
      <c r="AY187" s="226"/>
      <c r="AZ187" s="226"/>
      <c r="BA187" s="226"/>
      <c r="BB187" s="226"/>
      <c r="BC187" s="226"/>
      <c r="BD187" s="226"/>
      <c r="BE187" s="226"/>
      <c r="BF187" s="226"/>
      <c r="BG187" s="226"/>
      <c r="BH187" s="226"/>
      <c r="BI187" s="226"/>
      <c r="BJ187" s="226"/>
      <c r="BK187" s="226"/>
      <c r="BL187" s="226"/>
      <c r="BM187" s="226"/>
      <c r="BN187" s="226"/>
      <c r="BO187" s="226"/>
      <c r="BP187" s="226"/>
      <c r="BQ187" s="226"/>
      <c r="BR187" s="226"/>
      <c r="BS187" s="226"/>
      <c r="BT187" s="226"/>
      <c r="BU187" s="226"/>
      <c r="BV187" s="226"/>
      <c r="BW187" s="226"/>
      <c r="BX187" s="226"/>
    </row>
    <row r="188" spans="3:76" ht="14" hidden="1"/>
    <row r="189" spans="3:76" ht="14" hidden="1"/>
    <row r="190" spans="3:76" hidden="1"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  <c r="AE190" s="226"/>
      <c r="AF190" s="226"/>
      <c r="AG190" s="226"/>
      <c r="AH190" s="226"/>
      <c r="AI190" s="226"/>
      <c r="AJ190" s="226"/>
      <c r="AK190" s="226"/>
      <c r="AL190" s="226"/>
      <c r="AM190" s="226"/>
      <c r="AN190" s="226"/>
      <c r="AO190" s="226"/>
      <c r="AP190" s="226"/>
      <c r="AQ190" s="226"/>
      <c r="AR190" s="226"/>
      <c r="AS190" s="226"/>
      <c r="AT190" s="226"/>
      <c r="AU190" s="226"/>
      <c r="AV190" s="226"/>
      <c r="AW190" s="226"/>
      <c r="AX190" s="226"/>
      <c r="AY190" s="226"/>
      <c r="AZ190" s="226"/>
      <c r="BA190" s="226"/>
      <c r="BB190" s="226"/>
      <c r="BC190" s="226"/>
      <c r="BD190" s="226"/>
      <c r="BE190" s="226"/>
      <c r="BF190" s="226"/>
      <c r="BG190" s="226"/>
      <c r="BH190" s="226"/>
      <c r="BI190" s="226"/>
      <c r="BJ190" s="226"/>
      <c r="BK190" s="226"/>
      <c r="BL190" s="226"/>
      <c r="BM190" s="226"/>
      <c r="BN190" s="226"/>
      <c r="BO190" s="226"/>
      <c r="BP190" s="226"/>
      <c r="BQ190" s="226"/>
      <c r="BR190" s="226"/>
      <c r="BS190" s="226"/>
      <c r="BT190" s="226"/>
      <c r="BU190" s="226"/>
      <c r="BV190" s="226"/>
      <c r="BW190" s="226"/>
      <c r="BX190" s="226"/>
    </row>
    <row r="191" spans="3:76" hidden="1">
      <c r="C191" s="314" t="s">
        <v>356</v>
      </c>
      <c r="D191" s="315"/>
      <c r="E191" s="315">
        <f t="shared" ref="E191:G191" si="60">-(E7+E93)</f>
        <v>0</v>
      </c>
      <c r="F191" s="315">
        <f t="shared" si="60"/>
        <v>0</v>
      </c>
      <c r="G191" s="315">
        <f t="shared" si="60"/>
        <v>0</v>
      </c>
      <c r="H191" s="315">
        <f>-5341205.5</f>
        <v>-5341205.5</v>
      </c>
      <c r="I191" s="315">
        <f t="shared" ref="I191:S191" si="61">-(I7+I93)</f>
        <v>0</v>
      </c>
      <c r="J191" s="315">
        <f t="shared" si="61"/>
        <v>0</v>
      </c>
      <c r="K191" s="315">
        <f t="shared" si="61"/>
        <v>0</v>
      </c>
      <c r="L191" s="315">
        <f t="shared" si="61"/>
        <v>-9000000</v>
      </c>
      <c r="M191" s="315">
        <f t="shared" si="61"/>
        <v>0</v>
      </c>
      <c r="N191" s="315">
        <f t="shared" si="61"/>
        <v>0</v>
      </c>
      <c r="O191" s="315">
        <f t="shared" si="61"/>
        <v>0</v>
      </c>
      <c r="P191" s="315">
        <f t="shared" si="61"/>
        <v>0</v>
      </c>
      <c r="Q191" s="315">
        <f t="shared" si="61"/>
        <v>0</v>
      </c>
      <c r="R191" s="315">
        <f t="shared" si="61"/>
        <v>0</v>
      </c>
      <c r="S191" s="315">
        <f t="shared" si="61"/>
        <v>0</v>
      </c>
      <c r="T191" s="315">
        <f>5341205.5</f>
        <v>5341205.5</v>
      </c>
      <c r="U191" s="315">
        <f t="shared" ref="U191:BX191" si="62">-(U7+U93)</f>
        <v>0</v>
      </c>
      <c r="V191" s="315">
        <f t="shared" si="62"/>
        <v>0</v>
      </c>
      <c r="W191" s="315">
        <f t="shared" si="62"/>
        <v>0</v>
      </c>
      <c r="X191" s="315">
        <f t="shared" si="62"/>
        <v>0</v>
      </c>
      <c r="Y191" s="315">
        <f t="shared" si="62"/>
        <v>0</v>
      </c>
      <c r="Z191" s="315">
        <f t="shared" si="62"/>
        <v>0</v>
      </c>
      <c r="AA191" s="315">
        <f t="shared" si="62"/>
        <v>0</v>
      </c>
      <c r="AB191" s="315">
        <f t="shared" si="62"/>
        <v>0</v>
      </c>
      <c r="AC191" s="315">
        <f t="shared" si="62"/>
        <v>9000000</v>
      </c>
      <c r="AD191" s="315">
        <f t="shared" si="62"/>
        <v>0</v>
      </c>
      <c r="AE191" s="315">
        <f t="shared" si="62"/>
        <v>0</v>
      </c>
      <c r="AF191" s="315">
        <f t="shared" si="62"/>
        <v>0</v>
      </c>
      <c r="AG191" s="315">
        <f t="shared" si="62"/>
        <v>0</v>
      </c>
      <c r="AH191" s="315">
        <f t="shared" si="62"/>
        <v>0</v>
      </c>
      <c r="AI191" s="315">
        <f t="shared" si="62"/>
        <v>0</v>
      </c>
      <c r="AJ191" s="315">
        <f t="shared" si="62"/>
        <v>0</v>
      </c>
      <c r="AK191" s="315">
        <f t="shared" si="62"/>
        <v>0</v>
      </c>
      <c r="AL191" s="315">
        <f t="shared" si="62"/>
        <v>0</v>
      </c>
      <c r="AM191" s="315">
        <f t="shared" si="62"/>
        <v>0</v>
      </c>
      <c r="AN191" s="315">
        <f t="shared" si="62"/>
        <v>0</v>
      </c>
      <c r="AO191" s="315">
        <f t="shared" si="62"/>
        <v>0</v>
      </c>
      <c r="AP191" s="315">
        <f t="shared" si="62"/>
        <v>0</v>
      </c>
      <c r="AQ191" s="315">
        <f t="shared" si="62"/>
        <v>0</v>
      </c>
      <c r="AR191" s="315">
        <f t="shared" si="62"/>
        <v>0</v>
      </c>
      <c r="AS191" s="315">
        <f t="shared" si="62"/>
        <v>0</v>
      </c>
      <c r="AT191" s="315">
        <f t="shared" si="62"/>
        <v>0</v>
      </c>
      <c r="AU191" s="315">
        <f t="shared" si="62"/>
        <v>0</v>
      </c>
      <c r="AV191" s="315">
        <f t="shared" si="62"/>
        <v>0</v>
      </c>
      <c r="AW191" s="315">
        <f t="shared" si="62"/>
        <v>0</v>
      </c>
      <c r="AX191" s="315">
        <f t="shared" si="62"/>
        <v>0</v>
      </c>
      <c r="AY191" s="315">
        <f t="shared" si="62"/>
        <v>0</v>
      </c>
      <c r="AZ191" s="315">
        <f t="shared" si="62"/>
        <v>0</v>
      </c>
      <c r="BA191" s="315">
        <f t="shared" si="62"/>
        <v>0</v>
      </c>
      <c r="BB191" s="315">
        <f t="shared" si="62"/>
        <v>0</v>
      </c>
      <c r="BC191" s="315">
        <f t="shared" si="62"/>
        <v>0</v>
      </c>
      <c r="BD191" s="315">
        <f t="shared" si="62"/>
        <v>0</v>
      </c>
      <c r="BE191" s="315">
        <f t="shared" si="62"/>
        <v>0</v>
      </c>
      <c r="BF191" s="315">
        <f t="shared" si="62"/>
        <v>0</v>
      </c>
      <c r="BG191" s="315">
        <f t="shared" si="62"/>
        <v>0</v>
      </c>
      <c r="BH191" s="315">
        <f t="shared" si="62"/>
        <v>0</v>
      </c>
      <c r="BI191" s="315">
        <f t="shared" si="62"/>
        <v>0</v>
      </c>
      <c r="BJ191" s="315">
        <f t="shared" si="62"/>
        <v>0</v>
      </c>
      <c r="BK191" s="315">
        <f t="shared" si="62"/>
        <v>0</v>
      </c>
      <c r="BL191" s="315">
        <f t="shared" si="62"/>
        <v>0</v>
      </c>
      <c r="BM191" s="315">
        <f t="shared" si="62"/>
        <v>0</v>
      </c>
      <c r="BN191" s="315">
        <f t="shared" si="62"/>
        <v>0</v>
      </c>
      <c r="BO191" s="315">
        <f t="shared" si="62"/>
        <v>0</v>
      </c>
      <c r="BP191" s="315">
        <f t="shared" si="62"/>
        <v>0</v>
      </c>
      <c r="BQ191" s="315">
        <f t="shared" si="62"/>
        <v>0</v>
      </c>
      <c r="BR191" s="315">
        <f t="shared" si="62"/>
        <v>0</v>
      </c>
      <c r="BS191" s="315">
        <f t="shared" si="62"/>
        <v>0</v>
      </c>
      <c r="BT191" s="315">
        <f t="shared" si="62"/>
        <v>0</v>
      </c>
      <c r="BU191" s="315">
        <f t="shared" si="62"/>
        <v>0</v>
      </c>
      <c r="BV191" s="315">
        <f t="shared" si="62"/>
        <v>0</v>
      </c>
      <c r="BW191" s="315">
        <f t="shared" si="62"/>
        <v>0</v>
      </c>
      <c r="BX191" s="315">
        <f t="shared" si="62"/>
        <v>0</v>
      </c>
    </row>
    <row r="192" spans="3:76" hidden="1">
      <c r="C192" s="314" t="s">
        <v>353</v>
      </c>
      <c r="D192" s="323"/>
      <c r="E192" s="315"/>
      <c r="F192" s="315"/>
      <c r="G192" s="315"/>
      <c r="H192" s="315"/>
      <c r="I192" s="315"/>
      <c r="J192" s="315"/>
      <c r="K192" s="315"/>
      <c r="L192" s="315"/>
      <c r="M192" s="315"/>
      <c r="N192" s="315"/>
      <c r="O192" s="315"/>
      <c r="P192" s="315"/>
      <c r="Q192" s="315"/>
      <c r="R192" s="315"/>
      <c r="S192" s="315"/>
      <c r="T192" s="315"/>
      <c r="U192" s="315"/>
      <c r="V192" s="315"/>
      <c r="W192" s="315"/>
      <c r="X192" s="315"/>
      <c r="Y192" s="315"/>
      <c r="Z192" s="315"/>
      <c r="AA192" s="315"/>
      <c r="AB192" s="315"/>
      <c r="AC192" s="315"/>
      <c r="AD192" s="315"/>
      <c r="AE192" s="315"/>
      <c r="AF192" s="315"/>
      <c r="AG192" s="315"/>
      <c r="AH192" s="315"/>
      <c r="AI192" s="315"/>
      <c r="AJ192" s="315"/>
      <c r="AK192" s="315"/>
      <c r="AL192" s="315"/>
      <c r="AM192" s="315"/>
      <c r="AN192" s="315"/>
      <c r="AO192" s="315"/>
      <c r="AP192" s="315"/>
      <c r="AQ192" s="315"/>
      <c r="AR192" s="315"/>
      <c r="AS192" s="315"/>
      <c r="AT192" s="315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</row>
    <row r="193" spans="3:76" hidden="1">
      <c r="C193" s="314" t="s">
        <v>343</v>
      </c>
      <c r="D193" s="323"/>
      <c r="E193" s="315">
        <f t="shared" ref="E193:BX193" si="63">-E58</f>
        <v>0</v>
      </c>
      <c r="F193" s="315">
        <f t="shared" si="63"/>
        <v>0</v>
      </c>
      <c r="G193" s="315">
        <f t="shared" si="63"/>
        <v>0</v>
      </c>
      <c r="H193" s="315">
        <f t="shared" si="63"/>
        <v>0</v>
      </c>
      <c r="I193" s="315">
        <f t="shared" si="63"/>
        <v>0</v>
      </c>
      <c r="J193" s="315">
        <f t="shared" si="63"/>
        <v>0</v>
      </c>
      <c r="K193" s="315">
        <f t="shared" si="63"/>
        <v>0</v>
      </c>
      <c r="L193" s="315">
        <f t="shared" si="63"/>
        <v>0</v>
      </c>
      <c r="M193" s="315">
        <f t="shared" si="63"/>
        <v>0</v>
      </c>
      <c r="N193" s="315">
        <f t="shared" si="63"/>
        <v>0</v>
      </c>
      <c r="O193" s="315">
        <f t="shared" si="63"/>
        <v>0</v>
      </c>
      <c r="P193" s="315">
        <f t="shared" si="63"/>
        <v>0</v>
      </c>
      <c r="Q193" s="315">
        <f t="shared" si="63"/>
        <v>0</v>
      </c>
      <c r="R193" s="315">
        <f t="shared" si="63"/>
        <v>0</v>
      </c>
      <c r="S193" s="315">
        <f t="shared" si="63"/>
        <v>0</v>
      </c>
      <c r="T193" s="315">
        <f t="shared" si="63"/>
        <v>0</v>
      </c>
      <c r="U193" s="315">
        <f t="shared" si="63"/>
        <v>0</v>
      </c>
      <c r="V193" s="315">
        <f t="shared" si="63"/>
        <v>0</v>
      </c>
      <c r="W193" s="315">
        <f t="shared" si="63"/>
        <v>0</v>
      </c>
      <c r="X193" s="315">
        <f t="shared" si="63"/>
        <v>0</v>
      </c>
      <c r="Y193" s="315">
        <f t="shared" si="63"/>
        <v>0</v>
      </c>
      <c r="Z193" s="315">
        <f t="shared" si="63"/>
        <v>0</v>
      </c>
      <c r="AA193" s="315">
        <f t="shared" si="63"/>
        <v>0</v>
      </c>
      <c r="AB193" s="315">
        <f t="shared" si="63"/>
        <v>0</v>
      </c>
      <c r="AC193" s="315">
        <f t="shared" si="63"/>
        <v>1485000</v>
      </c>
      <c r="AD193" s="315">
        <f t="shared" si="63"/>
        <v>0</v>
      </c>
      <c r="AE193" s="315">
        <f t="shared" si="63"/>
        <v>0</v>
      </c>
      <c r="AF193" s="315">
        <f t="shared" si="63"/>
        <v>0</v>
      </c>
      <c r="AG193" s="315">
        <f t="shared" si="63"/>
        <v>0</v>
      </c>
      <c r="AH193" s="315">
        <f t="shared" si="63"/>
        <v>0</v>
      </c>
      <c r="AI193" s="315">
        <f t="shared" si="63"/>
        <v>0</v>
      </c>
      <c r="AJ193" s="315">
        <f t="shared" si="63"/>
        <v>0</v>
      </c>
      <c r="AK193" s="315">
        <f t="shared" si="63"/>
        <v>0</v>
      </c>
      <c r="AL193" s="315">
        <f t="shared" si="63"/>
        <v>0</v>
      </c>
      <c r="AM193" s="315">
        <f t="shared" si="63"/>
        <v>0</v>
      </c>
      <c r="AN193" s="315">
        <f t="shared" si="63"/>
        <v>0</v>
      </c>
      <c r="AO193" s="315">
        <f t="shared" si="63"/>
        <v>0</v>
      </c>
      <c r="AP193" s="315">
        <f t="shared" si="63"/>
        <v>0</v>
      </c>
      <c r="AQ193" s="315">
        <f t="shared" si="63"/>
        <v>0</v>
      </c>
      <c r="AR193" s="315">
        <f t="shared" si="63"/>
        <v>0</v>
      </c>
      <c r="AS193" s="315">
        <f t="shared" si="63"/>
        <v>0</v>
      </c>
      <c r="AT193" s="315">
        <f t="shared" si="63"/>
        <v>0</v>
      </c>
      <c r="AU193" s="315">
        <f t="shared" si="63"/>
        <v>0</v>
      </c>
      <c r="AV193" s="315">
        <f t="shared" si="63"/>
        <v>0</v>
      </c>
      <c r="AW193" s="315">
        <f t="shared" si="63"/>
        <v>0</v>
      </c>
      <c r="AX193" s="315">
        <f t="shared" si="63"/>
        <v>0</v>
      </c>
      <c r="AY193" s="315">
        <f t="shared" si="63"/>
        <v>0</v>
      </c>
      <c r="AZ193" s="315">
        <f t="shared" si="63"/>
        <v>0</v>
      </c>
      <c r="BA193" s="315">
        <f t="shared" si="63"/>
        <v>0</v>
      </c>
      <c r="BB193" s="315">
        <f t="shared" si="63"/>
        <v>0</v>
      </c>
      <c r="BC193" s="315">
        <f t="shared" si="63"/>
        <v>0</v>
      </c>
      <c r="BD193" s="315">
        <f t="shared" si="63"/>
        <v>0</v>
      </c>
      <c r="BE193" s="315">
        <f t="shared" si="63"/>
        <v>0</v>
      </c>
      <c r="BF193" s="315">
        <f t="shared" si="63"/>
        <v>0</v>
      </c>
      <c r="BG193" s="315">
        <f t="shared" si="63"/>
        <v>0</v>
      </c>
      <c r="BH193" s="315">
        <f t="shared" si="63"/>
        <v>0</v>
      </c>
      <c r="BI193" s="315">
        <f t="shared" si="63"/>
        <v>0</v>
      </c>
      <c r="BJ193" s="315">
        <f t="shared" si="63"/>
        <v>0</v>
      </c>
      <c r="BK193" s="315">
        <f t="shared" si="63"/>
        <v>0</v>
      </c>
      <c r="BL193" s="315">
        <f t="shared" si="63"/>
        <v>0</v>
      </c>
      <c r="BM193" s="315">
        <f t="shared" si="63"/>
        <v>0</v>
      </c>
      <c r="BN193" s="315">
        <f t="shared" si="63"/>
        <v>0</v>
      </c>
      <c r="BO193" s="315">
        <f t="shared" si="63"/>
        <v>0</v>
      </c>
      <c r="BP193" s="315">
        <f t="shared" si="63"/>
        <v>0</v>
      </c>
      <c r="BQ193" s="315">
        <f t="shared" si="63"/>
        <v>0</v>
      </c>
      <c r="BR193" s="315">
        <f t="shared" si="63"/>
        <v>0</v>
      </c>
      <c r="BS193" s="315">
        <f t="shared" si="63"/>
        <v>0</v>
      </c>
      <c r="BT193" s="315">
        <f t="shared" si="63"/>
        <v>0</v>
      </c>
      <c r="BU193" s="315">
        <f t="shared" si="63"/>
        <v>0</v>
      </c>
      <c r="BV193" s="315">
        <f t="shared" si="63"/>
        <v>0</v>
      </c>
      <c r="BW193" s="315">
        <f t="shared" si="63"/>
        <v>0</v>
      </c>
      <c r="BX193" s="315">
        <f t="shared" si="63"/>
        <v>0</v>
      </c>
    </row>
    <row r="194" spans="3:76" hidden="1">
      <c r="C194" s="314" t="s">
        <v>344</v>
      </c>
      <c r="D194" s="323"/>
      <c r="E194" s="315"/>
      <c r="F194" s="315"/>
      <c r="G194" s="315"/>
      <c r="H194" s="315"/>
      <c r="I194" s="315"/>
      <c r="J194" s="315"/>
      <c r="K194" s="315"/>
      <c r="L194" s="315"/>
      <c r="M194" s="315"/>
      <c r="N194" s="315"/>
      <c r="O194" s="315"/>
      <c r="P194" s="315"/>
      <c r="Q194" s="315"/>
      <c r="R194" s="315"/>
      <c r="S194" s="315"/>
      <c r="T194" s="315">
        <v>2750000</v>
      </c>
      <c r="U194" s="315"/>
      <c r="V194" s="315"/>
      <c r="W194" s="315"/>
      <c r="X194" s="315"/>
      <c r="Y194" s="315"/>
      <c r="Z194" s="315"/>
      <c r="AA194" s="315"/>
      <c r="AB194" s="315"/>
      <c r="AC194" s="315"/>
      <c r="AD194" s="315"/>
      <c r="AE194" s="315"/>
      <c r="AF194" s="315"/>
      <c r="AG194" s="315"/>
      <c r="AH194" s="315"/>
      <c r="AI194" s="315"/>
      <c r="AJ194" s="315"/>
      <c r="AK194" s="315"/>
      <c r="AL194" s="315"/>
      <c r="AM194" s="315"/>
      <c r="AN194" s="315"/>
      <c r="AO194" s="315"/>
      <c r="AP194" s="315"/>
      <c r="AQ194" s="315"/>
      <c r="AR194" s="315"/>
      <c r="AS194" s="315"/>
      <c r="AT194" s="315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>
        <f>IF(D105&gt;0.25,(BX100-BX108)*D195,BX100*D195)</f>
        <v>0</v>
      </c>
    </row>
    <row r="195" spans="3:76" hidden="1">
      <c r="C195" s="317" t="s">
        <v>345</v>
      </c>
      <c r="D195" s="323">
        <v>0</v>
      </c>
      <c r="E195" s="246"/>
      <c r="F195" s="246"/>
      <c r="G195" s="246"/>
      <c r="H195" s="246"/>
      <c r="I195" s="246"/>
      <c r="J195" s="246"/>
      <c r="K195" s="246"/>
      <c r="L195" s="246"/>
      <c r="M195" s="246"/>
      <c r="N195" s="246"/>
      <c r="O195" s="246"/>
      <c r="P195" s="246"/>
      <c r="Q195" s="246"/>
      <c r="R195" s="246"/>
      <c r="S195" s="246"/>
      <c r="T195" s="246"/>
      <c r="U195" s="246"/>
      <c r="V195" s="246"/>
      <c r="W195" s="246"/>
      <c r="X195" s="246"/>
      <c r="Y195" s="246"/>
      <c r="Z195" s="246"/>
      <c r="AA195" s="246"/>
      <c r="AB195" s="246"/>
      <c r="AC195" s="246"/>
      <c r="AD195" s="246"/>
      <c r="AE195" s="246"/>
      <c r="AF195" s="246"/>
      <c r="AG195" s="246"/>
      <c r="AH195" s="246"/>
      <c r="AI195" s="246"/>
      <c r="AJ195" s="246"/>
      <c r="AK195" s="246"/>
      <c r="AL195" s="246"/>
      <c r="AM195" s="246"/>
      <c r="AN195" s="246"/>
      <c r="AO195" s="246"/>
      <c r="AP195" s="246"/>
      <c r="AQ195" s="246"/>
      <c r="AR195" s="246"/>
      <c r="AS195" s="246"/>
      <c r="AT195" s="246"/>
      <c r="AU195" s="246"/>
      <c r="AV195" s="246"/>
      <c r="AW195" s="246"/>
      <c r="AX195" s="246"/>
      <c r="AY195" s="246"/>
      <c r="AZ195" s="246"/>
      <c r="BA195" s="246"/>
      <c r="BB195" s="246"/>
      <c r="BC195" s="246"/>
      <c r="BD195" s="246"/>
      <c r="BE195" s="246"/>
      <c r="BF195" s="246"/>
      <c r="BG195" s="246"/>
      <c r="BH195" s="246"/>
      <c r="BI195" s="246"/>
      <c r="BJ195" s="246"/>
      <c r="BK195" s="246"/>
      <c r="BL195" s="246"/>
      <c r="BM195" s="246"/>
      <c r="BN195" s="246"/>
      <c r="BO195" s="246"/>
      <c r="BP195" s="246"/>
      <c r="BQ195" s="246"/>
      <c r="BR195" s="246"/>
      <c r="BS195" s="246"/>
      <c r="BT195" s="246"/>
      <c r="BU195" s="246"/>
      <c r="BV195" s="246"/>
      <c r="BW195" s="246"/>
      <c r="BX195" s="246"/>
    </row>
    <row r="196" spans="3:76" hidden="1">
      <c r="C196" s="314" t="s">
        <v>346</v>
      </c>
      <c r="D196" s="315"/>
      <c r="E196" s="325">
        <f t="shared" ref="E196:BX196" si="64">E191+E192+E193+E194+E195</f>
        <v>0</v>
      </c>
      <c r="F196" s="325">
        <f t="shared" si="64"/>
        <v>0</v>
      </c>
      <c r="G196" s="325">
        <f t="shared" si="64"/>
        <v>0</v>
      </c>
      <c r="H196" s="325">
        <f t="shared" si="64"/>
        <v>-5341205.5</v>
      </c>
      <c r="I196" s="325">
        <f t="shared" si="64"/>
        <v>0</v>
      </c>
      <c r="J196" s="325">
        <f t="shared" si="64"/>
        <v>0</v>
      </c>
      <c r="K196" s="325">
        <f t="shared" si="64"/>
        <v>0</v>
      </c>
      <c r="L196" s="325">
        <f t="shared" si="64"/>
        <v>-9000000</v>
      </c>
      <c r="M196" s="325">
        <f t="shared" si="64"/>
        <v>0</v>
      </c>
      <c r="N196" s="325">
        <f t="shared" si="64"/>
        <v>0</v>
      </c>
      <c r="O196" s="325">
        <f t="shared" si="64"/>
        <v>0</v>
      </c>
      <c r="P196" s="325">
        <f t="shared" si="64"/>
        <v>0</v>
      </c>
      <c r="Q196" s="325">
        <f t="shared" si="64"/>
        <v>0</v>
      </c>
      <c r="R196" s="325">
        <f t="shared" si="64"/>
        <v>0</v>
      </c>
      <c r="S196" s="325">
        <f t="shared" si="64"/>
        <v>0</v>
      </c>
      <c r="T196" s="325">
        <f t="shared" si="64"/>
        <v>8091205.5</v>
      </c>
      <c r="U196" s="325">
        <f t="shared" si="64"/>
        <v>0</v>
      </c>
      <c r="V196" s="325">
        <f t="shared" si="64"/>
        <v>0</v>
      </c>
      <c r="W196" s="325">
        <f t="shared" si="64"/>
        <v>0</v>
      </c>
      <c r="X196" s="325">
        <f t="shared" si="64"/>
        <v>0</v>
      </c>
      <c r="Y196" s="325">
        <f t="shared" si="64"/>
        <v>0</v>
      </c>
      <c r="Z196" s="325">
        <f t="shared" si="64"/>
        <v>0</v>
      </c>
      <c r="AA196" s="325">
        <f t="shared" si="64"/>
        <v>0</v>
      </c>
      <c r="AB196" s="325">
        <f t="shared" si="64"/>
        <v>0</v>
      </c>
      <c r="AC196" s="325">
        <f t="shared" si="64"/>
        <v>10485000</v>
      </c>
      <c r="AD196" s="325">
        <f t="shared" si="64"/>
        <v>0</v>
      </c>
      <c r="AE196" s="325">
        <f t="shared" si="64"/>
        <v>0</v>
      </c>
      <c r="AF196" s="325">
        <f t="shared" si="64"/>
        <v>0</v>
      </c>
      <c r="AG196" s="325">
        <f t="shared" si="64"/>
        <v>0</v>
      </c>
      <c r="AH196" s="325">
        <f t="shared" si="64"/>
        <v>0</v>
      </c>
      <c r="AI196" s="325">
        <f t="shared" si="64"/>
        <v>0</v>
      </c>
      <c r="AJ196" s="325">
        <f t="shared" si="64"/>
        <v>0</v>
      </c>
      <c r="AK196" s="325">
        <f t="shared" si="64"/>
        <v>0</v>
      </c>
      <c r="AL196" s="325">
        <f t="shared" si="64"/>
        <v>0</v>
      </c>
      <c r="AM196" s="325">
        <f t="shared" si="64"/>
        <v>0</v>
      </c>
      <c r="AN196" s="325">
        <f t="shared" si="64"/>
        <v>0</v>
      </c>
      <c r="AO196" s="325">
        <f t="shared" si="64"/>
        <v>0</v>
      </c>
      <c r="AP196" s="325">
        <f t="shared" si="64"/>
        <v>0</v>
      </c>
      <c r="AQ196" s="325">
        <f t="shared" si="64"/>
        <v>0</v>
      </c>
      <c r="AR196" s="325">
        <f t="shared" si="64"/>
        <v>0</v>
      </c>
      <c r="AS196" s="325">
        <f t="shared" si="64"/>
        <v>0</v>
      </c>
      <c r="AT196" s="325">
        <f t="shared" si="64"/>
        <v>0</v>
      </c>
      <c r="AU196" s="325">
        <f t="shared" si="64"/>
        <v>0</v>
      </c>
      <c r="AV196" s="325">
        <f t="shared" si="64"/>
        <v>0</v>
      </c>
      <c r="AW196" s="325">
        <f t="shared" si="64"/>
        <v>0</v>
      </c>
      <c r="AX196" s="325">
        <f t="shared" si="64"/>
        <v>0</v>
      </c>
      <c r="AY196" s="325">
        <f t="shared" si="64"/>
        <v>0</v>
      </c>
      <c r="AZ196" s="325">
        <f t="shared" si="64"/>
        <v>0</v>
      </c>
      <c r="BA196" s="325">
        <f t="shared" si="64"/>
        <v>0</v>
      </c>
      <c r="BB196" s="325">
        <f t="shared" si="64"/>
        <v>0</v>
      </c>
      <c r="BC196" s="325">
        <f t="shared" si="64"/>
        <v>0</v>
      </c>
      <c r="BD196" s="325">
        <f t="shared" si="64"/>
        <v>0</v>
      </c>
      <c r="BE196" s="325">
        <f t="shared" si="64"/>
        <v>0</v>
      </c>
      <c r="BF196" s="325">
        <f t="shared" si="64"/>
        <v>0</v>
      </c>
      <c r="BG196" s="325">
        <f t="shared" si="64"/>
        <v>0</v>
      </c>
      <c r="BH196" s="325">
        <f t="shared" si="64"/>
        <v>0</v>
      </c>
      <c r="BI196" s="325">
        <f t="shared" si="64"/>
        <v>0</v>
      </c>
      <c r="BJ196" s="325">
        <f t="shared" si="64"/>
        <v>0</v>
      </c>
      <c r="BK196" s="325">
        <f t="shared" si="64"/>
        <v>0</v>
      </c>
      <c r="BL196" s="325">
        <f t="shared" si="64"/>
        <v>0</v>
      </c>
      <c r="BM196" s="325">
        <f t="shared" si="64"/>
        <v>0</v>
      </c>
      <c r="BN196" s="325">
        <f t="shared" si="64"/>
        <v>0</v>
      </c>
      <c r="BO196" s="325">
        <f t="shared" si="64"/>
        <v>0</v>
      </c>
      <c r="BP196" s="325">
        <f t="shared" si="64"/>
        <v>0</v>
      </c>
      <c r="BQ196" s="325">
        <f t="shared" si="64"/>
        <v>0</v>
      </c>
      <c r="BR196" s="325">
        <f t="shared" si="64"/>
        <v>0</v>
      </c>
      <c r="BS196" s="325">
        <f t="shared" si="64"/>
        <v>0</v>
      </c>
      <c r="BT196" s="325">
        <f t="shared" si="64"/>
        <v>0</v>
      </c>
      <c r="BU196" s="325">
        <f t="shared" si="64"/>
        <v>0</v>
      </c>
      <c r="BV196" s="325">
        <f t="shared" si="64"/>
        <v>0</v>
      </c>
      <c r="BW196" s="325">
        <f t="shared" si="64"/>
        <v>0</v>
      </c>
      <c r="BX196" s="325">
        <f t="shared" si="64"/>
        <v>0</v>
      </c>
    </row>
    <row r="197" spans="3:76" hidden="1">
      <c r="C197" s="318"/>
      <c r="D197" s="326" t="s">
        <v>354</v>
      </c>
      <c r="E197" s="330">
        <f>E196</f>
        <v>0</v>
      </c>
      <c r="F197" s="330">
        <f t="shared" ref="F197:BX197" si="65">E197+F196</f>
        <v>0</v>
      </c>
      <c r="G197" s="330">
        <f t="shared" si="65"/>
        <v>0</v>
      </c>
      <c r="H197" s="330">
        <f t="shared" si="65"/>
        <v>-5341205.5</v>
      </c>
      <c r="I197" s="330">
        <f t="shared" si="65"/>
        <v>-5341205.5</v>
      </c>
      <c r="J197" s="330">
        <f t="shared" si="65"/>
        <v>-5341205.5</v>
      </c>
      <c r="K197" s="330">
        <f t="shared" si="65"/>
        <v>-5341205.5</v>
      </c>
      <c r="L197" s="330">
        <f t="shared" si="65"/>
        <v>-14341205.5</v>
      </c>
      <c r="M197" s="330">
        <f t="shared" si="65"/>
        <v>-14341205.5</v>
      </c>
      <c r="N197" s="330">
        <f t="shared" si="65"/>
        <v>-14341205.5</v>
      </c>
      <c r="O197" s="330">
        <f t="shared" si="65"/>
        <v>-14341205.5</v>
      </c>
      <c r="P197" s="330">
        <f t="shared" si="65"/>
        <v>-14341205.5</v>
      </c>
      <c r="Q197" s="330">
        <f t="shared" si="65"/>
        <v>-14341205.5</v>
      </c>
      <c r="R197" s="330">
        <f t="shared" si="65"/>
        <v>-14341205.5</v>
      </c>
      <c r="S197" s="330">
        <f t="shared" si="65"/>
        <v>-14341205.5</v>
      </c>
      <c r="T197" s="330">
        <f t="shared" si="65"/>
        <v>-6250000</v>
      </c>
      <c r="U197" s="330">
        <f t="shared" si="65"/>
        <v>-6250000</v>
      </c>
      <c r="V197" s="330">
        <f t="shared" si="65"/>
        <v>-6250000</v>
      </c>
      <c r="W197" s="330">
        <f t="shared" si="65"/>
        <v>-6250000</v>
      </c>
      <c r="X197" s="330">
        <f t="shared" si="65"/>
        <v>-6250000</v>
      </c>
      <c r="Y197" s="330">
        <f t="shared" si="65"/>
        <v>-6250000</v>
      </c>
      <c r="Z197" s="330">
        <f t="shared" si="65"/>
        <v>-6250000</v>
      </c>
      <c r="AA197" s="330">
        <f t="shared" si="65"/>
        <v>-6250000</v>
      </c>
      <c r="AB197" s="330">
        <f t="shared" si="65"/>
        <v>-6250000</v>
      </c>
      <c r="AC197" s="330">
        <f t="shared" si="65"/>
        <v>4235000</v>
      </c>
      <c r="AD197" s="330">
        <f t="shared" si="65"/>
        <v>4235000</v>
      </c>
      <c r="AE197" s="330">
        <f t="shared" si="65"/>
        <v>4235000</v>
      </c>
      <c r="AF197" s="330">
        <f t="shared" si="65"/>
        <v>4235000</v>
      </c>
      <c r="AG197" s="330">
        <f t="shared" si="65"/>
        <v>4235000</v>
      </c>
      <c r="AH197" s="330">
        <f t="shared" si="65"/>
        <v>4235000</v>
      </c>
      <c r="AI197" s="330">
        <f t="shared" si="65"/>
        <v>4235000</v>
      </c>
      <c r="AJ197" s="330">
        <f t="shared" si="65"/>
        <v>4235000</v>
      </c>
      <c r="AK197" s="330">
        <f t="shared" si="65"/>
        <v>4235000</v>
      </c>
      <c r="AL197" s="330">
        <f t="shared" si="65"/>
        <v>4235000</v>
      </c>
      <c r="AM197" s="330">
        <f t="shared" si="65"/>
        <v>4235000</v>
      </c>
      <c r="AN197" s="330">
        <f t="shared" si="65"/>
        <v>4235000</v>
      </c>
      <c r="AO197" s="330">
        <f t="shared" si="65"/>
        <v>4235000</v>
      </c>
      <c r="AP197" s="330">
        <f t="shared" si="65"/>
        <v>4235000</v>
      </c>
      <c r="AQ197" s="330">
        <f t="shared" si="65"/>
        <v>4235000</v>
      </c>
      <c r="AR197" s="330">
        <f t="shared" si="65"/>
        <v>4235000</v>
      </c>
      <c r="AS197" s="330">
        <f t="shared" si="65"/>
        <v>4235000</v>
      </c>
      <c r="AT197" s="330">
        <f t="shared" si="65"/>
        <v>4235000</v>
      </c>
      <c r="AU197" s="330">
        <f t="shared" si="65"/>
        <v>4235000</v>
      </c>
      <c r="AV197" s="330">
        <f t="shared" si="65"/>
        <v>4235000</v>
      </c>
      <c r="AW197" s="330">
        <f t="shared" si="65"/>
        <v>4235000</v>
      </c>
      <c r="AX197" s="330">
        <f t="shared" si="65"/>
        <v>4235000</v>
      </c>
      <c r="AY197" s="330">
        <f t="shared" si="65"/>
        <v>4235000</v>
      </c>
      <c r="AZ197" s="330">
        <f t="shared" si="65"/>
        <v>4235000</v>
      </c>
      <c r="BA197" s="330">
        <f t="shared" si="65"/>
        <v>4235000</v>
      </c>
      <c r="BB197" s="330">
        <f t="shared" si="65"/>
        <v>4235000</v>
      </c>
      <c r="BC197" s="330">
        <f t="shared" si="65"/>
        <v>4235000</v>
      </c>
      <c r="BD197" s="330">
        <f t="shared" si="65"/>
        <v>4235000</v>
      </c>
      <c r="BE197" s="330">
        <f t="shared" si="65"/>
        <v>4235000</v>
      </c>
      <c r="BF197" s="330">
        <f t="shared" si="65"/>
        <v>4235000</v>
      </c>
      <c r="BG197" s="330">
        <f t="shared" si="65"/>
        <v>4235000</v>
      </c>
      <c r="BH197" s="330">
        <f t="shared" si="65"/>
        <v>4235000</v>
      </c>
      <c r="BI197" s="330">
        <f t="shared" si="65"/>
        <v>4235000</v>
      </c>
      <c r="BJ197" s="330">
        <f t="shared" si="65"/>
        <v>4235000</v>
      </c>
      <c r="BK197" s="330">
        <f t="shared" si="65"/>
        <v>4235000</v>
      </c>
      <c r="BL197" s="330">
        <f t="shared" si="65"/>
        <v>4235000</v>
      </c>
      <c r="BM197" s="330">
        <f t="shared" si="65"/>
        <v>4235000</v>
      </c>
      <c r="BN197" s="330">
        <f t="shared" si="65"/>
        <v>4235000</v>
      </c>
      <c r="BO197" s="330">
        <f t="shared" si="65"/>
        <v>4235000</v>
      </c>
      <c r="BP197" s="330">
        <f t="shared" si="65"/>
        <v>4235000</v>
      </c>
      <c r="BQ197" s="330">
        <f t="shared" si="65"/>
        <v>4235000</v>
      </c>
      <c r="BR197" s="330">
        <f t="shared" si="65"/>
        <v>4235000</v>
      </c>
      <c r="BS197" s="330">
        <f t="shared" si="65"/>
        <v>4235000</v>
      </c>
      <c r="BT197" s="330">
        <f t="shared" si="65"/>
        <v>4235000</v>
      </c>
      <c r="BU197" s="330">
        <f t="shared" si="65"/>
        <v>4235000</v>
      </c>
      <c r="BV197" s="330">
        <f t="shared" si="65"/>
        <v>4235000</v>
      </c>
      <c r="BW197" s="330">
        <f t="shared" si="65"/>
        <v>4235000</v>
      </c>
      <c r="BX197" s="330">
        <f t="shared" si="65"/>
        <v>4235000</v>
      </c>
    </row>
    <row r="198" spans="3:76" hidden="1">
      <c r="C198" s="317" t="s">
        <v>339</v>
      </c>
      <c r="D198" s="326">
        <f>IRR(E196:BX196)*12</f>
        <v>0.21720843533556611</v>
      </c>
      <c r="E198" s="226"/>
      <c r="F198" s="226"/>
      <c r="G198" s="226"/>
      <c r="H198" s="226"/>
      <c r="I198" s="226"/>
      <c r="J198" s="226"/>
      <c r="K198" s="226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6"/>
      <c r="AA198" s="226"/>
      <c r="AB198" s="226"/>
      <c r="AC198" s="226"/>
      <c r="AD198" s="226"/>
      <c r="AE198" s="226"/>
      <c r="AF198" s="226"/>
      <c r="AG198" s="226"/>
      <c r="AH198" s="226"/>
      <c r="AI198" s="226"/>
      <c r="AJ198" s="226"/>
      <c r="AK198" s="226"/>
      <c r="AL198" s="226"/>
      <c r="AM198" s="226"/>
      <c r="AN198" s="226"/>
      <c r="AO198" s="226"/>
      <c r="AP198" s="226"/>
      <c r="AQ198" s="226"/>
      <c r="AR198" s="226"/>
      <c r="AS198" s="226"/>
      <c r="AT198" s="226"/>
      <c r="AU198" s="226"/>
      <c r="AV198" s="226"/>
      <c r="AW198" s="226"/>
      <c r="AX198" s="226"/>
      <c r="AY198" s="226"/>
      <c r="AZ198" s="226"/>
      <c r="BA198" s="226"/>
      <c r="BB198" s="226"/>
      <c r="BC198" s="226"/>
      <c r="BD198" s="226"/>
      <c r="BE198" s="226"/>
      <c r="BF198" s="226"/>
      <c r="BG198" s="226"/>
      <c r="BH198" s="226"/>
      <c r="BI198" s="226"/>
      <c r="BJ198" s="226"/>
      <c r="BK198" s="226"/>
      <c r="BL198" s="226"/>
      <c r="BM198" s="226"/>
      <c r="BN198" s="226"/>
      <c r="BO198" s="226"/>
      <c r="BP198" s="226"/>
      <c r="BQ198" s="226"/>
      <c r="BR198" s="226"/>
      <c r="BS198" s="226"/>
      <c r="BT198" s="226"/>
      <c r="BU198" s="226"/>
      <c r="BV198" s="226"/>
      <c r="BW198" s="226"/>
      <c r="BX198" s="226"/>
    </row>
    <row r="199" spans="3:76" hidden="1">
      <c r="C199" s="327" t="s">
        <v>347</v>
      </c>
      <c r="D199" s="328">
        <f>-MIN(M197:BL197)-D200</f>
        <v>14341205.5</v>
      </c>
      <c r="E199" s="226"/>
      <c r="F199" s="226"/>
      <c r="G199" s="226"/>
      <c r="H199" s="226"/>
      <c r="I199" s="226"/>
      <c r="J199" s="226"/>
      <c r="K199" s="226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6"/>
      <c r="AA199" s="226"/>
      <c r="AB199" s="226"/>
      <c r="AC199" s="226"/>
      <c r="AD199" s="226"/>
      <c r="AE199" s="226"/>
      <c r="AF199" s="226"/>
      <c r="AG199" s="226"/>
      <c r="AH199" s="226"/>
      <c r="AI199" s="226"/>
      <c r="AJ199" s="226"/>
      <c r="AK199" s="226"/>
      <c r="AL199" s="226"/>
      <c r="AM199" s="226"/>
      <c r="AN199" s="226"/>
      <c r="AO199" s="226"/>
      <c r="AP199" s="226"/>
      <c r="AQ199" s="226"/>
      <c r="AR199" s="226"/>
      <c r="AS199" s="226"/>
      <c r="AT199" s="226"/>
      <c r="AU199" s="226"/>
      <c r="AV199" s="226"/>
      <c r="AW199" s="226"/>
      <c r="AX199" s="226"/>
      <c r="AY199" s="226"/>
      <c r="AZ199" s="226"/>
      <c r="BA199" s="226"/>
      <c r="BB199" s="226"/>
      <c r="BC199" s="226"/>
      <c r="BD199" s="226"/>
      <c r="BE199" s="226"/>
      <c r="BF199" s="226"/>
      <c r="BG199" s="226"/>
      <c r="BH199" s="226"/>
      <c r="BI199" s="226"/>
      <c r="BJ199" s="226"/>
      <c r="BK199" s="226"/>
      <c r="BL199" s="226"/>
      <c r="BM199" s="226"/>
      <c r="BN199" s="226"/>
      <c r="BO199" s="226"/>
      <c r="BP199" s="226"/>
      <c r="BQ199" s="226"/>
      <c r="BR199" s="226"/>
      <c r="BS199" s="226"/>
      <c r="BT199" s="226"/>
      <c r="BU199" s="226"/>
      <c r="BV199" s="226"/>
      <c r="BW199" s="226"/>
      <c r="BX199" s="226"/>
    </row>
    <row r="200" spans="3:76" hidden="1">
      <c r="C200" s="327" t="s">
        <v>348</v>
      </c>
      <c r="D200" s="328">
        <f>-SUM(M195:BB195)</f>
        <v>0</v>
      </c>
      <c r="E200" s="226"/>
      <c r="F200" s="226"/>
      <c r="G200" s="226"/>
      <c r="H200" s="226"/>
      <c r="I200" s="226"/>
      <c r="J200" s="226"/>
      <c r="K200" s="226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6"/>
      <c r="AA200" s="226"/>
      <c r="AB200" s="226"/>
      <c r="AC200" s="226"/>
      <c r="AD200" s="226"/>
      <c r="AE200" s="226"/>
      <c r="AF200" s="226"/>
      <c r="AG200" s="226"/>
      <c r="AH200" s="226"/>
      <c r="AI200" s="226"/>
      <c r="AJ200" s="226"/>
      <c r="AK200" s="226"/>
      <c r="AL200" s="226"/>
      <c r="AM200" s="226"/>
      <c r="AN200" s="226"/>
      <c r="AO200" s="226"/>
      <c r="AP200" s="226"/>
      <c r="AQ200" s="226"/>
      <c r="AR200" s="226"/>
      <c r="AS200" s="226"/>
      <c r="AT200" s="226"/>
      <c r="AU200" s="226"/>
      <c r="AV200" s="226"/>
      <c r="AW200" s="226"/>
      <c r="AX200" s="226"/>
      <c r="AY200" s="226"/>
      <c r="AZ200" s="226"/>
      <c r="BA200" s="226"/>
      <c r="BB200" s="226"/>
      <c r="BC200" s="226"/>
      <c r="BD200" s="226"/>
      <c r="BE200" s="226"/>
      <c r="BF200" s="226"/>
      <c r="BG200" s="226"/>
      <c r="BH200" s="226"/>
      <c r="BI200" s="226"/>
      <c r="BJ200" s="226"/>
      <c r="BK200" s="226"/>
      <c r="BL200" s="226"/>
      <c r="BM200" s="226"/>
      <c r="BN200" s="226"/>
      <c r="BO200" s="226"/>
      <c r="BP200" s="226"/>
      <c r="BQ200" s="226"/>
      <c r="BR200" s="226"/>
      <c r="BS200" s="226"/>
      <c r="BT200" s="226"/>
      <c r="BU200" s="226"/>
      <c r="BV200" s="226"/>
      <c r="BW200" s="226"/>
      <c r="BX200" s="226"/>
    </row>
    <row r="201" spans="3:76" hidden="1">
      <c r="C201" s="317" t="s">
        <v>349</v>
      </c>
      <c r="D201" s="329">
        <f>D200+D199</f>
        <v>14341205.5</v>
      </c>
      <c r="E201" s="226"/>
      <c r="F201" s="226"/>
      <c r="G201" s="226"/>
      <c r="H201" s="226"/>
      <c r="I201" s="226"/>
      <c r="J201" s="226"/>
      <c r="K201" s="226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6"/>
      <c r="AA201" s="226"/>
      <c r="AB201" s="226"/>
      <c r="AC201" s="226"/>
      <c r="AD201" s="226"/>
      <c r="AE201" s="226"/>
      <c r="AF201" s="226"/>
      <c r="AG201" s="226"/>
      <c r="AH201" s="226"/>
      <c r="AI201" s="226"/>
      <c r="AJ201" s="226"/>
      <c r="AK201" s="226"/>
      <c r="AL201" s="226"/>
      <c r="AM201" s="226"/>
      <c r="AN201" s="226"/>
      <c r="AO201" s="226"/>
      <c r="AP201" s="226"/>
      <c r="AQ201" s="226"/>
      <c r="AR201" s="226"/>
      <c r="AS201" s="226"/>
      <c r="AT201" s="226"/>
      <c r="AU201" s="226"/>
      <c r="AV201" s="226"/>
      <c r="AW201" s="226"/>
      <c r="AX201" s="226"/>
      <c r="AY201" s="226"/>
      <c r="AZ201" s="226"/>
      <c r="BA201" s="226"/>
      <c r="BB201" s="226"/>
      <c r="BC201" s="226"/>
      <c r="BD201" s="226"/>
      <c r="BE201" s="226"/>
      <c r="BF201" s="226"/>
      <c r="BG201" s="226"/>
      <c r="BH201" s="226"/>
      <c r="BI201" s="226"/>
      <c r="BJ201" s="226"/>
      <c r="BK201" s="226"/>
      <c r="BL201" s="226"/>
      <c r="BM201" s="226"/>
      <c r="BN201" s="226"/>
      <c r="BO201" s="226"/>
      <c r="BP201" s="226"/>
      <c r="BQ201" s="226"/>
      <c r="BR201" s="226"/>
      <c r="BS201" s="226"/>
      <c r="BT201" s="226"/>
      <c r="BU201" s="226"/>
      <c r="BV201" s="226"/>
      <c r="BW201" s="226"/>
      <c r="BX201" s="226"/>
    </row>
    <row r="202" spans="3:76" hidden="1">
      <c r="C202" s="317" t="s">
        <v>350</v>
      </c>
      <c r="D202" s="329">
        <f>BX193+BX194</f>
        <v>0</v>
      </c>
      <c r="E202" s="226"/>
      <c r="F202" s="226"/>
      <c r="G202" s="226"/>
      <c r="H202" s="226"/>
      <c r="I202" s="226"/>
      <c r="J202" s="226"/>
      <c r="K202" s="226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6"/>
      <c r="AA202" s="226"/>
      <c r="AB202" s="226"/>
      <c r="AC202" s="226"/>
      <c r="AD202" s="226"/>
      <c r="AE202" s="226"/>
      <c r="AF202" s="226"/>
      <c r="AG202" s="226"/>
      <c r="AH202" s="226"/>
      <c r="AI202" s="226"/>
      <c r="AJ202" s="226"/>
      <c r="AK202" s="226"/>
      <c r="AL202" s="226"/>
      <c r="AM202" s="226"/>
      <c r="AN202" s="226"/>
      <c r="AO202" s="226"/>
      <c r="AP202" s="226"/>
      <c r="AQ202" s="226"/>
      <c r="AR202" s="226"/>
      <c r="AS202" s="226"/>
      <c r="AT202" s="226"/>
      <c r="AU202" s="226"/>
      <c r="AV202" s="226"/>
      <c r="AW202" s="226"/>
      <c r="AX202" s="226"/>
      <c r="AY202" s="226"/>
      <c r="AZ202" s="226"/>
      <c r="BA202" s="226"/>
      <c r="BB202" s="226"/>
      <c r="BC202" s="226"/>
      <c r="BD202" s="226"/>
      <c r="BE202" s="226"/>
      <c r="BF202" s="226"/>
      <c r="BG202" s="226"/>
      <c r="BH202" s="226"/>
      <c r="BI202" s="226"/>
      <c r="BJ202" s="226"/>
      <c r="BK202" s="226"/>
      <c r="BL202" s="226"/>
      <c r="BM202" s="226"/>
      <c r="BN202" s="226"/>
      <c r="BO202" s="226"/>
      <c r="BP202" s="226"/>
      <c r="BQ202" s="226"/>
      <c r="BR202" s="226"/>
      <c r="BS202" s="226"/>
      <c r="BT202" s="226"/>
      <c r="BU202" s="226"/>
      <c r="BV202" s="226"/>
      <c r="BW202" s="226"/>
      <c r="BX202" s="226"/>
    </row>
    <row r="203" spans="3:76" hidden="1">
      <c r="C203" s="317" t="s">
        <v>351</v>
      </c>
      <c r="D203" s="326">
        <f>T194/T191</f>
        <v>0.51486504310684167</v>
      </c>
      <c r="E203" s="226"/>
      <c r="F203" s="226"/>
      <c r="G203" s="226"/>
      <c r="H203" s="226"/>
      <c r="I203" s="226"/>
      <c r="J203" s="226"/>
      <c r="K203" s="226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6"/>
      <c r="AA203" s="226"/>
      <c r="AB203" s="226"/>
      <c r="AC203" s="226"/>
      <c r="AD203" s="226"/>
      <c r="AE203" s="226"/>
      <c r="AF203" s="226"/>
      <c r="AG203" s="226"/>
      <c r="AH203" s="226"/>
      <c r="AI203" s="226"/>
      <c r="AJ203" s="226"/>
      <c r="AK203" s="226"/>
      <c r="AL203" s="226"/>
      <c r="AM203" s="226"/>
      <c r="AN203" s="226"/>
      <c r="AO203" s="226"/>
      <c r="AP203" s="226"/>
      <c r="AQ203" s="226"/>
      <c r="AR203" s="226"/>
      <c r="AS203" s="226"/>
      <c r="AT203" s="226"/>
      <c r="AU203" s="226"/>
      <c r="AV203" s="226"/>
      <c r="AW203" s="226"/>
      <c r="AX203" s="226"/>
      <c r="AY203" s="226"/>
      <c r="AZ203" s="226"/>
      <c r="BA203" s="226"/>
      <c r="BB203" s="226"/>
      <c r="BC203" s="226"/>
      <c r="BD203" s="226"/>
      <c r="BE203" s="226"/>
      <c r="BF203" s="226"/>
      <c r="BG203" s="226"/>
      <c r="BH203" s="226"/>
      <c r="BI203" s="226"/>
      <c r="BJ203" s="226"/>
      <c r="BK203" s="226"/>
      <c r="BL203" s="226"/>
      <c r="BM203" s="226"/>
      <c r="BN203" s="226"/>
      <c r="BO203" s="226"/>
      <c r="BP203" s="226"/>
      <c r="BQ203" s="226"/>
      <c r="BR203" s="226"/>
      <c r="BS203" s="226"/>
      <c r="BT203" s="226"/>
      <c r="BU203" s="226"/>
      <c r="BV203" s="226"/>
      <c r="BW203" s="226"/>
      <c r="BX203" s="226"/>
    </row>
    <row r="204" spans="3:76" hidden="1">
      <c r="E204" s="226"/>
      <c r="F204" s="226"/>
      <c r="G204" s="226"/>
      <c r="H204" s="226"/>
      <c r="I204" s="226"/>
      <c r="J204" s="226"/>
      <c r="K204" s="226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6"/>
      <c r="AA204" s="226"/>
      <c r="AB204" s="226"/>
      <c r="AC204" s="226"/>
      <c r="AD204" s="226"/>
      <c r="AE204" s="226"/>
      <c r="AF204" s="226"/>
      <c r="AG204" s="226"/>
      <c r="AH204" s="226"/>
      <c r="AI204" s="226"/>
      <c r="AJ204" s="226"/>
      <c r="AK204" s="226"/>
      <c r="AL204" s="226"/>
      <c r="AM204" s="226"/>
      <c r="AN204" s="226"/>
      <c r="AO204" s="226"/>
      <c r="AP204" s="226"/>
      <c r="AQ204" s="226"/>
      <c r="AR204" s="226"/>
      <c r="AS204" s="226"/>
      <c r="AT204" s="226"/>
      <c r="AU204" s="226"/>
      <c r="AV204" s="226"/>
      <c r="AW204" s="226"/>
      <c r="AX204" s="226"/>
      <c r="AY204" s="226"/>
      <c r="AZ204" s="226"/>
      <c r="BA204" s="226"/>
      <c r="BB204" s="226"/>
      <c r="BC204" s="226"/>
      <c r="BD204" s="226"/>
      <c r="BE204" s="226"/>
      <c r="BF204" s="226"/>
      <c r="BG204" s="226"/>
      <c r="BH204" s="226"/>
      <c r="BI204" s="226"/>
      <c r="BJ204" s="226"/>
      <c r="BK204" s="226"/>
      <c r="BL204" s="226"/>
      <c r="BM204" s="226"/>
      <c r="BN204" s="226"/>
      <c r="BO204" s="226"/>
      <c r="BP204" s="226"/>
      <c r="BQ204" s="226"/>
      <c r="BR204" s="226"/>
      <c r="BS204" s="226"/>
      <c r="BT204" s="226"/>
      <c r="BU204" s="226"/>
      <c r="BV204" s="226"/>
      <c r="BW204" s="226"/>
      <c r="BX204" s="226"/>
    </row>
    <row r="205" spans="3:76" hidden="1">
      <c r="E205" s="226"/>
      <c r="F205" s="226"/>
      <c r="G205" s="226"/>
      <c r="H205" s="226"/>
      <c r="I205" s="226"/>
      <c r="J205" s="226"/>
      <c r="K205" s="226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6"/>
      <c r="AA205" s="226"/>
      <c r="AB205" s="226"/>
      <c r="AC205" s="226"/>
      <c r="AD205" s="226"/>
      <c r="AE205" s="226"/>
      <c r="AF205" s="226"/>
      <c r="AG205" s="226"/>
      <c r="AH205" s="226"/>
      <c r="AI205" s="226"/>
      <c r="AJ205" s="226"/>
      <c r="AK205" s="226"/>
      <c r="AL205" s="226"/>
      <c r="AM205" s="226"/>
      <c r="AN205" s="226"/>
      <c r="AO205" s="226"/>
      <c r="AP205" s="226"/>
      <c r="AQ205" s="226"/>
      <c r="AR205" s="226"/>
      <c r="AS205" s="226"/>
      <c r="AT205" s="226"/>
      <c r="AU205" s="226"/>
      <c r="AV205" s="226"/>
      <c r="AW205" s="226"/>
      <c r="AX205" s="226"/>
      <c r="AY205" s="226"/>
      <c r="AZ205" s="226"/>
      <c r="BA205" s="226"/>
      <c r="BB205" s="226"/>
      <c r="BC205" s="226"/>
      <c r="BD205" s="226"/>
      <c r="BE205" s="226"/>
      <c r="BF205" s="226"/>
      <c r="BG205" s="226"/>
      <c r="BH205" s="226"/>
      <c r="BI205" s="226"/>
      <c r="BJ205" s="226"/>
      <c r="BK205" s="226"/>
      <c r="BL205" s="226"/>
      <c r="BM205" s="226"/>
      <c r="BN205" s="226"/>
      <c r="BO205" s="226"/>
      <c r="BP205" s="226"/>
      <c r="BQ205" s="226"/>
      <c r="BR205" s="226"/>
      <c r="BS205" s="226"/>
      <c r="BT205" s="226"/>
      <c r="BU205" s="226"/>
      <c r="BV205" s="226"/>
      <c r="BW205" s="226"/>
      <c r="BX205" s="226"/>
    </row>
    <row r="206" spans="3:76" hidden="1">
      <c r="E206" s="226"/>
      <c r="F206" s="226"/>
      <c r="G206" s="226"/>
      <c r="H206" s="226"/>
      <c r="I206" s="226"/>
      <c r="J206" s="226"/>
      <c r="K206" s="226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6"/>
      <c r="AA206" s="226"/>
      <c r="AB206" s="226"/>
      <c r="AC206" s="226"/>
      <c r="AD206" s="226"/>
      <c r="AE206" s="226"/>
      <c r="AF206" s="226"/>
      <c r="AG206" s="226"/>
      <c r="AH206" s="226"/>
      <c r="AI206" s="226"/>
      <c r="AJ206" s="226"/>
      <c r="AK206" s="226"/>
      <c r="AL206" s="226"/>
      <c r="AM206" s="226"/>
      <c r="AN206" s="226"/>
      <c r="AO206" s="226"/>
      <c r="AP206" s="226"/>
      <c r="AQ206" s="226"/>
      <c r="AR206" s="226"/>
      <c r="AS206" s="226"/>
      <c r="AT206" s="226"/>
      <c r="AU206" s="226"/>
      <c r="AV206" s="226"/>
      <c r="AW206" s="226"/>
      <c r="AX206" s="226"/>
      <c r="AY206" s="226"/>
      <c r="AZ206" s="226"/>
      <c r="BA206" s="226"/>
      <c r="BB206" s="226"/>
      <c r="BC206" s="226"/>
      <c r="BD206" s="226"/>
      <c r="BE206" s="226"/>
      <c r="BF206" s="226"/>
      <c r="BG206" s="226"/>
      <c r="BH206" s="226"/>
      <c r="BI206" s="226"/>
      <c r="BJ206" s="226"/>
      <c r="BK206" s="226"/>
      <c r="BL206" s="226"/>
      <c r="BM206" s="226"/>
      <c r="BN206" s="226"/>
      <c r="BO206" s="226"/>
      <c r="BP206" s="226"/>
      <c r="BQ206" s="226"/>
      <c r="BR206" s="226"/>
      <c r="BS206" s="226"/>
      <c r="BT206" s="226"/>
      <c r="BU206" s="226"/>
      <c r="BV206" s="226"/>
      <c r="BW206" s="226"/>
      <c r="BX206" s="226"/>
    </row>
    <row r="207" spans="3:76" hidden="1">
      <c r="C207" s="314" t="s">
        <v>357</v>
      </c>
      <c r="D207" s="315"/>
      <c r="E207" s="316">
        <f t="shared" ref="E207:G207" si="66">-(E8+E94)</f>
        <v>0</v>
      </c>
      <c r="F207" s="316">
        <f t="shared" si="66"/>
        <v>0</v>
      </c>
      <c r="G207" s="316">
        <f t="shared" si="66"/>
        <v>0</v>
      </c>
      <c r="H207" s="315">
        <f>-5341205.5</f>
        <v>-5341205.5</v>
      </c>
      <c r="I207" s="315">
        <v>0</v>
      </c>
      <c r="J207" s="315">
        <v>0</v>
      </c>
      <c r="K207" s="315">
        <v>0</v>
      </c>
      <c r="L207" s="315">
        <v>0</v>
      </c>
      <c r="M207" s="315">
        <v>0</v>
      </c>
      <c r="N207" s="315">
        <v>0</v>
      </c>
      <c r="O207" s="315">
        <v>0</v>
      </c>
      <c r="P207" s="315">
        <v>0</v>
      </c>
      <c r="Q207" s="315">
        <v>0</v>
      </c>
      <c r="R207" s="315">
        <v>0</v>
      </c>
      <c r="S207" s="315">
        <v>0</v>
      </c>
      <c r="T207" s="315">
        <f>5341205.5</f>
        <v>5341205.5</v>
      </c>
      <c r="U207" s="316">
        <f t="shared" ref="U207:BX207" si="67">-(U8+U94)</f>
        <v>0</v>
      </c>
      <c r="V207" s="316">
        <f t="shared" si="67"/>
        <v>0</v>
      </c>
      <c r="W207" s="316">
        <f t="shared" si="67"/>
        <v>0</v>
      </c>
      <c r="X207" s="316">
        <f t="shared" si="67"/>
        <v>0</v>
      </c>
      <c r="Y207" s="316">
        <f t="shared" si="67"/>
        <v>0</v>
      </c>
      <c r="Z207" s="316">
        <f t="shared" si="67"/>
        <v>0</v>
      </c>
      <c r="AA207" s="316">
        <f t="shared" si="67"/>
        <v>0</v>
      </c>
      <c r="AB207" s="316">
        <f t="shared" si="67"/>
        <v>0</v>
      </c>
      <c r="AC207" s="316">
        <f t="shared" si="67"/>
        <v>0</v>
      </c>
      <c r="AD207" s="316">
        <f t="shared" si="67"/>
        <v>0</v>
      </c>
      <c r="AE207" s="316">
        <f t="shared" si="67"/>
        <v>0</v>
      </c>
      <c r="AF207" s="316">
        <f t="shared" si="67"/>
        <v>0</v>
      </c>
      <c r="AG207" s="316">
        <f t="shared" si="67"/>
        <v>0</v>
      </c>
      <c r="AH207" s="316">
        <f t="shared" si="67"/>
        <v>0</v>
      </c>
      <c r="AI207" s="316">
        <f t="shared" si="67"/>
        <v>0</v>
      </c>
      <c r="AJ207" s="316">
        <f t="shared" si="67"/>
        <v>0</v>
      </c>
      <c r="AK207" s="316">
        <f t="shared" si="67"/>
        <v>0</v>
      </c>
      <c r="AL207" s="316">
        <f t="shared" si="67"/>
        <v>0</v>
      </c>
      <c r="AM207" s="316">
        <f t="shared" si="67"/>
        <v>0</v>
      </c>
      <c r="AN207" s="316">
        <f t="shared" si="67"/>
        <v>0</v>
      </c>
      <c r="AO207" s="316">
        <f t="shared" si="67"/>
        <v>0</v>
      </c>
      <c r="AP207" s="316">
        <f t="shared" si="67"/>
        <v>0</v>
      </c>
      <c r="AQ207" s="316">
        <f t="shared" si="67"/>
        <v>0</v>
      </c>
      <c r="AR207" s="316">
        <f t="shared" si="67"/>
        <v>0</v>
      </c>
      <c r="AS207" s="316">
        <f t="shared" si="67"/>
        <v>0</v>
      </c>
      <c r="AT207" s="316">
        <f t="shared" si="67"/>
        <v>0</v>
      </c>
      <c r="AU207" s="316">
        <f t="shared" si="67"/>
        <v>0</v>
      </c>
      <c r="AV207" s="316">
        <f t="shared" si="67"/>
        <v>0</v>
      </c>
      <c r="AW207" s="316">
        <f t="shared" si="67"/>
        <v>0</v>
      </c>
      <c r="AX207" s="316">
        <f t="shared" si="67"/>
        <v>0</v>
      </c>
      <c r="AY207" s="316">
        <f t="shared" si="67"/>
        <v>0</v>
      </c>
      <c r="AZ207" s="316">
        <f t="shared" si="67"/>
        <v>0</v>
      </c>
      <c r="BA207" s="316">
        <f t="shared" si="67"/>
        <v>0</v>
      </c>
      <c r="BB207" s="316">
        <f t="shared" si="67"/>
        <v>0</v>
      </c>
      <c r="BC207" s="316">
        <f t="shared" si="67"/>
        <v>0</v>
      </c>
      <c r="BD207" s="316">
        <f t="shared" si="67"/>
        <v>0</v>
      </c>
      <c r="BE207" s="316">
        <f t="shared" si="67"/>
        <v>0</v>
      </c>
      <c r="BF207" s="316">
        <f t="shared" si="67"/>
        <v>0</v>
      </c>
      <c r="BG207" s="316">
        <f t="shared" si="67"/>
        <v>0</v>
      </c>
      <c r="BH207" s="316">
        <f t="shared" si="67"/>
        <v>0</v>
      </c>
      <c r="BI207" s="316">
        <f t="shared" si="67"/>
        <v>0</v>
      </c>
      <c r="BJ207" s="316">
        <f t="shared" si="67"/>
        <v>0</v>
      </c>
      <c r="BK207" s="316">
        <f t="shared" si="67"/>
        <v>0</v>
      </c>
      <c r="BL207" s="316">
        <f t="shared" si="67"/>
        <v>0</v>
      </c>
      <c r="BM207" s="316">
        <f t="shared" si="67"/>
        <v>0</v>
      </c>
      <c r="BN207" s="316">
        <f t="shared" si="67"/>
        <v>0</v>
      </c>
      <c r="BO207" s="316">
        <f t="shared" si="67"/>
        <v>0</v>
      </c>
      <c r="BP207" s="316">
        <f t="shared" si="67"/>
        <v>0</v>
      </c>
      <c r="BQ207" s="316">
        <f t="shared" si="67"/>
        <v>0</v>
      </c>
      <c r="BR207" s="316">
        <f t="shared" si="67"/>
        <v>0</v>
      </c>
      <c r="BS207" s="316">
        <f t="shared" si="67"/>
        <v>0</v>
      </c>
      <c r="BT207" s="316">
        <f t="shared" si="67"/>
        <v>0</v>
      </c>
      <c r="BU207" s="316">
        <f t="shared" si="67"/>
        <v>0</v>
      </c>
      <c r="BV207" s="316">
        <f t="shared" si="67"/>
        <v>0</v>
      </c>
      <c r="BW207" s="316">
        <f t="shared" si="67"/>
        <v>0</v>
      </c>
      <c r="BX207" s="316">
        <f t="shared" si="67"/>
        <v>0</v>
      </c>
    </row>
    <row r="208" spans="3:76" hidden="1">
      <c r="C208" s="314" t="s">
        <v>353</v>
      </c>
      <c r="D208" s="323"/>
      <c r="E208" s="315"/>
      <c r="F208" s="315"/>
      <c r="G208" s="315"/>
      <c r="H208" s="315"/>
      <c r="I208" s="315"/>
      <c r="J208" s="315"/>
      <c r="K208" s="315"/>
      <c r="L208" s="315"/>
      <c r="M208" s="315"/>
      <c r="N208" s="315"/>
      <c r="O208" s="315"/>
      <c r="P208" s="315"/>
      <c r="Q208" s="315"/>
      <c r="R208" s="315"/>
      <c r="S208" s="315"/>
      <c r="T208" s="315"/>
      <c r="U208" s="315"/>
      <c r="V208" s="315"/>
      <c r="W208" s="315"/>
      <c r="X208" s="315"/>
      <c r="Y208" s="315"/>
      <c r="Z208" s="315"/>
      <c r="AA208" s="315"/>
      <c r="AB208" s="315"/>
      <c r="AC208" s="315"/>
      <c r="AD208" s="315"/>
      <c r="AE208" s="315"/>
      <c r="AF208" s="315"/>
      <c r="AG208" s="315"/>
      <c r="AH208" s="315"/>
      <c r="AI208" s="315"/>
      <c r="AJ208" s="315"/>
      <c r="AK208" s="315"/>
      <c r="AL208" s="315"/>
      <c r="AM208" s="315"/>
      <c r="AN208" s="315"/>
      <c r="AO208" s="315"/>
      <c r="AP208" s="315"/>
      <c r="AQ208" s="315"/>
      <c r="AR208" s="315"/>
      <c r="AS208" s="315"/>
      <c r="AT208" s="315"/>
      <c r="AU208" s="315"/>
      <c r="AV208" s="315"/>
      <c r="AW208" s="315"/>
      <c r="AX208" s="315"/>
      <c r="AY208" s="315"/>
      <c r="AZ208" s="315"/>
      <c r="BA208" s="315"/>
      <c r="BB208" s="315"/>
      <c r="BC208" s="316"/>
      <c r="BD208" s="315"/>
      <c r="BE208" s="315"/>
      <c r="BF208" s="315"/>
      <c r="BG208" s="315"/>
      <c r="BH208" s="315"/>
      <c r="BI208" s="315"/>
      <c r="BJ208" s="315"/>
      <c r="BK208" s="315"/>
      <c r="BL208" s="315"/>
      <c r="BM208" s="315"/>
      <c r="BN208" s="315"/>
      <c r="BO208" s="315"/>
      <c r="BP208" s="315"/>
      <c r="BQ208" s="315"/>
      <c r="BR208" s="315"/>
      <c r="BS208" s="315"/>
      <c r="BT208" s="315"/>
      <c r="BU208" s="315"/>
      <c r="BV208" s="315"/>
      <c r="BW208" s="315"/>
      <c r="BX208" s="315"/>
    </row>
    <row r="209" spans="3:76" hidden="1">
      <c r="C209" s="314" t="s">
        <v>343</v>
      </c>
      <c r="D209" s="323"/>
      <c r="E209" s="315">
        <f t="shared" ref="E209:G209" si="68">-E59</f>
        <v>0</v>
      </c>
      <c r="F209" s="315">
        <f t="shared" si="68"/>
        <v>0</v>
      </c>
      <c r="G209" s="315">
        <f t="shared" si="68"/>
        <v>0</v>
      </c>
      <c r="H209" s="315">
        <f t="shared" ref="H209:T209" si="69">-H74</f>
        <v>0</v>
      </c>
      <c r="I209" s="315">
        <f t="shared" si="69"/>
        <v>0</v>
      </c>
      <c r="J209" s="315">
        <f t="shared" si="69"/>
        <v>0</v>
      </c>
      <c r="K209" s="315">
        <f t="shared" si="69"/>
        <v>0</v>
      </c>
      <c r="L209" s="315">
        <f t="shared" si="69"/>
        <v>0</v>
      </c>
      <c r="M209" s="315">
        <f t="shared" si="69"/>
        <v>0</v>
      </c>
      <c r="N209" s="315">
        <f t="shared" si="69"/>
        <v>0</v>
      </c>
      <c r="O209" s="315">
        <f t="shared" si="69"/>
        <v>0</v>
      </c>
      <c r="P209" s="315">
        <f t="shared" si="69"/>
        <v>0</v>
      </c>
      <c r="Q209" s="315">
        <f t="shared" si="69"/>
        <v>0</v>
      </c>
      <c r="R209" s="315">
        <f t="shared" si="69"/>
        <v>0</v>
      </c>
      <c r="S209" s="315">
        <f t="shared" si="69"/>
        <v>0</v>
      </c>
      <c r="T209" s="315">
        <f t="shared" si="69"/>
        <v>0</v>
      </c>
      <c r="U209" s="315">
        <f t="shared" ref="U209:BX209" si="70">-U59</f>
        <v>0</v>
      </c>
      <c r="V209" s="315">
        <f t="shared" si="70"/>
        <v>0</v>
      </c>
      <c r="W209" s="315">
        <f t="shared" si="70"/>
        <v>0</v>
      </c>
      <c r="X209" s="315">
        <f t="shared" si="70"/>
        <v>0</v>
      </c>
      <c r="Y209" s="315">
        <f t="shared" si="70"/>
        <v>0</v>
      </c>
      <c r="Z209" s="315">
        <f t="shared" si="70"/>
        <v>0</v>
      </c>
      <c r="AA209" s="315">
        <f t="shared" si="70"/>
        <v>0</v>
      </c>
      <c r="AB209" s="315">
        <f t="shared" si="70"/>
        <v>0</v>
      </c>
      <c r="AC209" s="315">
        <f t="shared" si="70"/>
        <v>0</v>
      </c>
      <c r="AD209" s="315">
        <f t="shared" si="70"/>
        <v>0</v>
      </c>
      <c r="AE209" s="315">
        <f t="shared" si="70"/>
        <v>0</v>
      </c>
      <c r="AF209" s="315">
        <f t="shared" si="70"/>
        <v>0</v>
      </c>
      <c r="AG209" s="315">
        <f t="shared" si="70"/>
        <v>0</v>
      </c>
      <c r="AH209" s="315">
        <f t="shared" si="70"/>
        <v>0</v>
      </c>
      <c r="AI209" s="315">
        <f t="shared" si="70"/>
        <v>0</v>
      </c>
      <c r="AJ209" s="315">
        <f t="shared" si="70"/>
        <v>0</v>
      </c>
      <c r="AK209" s="315">
        <f t="shared" si="70"/>
        <v>0</v>
      </c>
      <c r="AL209" s="315">
        <f t="shared" si="70"/>
        <v>0</v>
      </c>
      <c r="AM209" s="315">
        <f t="shared" si="70"/>
        <v>0</v>
      </c>
      <c r="AN209" s="315">
        <f t="shared" si="70"/>
        <v>0</v>
      </c>
      <c r="AO209" s="315">
        <f t="shared" si="70"/>
        <v>0</v>
      </c>
      <c r="AP209" s="315">
        <f t="shared" si="70"/>
        <v>0</v>
      </c>
      <c r="AQ209" s="315">
        <f t="shared" si="70"/>
        <v>0</v>
      </c>
      <c r="AR209" s="315">
        <f t="shared" si="70"/>
        <v>0</v>
      </c>
      <c r="AS209" s="315">
        <f t="shared" si="70"/>
        <v>0</v>
      </c>
      <c r="AT209" s="315">
        <f t="shared" si="70"/>
        <v>0</v>
      </c>
      <c r="AU209" s="315">
        <f t="shared" si="70"/>
        <v>0</v>
      </c>
      <c r="AV209" s="315">
        <f t="shared" si="70"/>
        <v>0</v>
      </c>
      <c r="AW209" s="315">
        <f t="shared" si="70"/>
        <v>0</v>
      </c>
      <c r="AX209" s="315">
        <f t="shared" si="70"/>
        <v>0</v>
      </c>
      <c r="AY209" s="315">
        <f t="shared" si="70"/>
        <v>0</v>
      </c>
      <c r="AZ209" s="315">
        <f t="shared" si="70"/>
        <v>0</v>
      </c>
      <c r="BA209" s="315">
        <f t="shared" si="70"/>
        <v>0</v>
      </c>
      <c r="BB209" s="315">
        <f t="shared" si="70"/>
        <v>0</v>
      </c>
      <c r="BC209" s="315">
        <f t="shared" si="70"/>
        <v>0</v>
      </c>
      <c r="BD209" s="315">
        <f t="shared" si="70"/>
        <v>0</v>
      </c>
      <c r="BE209" s="315">
        <f t="shared" si="70"/>
        <v>0</v>
      </c>
      <c r="BF209" s="315">
        <f t="shared" si="70"/>
        <v>0</v>
      </c>
      <c r="BG209" s="315">
        <f t="shared" si="70"/>
        <v>0</v>
      </c>
      <c r="BH209" s="315">
        <f t="shared" si="70"/>
        <v>0</v>
      </c>
      <c r="BI209" s="315">
        <f t="shared" si="70"/>
        <v>0</v>
      </c>
      <c r="BJ209" s="315">
        <f t="shared" si="70"/>
        <v>0</v>
      </c>
      <c r="BK209" s="315">
        <f t="shared" si="70"/>
        <v>0</v>
      </c>
      <c r="BL209" s="315">
        <f t="shared" si="70"/>
        <v>0</v>
      </c>
      <c r="BM209" s="315">
        <f t="shared" si="70"/>
        <v>0</v>
      </c>
      <c r="BN209" s="315">
        <f t="shared" si="70"/>
        <v>0</v>
      </c>
      <c r="BO209" s="315">
        <f t="shared" si="70"/>
        <v>0</v>
      </c>
      <c r="BP209" s="315">
        <f t="shared" si="70"/>
        <v>0</v>
      </c>
      <c r="BQ209" s="315">
        <f t="shared" si="70"/>
        <v>0</v>
      </c>
      <c r="BR209" s="315">
        <f t="shared" si="70"/>
        <v>0</v>
      </c>
      <c r="BS209" s="315">
        <f t="shared" si="70"/>
        <v>0</v>
      </c>
      <c r="BT209" s="315">
        <f t="shared" si="70"/>
        <v>0</v>
      </c>
      <c r="BU209" s="315">
        <f t="shared" si="70"/>
        <v>0</v>
      </c>
      <c r="BV209" s="315">
        <f t="shared" si="70"/>
        <v>0</v>
      </c>
      <c r="BW209" s="315">
        <f t="shared" si="70"/>
        <v>0</v>
      </c>
      <c r="BX209" s="315">
        <f t="shared" si="70"/>
        <v>0</v>
      </c>
    </row>
    <row r="210" spans="3:76" hidden="1">
      <c r="C210" s="314" t="s">
        <v>344</v>
      </c>
      <c r="D210" s="323"/>
      <c r="E210" s="315"/>
      <c r="F210" s="315"/>
      <c r="G210" s="315"/>
      <c r="H210" s="315"/>
      <c r="I210" s="315"/>
      <c r="J210" s="315"/>
      <c r="K210" s="315"/>
      <c r="L210" s="315"/>
      <c r="M210" s="315"/>
      <c r="N210" s="315"/>
      <c r="O210" s="315"/>
      <c r="P210" s="315"/>
      <c r="Q210" s="315"/>
      <c r="R210" s="315"/>
      <c r="S210" s="315"/>
      <c r="T210" s="315">
        <v>2750000</v>
      </c>
      <c r="U210" s="315"/>
      <c r="V210" s="315"/>
      <c r="W210" s="315"/>
      <c r="X210" s="315"/>
      <c r="Y210" s="315"/>
      <c r="Z210" s="315"/>
      <c r="AA210" s="315"/>
      <c r="AB210" s="315"/>
      <c r="AC210" s="315"/>
      <c r="AD210" s="315"/>
      <c r="AE210" s="315"/>
      <c r="AF210" s="315"/>
      <c r="AG210" s="315"/>
      <c r="AH210" s="315"/>
      <c r="AI210" s="315"/>
      <c r="AJ210" s="315"/>
      <c r="AK210" s="315"/>
      <c r="AL210" s="315"/>
      <c r="AM210" s="315"/>
      <c r="AN210" s="315"/>
      <c r="AO210" s="315"/>
      <c r="AP210" s="315"/>
      <c r="AQ210" s="315"/>
      <c r="AR210" s="315"/>
      <c r="AS210" s="315"/>
      <c r="AT210" s="315"/>
      <c r="AU210" s="315"/>
      <c r="AV210" s="315"/>
      <c r="AW210" s="315"/>
      <c r="AX210" s="315"/>
      <c r="AY210" s="315"/>
      <c r="AZ210" s="315"/>
      <c r="BA210" s="315"/>
      <c r="BB210" s="315"/>
      <c r="BC210" s="316"/>
      <c r="BD210" s="315"/>
      <c r="BE210" s="315"/>
      <c r="BF210" s="315"/>
      <c r="BG210" s="315"/>
      <c r="BH210" s="315"/>
      <c r="BI210" s="315"/>
      <c r="BJ210" s="315"/>
      <c r="BK210" s="315"/>
      <c r="BL210" s="315"/>
      <c r="BM210" s="315"/>
      <c r="BN210" s="315"/>
      <c r="BO210" s="315"/>
      <c r="BP210" s="315"/>
      <c r="BQ210" s="315"/>
      <c r="BR210" s="315"/>
      <c r="BS210" s="315"/>
      <c r="BT210" s="315"/>
      <c r="BU210" s="315"/>
      <c r="BV210" s="315"/>
      <c r="BW210" s="315"/>
      <c r="BX210" s="315">
        <f>IF(D105&gt;0.25,(BX100-BX108)*D211,BX100*D211)</f>
        <v>0</v>
      </c>
    </row>
    <row r="211" spans="3:76" hidden="1">
      <c r="C211" s="317" t="s">
        <v>345</v>
      </c>
      <c r="D211" s="323">
        <v>0</v>
      </c>
      <c r="E211" s="315"/>
      <c r="F211" s="315"/>
      <c r="G211" s="315"/>
      <c r="H211" s="246"/>
      <c r="I211" s="246"/>
      <c r="J211" s="246"/>
      <c r="K211" s="246"/>
      <c r="L211" s="246"/>
      <c r="M211" s="246"/>
      <c r="N211" s="246"/>
      <c r="O211" s="246"/>
      <c r="P211" s="246"/>
      <c r="Q211" s="246"/>
      <c r="R211" s="246"/>
      <c r="S211" s="246"/>
      <c r="T211" s="246"/>
      <c r="U211" s="315"/>
      <c r="V211" s="315"/>
      <c r="W211" s="315"/>
      <c r="X211" s="315"/>
      <c r="Y211" s="315"/>
      <c r="Z211" s="315"/>
      <c r="AA211" s="315"/>
      <c r="AB211" s="315"/>
      <c r="AC211" s="315"/>
      <c r="AD211" s="315"/>
      <c r="AE211" s="315"/>
      <c r="AF211" s="315"/>
      <c r="AG211" s="315"/>
      <c r="AH211" s="315"/>
      <c r="AI211" s="315"/>
      <c r="AJ211" s="315"/>
      <c r="AK211" s="315"/>
      <c r="AL211" s="315"/>
      <c r="AM211" s="315"/>
      <c r="AN211" s="315"/>
      <c r="AO211" s="315"/>
      <c r="AP211" s="315"/>
      <c r="AQ211" s="315"/>
      <c r="AR211" s="315"/>
      <c r="AS211" s="315"/>
      <c r="AT211" s="315"/>
      <c r="AU211" s="315"/>
      <c r="AV211" s="315"/>
      <c r="AW211" s="315"/>
      <c r="AX211" s="315"/>
      <c r="AY211" s="315"/>
      <c r="AZ211" s="315"/>
      <c r="BA211" s="315"/>
      <c r="BB211" s="315"/>
      <c r="BC211" s="316"/>
      <c r="BD211" s="315"/>
      <c r="BE211" s="315"/>
      <c r="BF211" s="315"/>
      <c r="BG211" s="315"/>
      <c r="BH211" s="315"/>
      <c r="BI211" s="315"/>
      <c r="BJ211" s="315"/>
      <c r="BK211" s="315"/>
      <c r="BL211" s="315"/>
      <c r="BM211" s="315"/>
      <c r="BN211" s="315"/>
      <c r="BO211" s="315"/>
      <c r="BP211" s="315"/>
      <c r="BQ211" s="315"/>
      <c r="BR211" s="315"/>
      <c r="BS211" s="315"/>
      <c r="BT211" s="315"/>
      <c r="BU211" s="315"/>
      <c r="BV211" s="315"/>
      <c r="BW211" s="315"/>
      <c r="BX211" s="315"/>
    </row>
    <row r="212" spans="3:76" hidden="1">
      <c r="C212" s="314" t="s">
        <v>346</v>
      </c>
      <c r="D212" s="315"/>
      <c r="E212" s="325">
        <f t="shared" ref="E212:BX212" si="71">E207+E208+E209+E210+E211</f>
        <v>0</v>
      </c>
      <c r="F212" s="325">
        <f t="shared" si="71"/>
        <v>0</v>
      </c>
      <c r="G212" s="325">
        <f t="shared" si="71"/>
        <v>0</v>
      </c>
      <c r="H212" s="325">
        <f t="shared" si="71"/>
        <v>-5341205.5</v>
      </c>
      <c r="I212" s="325">
        <f t="shared" si="71"/>
        <v>0</v>
      </c>
      <c r="J212" s="325">
        <f t="shared" si="71"/>
        <v>0</v>
      </c>
      <c r="K212" s="325">
        <f t="shared" si="71"/>
        <v>0</v>
      </c>
      <c r="L212" s="325">
        <f t="shared" si="71"/>
        <v>0</v>
      </c>
      <c r="M212" s="325">
        <f t="shared" si="71"/>
        <v>0</v>
      </c>
      <c r="N212" s="325">
        <f t="shared" si="71"/>
        <v>0</v>
      </c>
      <c r="O212" s="325">
        <f t="shared" si="71"/>
        <v>0</v>
      </c>
      <c r="P212" s="325">
        <f t="shared" si="71"/>
        <v>0</v>
      </c>
      <c r="Q212" s="325">
        <f t="shared" si="71"/>
        <v>0</v>
      </c>
      <c r="R212" s="325">
        <f t="shared" si="71"/>
        <v>0</v>
      </c>
      <c r="S212" s="325">
        <f t="shared" si="71"/>
        <v>0</v>
      </c>
      <c r="T212" s="325">
        <f t="shared" si="71"/>
        <v>8091205.5</v>
      </c>
      <c r="U212" s="325">
        <f t="shared" si="71"/>
        <v>0</v>
      </c>
      <c r="V212" s="325">
        <f t="shared" si="71"/>
        <v>0</v>
      </c>
      <c r="W212" s="325">
        <f t="shared" si="71"/>
        <v>0</v>
      </c>
      <c r="X212" s="325">
        <f t="shared" si="71"/>
        <v>0</v>
      </c>
      <c r="Y212" s="325">
        <f t="shared" si="71"/>
        <v>0</v>
      </c>
      <c r="Z212" s="325">
        <f t="shared" si="71"/>
        <v>0</v>
      </c>
      <c r="AA212" s="325">
        <f t="shared" si="71"/>
        <v>0</v>
      </c>
      <c r="AB212" s="325">
        <f t="shared" si="71"/>
        <v>0</v>
      </c>
      <c r="AC212" s="325">
        <f t="shared" si="71"/>
        <v>0</v>
      </c>
      <c r="AD212" s="325">
        <f t="shared" si="71"/>
        <v>0</v>
      </c>
      <c r="AE212" s="325">
        <f t="shared" si="71"/>
        <v>0</v>
      </c>
      <c r="AF212" s="325">
        <f t="shared" si="71"/>
        <v>0</v>
      </c>
      <c r="AG212" s="325">
        <f t="shared" si="71"/>
        <v>0</v>
      </c>
      <c r="AH212" s="325">
        <f t="shared" si="71"/>
        <v>0</v>
      </c>
      <c r="AI212" s="325">
        <f t="shared" si="71"/>
        <v>0</v>
      </c>
      <c r="AJ212" s="325">
        <f t="shared" si="71"/>
        <v>0</v>
      </c>
      <c r="AK212" s="325">
        <f t="shared" si="71"/>
        <v>0</v>
      </c>
      <c r="AL212" s="325">
        <f t="shared" si="71"/>
        <v>0</v>
      </c>
      <c r="AM212" s="325">
        <f t="shared" si="71"/>
        <v>0</v>
      </c>
      <c r="AN212" s="325">
        <f t="shared" si="71"/>
        <v>0</v>
      </c>
      <c r="AO212" s="325">
        <f t="shared" si="71"/>
        <v>0</v>
      </c>
      <c r="AP212" s="325">
        <f t="shared" si="71"/>
        <v>0</v>
      </c>
      <c r="AQ212" s="325">
        <f t="shared" si="71"/>
        <v>0</v>
      </c>
      <c r="AR212" s="325">
        <f t="shared" si="71"/>
        <v>0</v>
      </c>
      <c r="AS212" s="325">
        <f t="shared" si="71"/>
        <v>0</v>
      </c>
      <c r="AT212" s="325">
        <f t="shared" si="71"/>
        <v>0</v>
      </c>
      <c r="AU212" s="325">
        <f t="shared" si="71"/>
        <v>0</v>
      </c>
      <c r="AV212" s="325">
        <f t="shared" si="71"/>
        <v>0</v>
      </c>
      <c r="AW212" s="325">
        <f t="shared" si="71"/>
        <v>0</v>
      </c>
      <c r="AX212" s="325">
        <f t="shared" si="71"/>
        <v>0</v>
      </c>
      <c r="AY212" s="325">
        <f t="shared" si="71"/>
        <v>0</v>
      </c>
      <c r="AZ212" s="325">
        <f t="shared" si="71"/>
        <v>0</v>
      </c>
      <c r="BA212" s="325">
        <f t="shared" si="71"/>
        <v>0</v>
      </c>
      <c r="BB212" s="325">
        <f t="shared" si="71"/>
        <v>0</v>
      </c>
      <c r="BC212" s="325">
        <f t="shared" si="71"/>
        <v>0</v>
      </c>
      <c r="BD212" s="325">
        <f t="shared" si="71"/>
        <v>0</v>
      </c>
      <c r="BE212" s="325">
        <f t="shared" si="71"/>
        <v>0</v>
      </c>
      <c r="BF212" s="325">
        <f t="shared" si="71"/>
        <v>0</v>
      </c>
      <c r="BG212" s="325">
        <f t="shared" si="71"/>
        <v>0</v>
      </c>
      <c r="BH212" s="325">
        <f t="shared" si="71"/>
        <v>0</v>
      </c>
      <c r="BI212" s="325">
        <f t="shared" si="71"/>
        <v>0</v>
      </c>
      <c r="BJ212" s="325">
        <f t="shared" si="71"/>
        <v>0</v>
      </c>
      <c r="BK212" s="325">
        <f t="shared" si="71"/>
        <v>0</v>
      </c>
      <c r="BL212" s="325">
        <f t="shared" si="71"/>
        <v>0</v>
      </c>
      <c r="BM212" s="325">
        <f t="shared" si="71"/>
        <v>0</v>
      </c>
      <c r="BN212" s="325">
        <f t="shared" si="71"/>
        <v>0</v>
      </c>
      <c r="BO212" s="325">
        <f t="shared" si="71"/>
        <v>0</v>
      </c>
      <c r="BP212" s="325">
        <f t="shared" si="71"/>
        <v>0</v>
      </c>
      <c r="BQ212" s="325">
        <f t="shared" si="71"/>
        <v>0</v>
      </c>
      <c r="BR212" s="325">
        <f t="shared" si="71"/>
        <v>0</v>
      </c>
      <c r="BS212" s="325">
        <f t="shared" si="71"/>
        <v>0</v>
      </c>
      <c r="BT212" s="325">
        <f t="shared" si="71"/>
        <v>0</v>
      </c>
      <c r="BU212" s="325">
        <f t="shared" si="71"/>
        <v>0</v>
      </c>
      <c r="BV212" s="325">
        <f t="shared" si="71"/>
        <v>0</v>
      </c>
      <c r="BW212" s="325">
        <f t="shared" si="71"/>
        <v>0</v>
      </c>
      <c r="BX212" s="325">
        <f t="shared" si="71"/>
        <v>0</v>
      </c>
    </row>
    <row r="213" spans="3:76" hidden="1">
      <c r="C213" s="318"/>
      <c r="D213" s="326" t="s">
        <v>354</v>
      </c>
      <c r="E213" s="330">
        <f>E212</f>
        <v>0</v>
      </c>
      <c r="F213" s="330">
        <f t="shared" ref="F213:BX213" si="72">E213+F212</f>
        <v>0</v>
      </c>
      <c r="G213" s="330">
        <f t="shared" si="72"/>
        <v>0</v>
      </c>
      <c r="H213" s="330">
        <f t="shared" si="72"/>
        <v>-5341205.5</v>
      </c>
      <c r="I213" s="330">
        <f t="shared" si="72"/>
        <v>-5341205.5</v>
      </c>
      <c r="J213" s="330">
        <f t="shared" si="72"/>
        <v>-5341205.5</v>
      </c>
      <c r="K213" s="330">
        <f t="shared" si="72"/>
        <v>-5341205.5</v>
      </c>
      <c r="L213" s="330">
        <f t="shared" si="72"/>
        <v>-5341205.5</v>
      </c>
      <c r="M213" s="330">
        <f t="shared" si="72"/>
        <v>-5341205.5</v>
      </c>
      <c r="N213" s="330">
        <f t="shared" si="72"/>
        <v>-5341205.5</v>
      </c>
      <c r="O213" s="330">
        <f t="shared" si="72"/>
        <v>-5341205.5</v>
      </c>
      <c r="P213" s="330">
        <f t="shared" si="72"/>
        <v>-5341205.5</v>
      </c>
      <c r="Q213" s="330">
        <f t="shared" si="72"/>
        <v>-5341205.5</v>
      </c>
      <c r="R213" s="330">
        <f t="shared" si="72"/>
        <v>-5341205.5</v>
      </c>
      <c r="S213" s="330">
        <f t="shared" si="72"/>
        <v>-5341205.5</v>
      </c>
      <c r="T213" s="330">
        <f t="shared" si="72"/>
        <v>2750000</v>
      </c>
      <c r="U213" s="330">
        <f t="shared" si="72"/>
        <v>2750000</v>
      </c>
      <c r="V213" s="331">
        <f t="shared" si="72"/>
        <v>2750000</v>
      </c>
      <c r="W213" s="331">
        <f t="shared" si="72"/>
        <v>2750000</v>
      </c>
      <c r="X213" s="331">
        <f t="shared" si="72"/>
        <v>2750000</v>
      </c>
      <c r="Y213" s="331">
        <f t="shared" si="72"/>
        <v>2750000</v>
      </c>
      <c r="Z213" s="331">
        <f t="shared" si="72"/>
        <v>2750000</v>
      </c>
      <c r="AA213" s="331">
        <f t="shared" si="72"/>
        <v>2750000</v>
      </c>
      <c r="AB213" s="331">
        <f t="shared" si="72"/>
        <v>2750000</v>
      </c>
      <c r="AC213" s="331">
        <f t="shared" si="72"/>
        <v>2750000</v>
      </c>
      <c r="AD213" s="331">
        <f t="shared" si="72"/>
        <v>2750000</v>
      </c>
      <c r="AE213" s="331">
        <f t="shared" si="72"/>
        <v>2750000</v>
      </c>
      <c r="AF213" s="331">
        <f t="shared" si="72"/>
        <v>2750000</v>
      </c>
      <c r="AG213" s="331">
        <f t="shared" si="72"/>
        <v>2750000</v>
      </c>
      <c r="AH213" s="331">
        <f t="shared" si="72"/>
        <v>2750000</v>
      </c>
      <c r="AI213" s="331">
        <f t="shared" si="72"/>
        <v>2750000</v>
      </c>
      <c r="AJ213" s="331">
        <f t="shared" si="72"/>
        <v>2750000</v>
      </c>
      <c r="AK213" s="331">
        <f t="shared" si="72"/>
        <v>2750000</v>
      </c>
      <c r="AL213" s="331">
        <f t="shared" si="72"/>
        <v>2750000</v>
      </c>
      <c r="AM213" s="331">
        <f t="shared" si="72"/>
        <v>2750000</v>
      </c>
      <c r="AN213" s="331">
        <f t="shared" si="72"/>
        <v>2750000</v>
      </c>
      <c r="AO213" s="331">
        <f t="shared" si="72"/>
        <v>2750000</v>
      </c>
      <c r="AP213" s="331">
        <f t="shared" si="72"/>
        <v>2750000</v>
      </c>
      <c r="AQ213" s="331">
        <f t="shared" si="72"/>
        <v>2750000</v>
      </c>
      <c r="AR213" s="331">
        <f t="shared" si="72"/>
        <v>2750000</v>
      </c>
      <c r="AS213" s="331">
        <f t="shared" si="72"/>
        <v>2750000</v>
      </c>
      <c r="AT213" s="331">
        <f t="shared" si="72"/>
        <v>2750000</v>
      </c>
      <c r="AU213" s="331">
        <f t="shared" si="72"/>
        <v>2750000</v>
      </c>
      <c r="AV213" s="331">
        <f t="shared" si="72"/>
        <v>2750000</v>
      </c>
      <c r="AW213" s="331">
        <f t="shared" si="72"/>
        <v>2750000</v>
      </c>
      <c r="AX213" s="331">
        <f t="shared" si="72"/>
        <v>2750000</v>
      </c>
      <c r="AY213" s="331">
        <f t="shared" si="72"/>
        <v>2750000</v>
      </c>
      <c r="AZ213" s="331">
        <f t="shared" si="72"/>
        <v>2750000</v>
      </c>
      <c r="BA213" s="331">
        <f t="shared" si="72"/>
        <v>2750000</v>
      </c>
      <c r="BB213" s="331">
        <f t="shared" si="72"/>
        <v>2750000</v>
      </c>
      <c r="BC213" s="330">
        <f t="shared" si="72"/>
        <v>2750000</v>
      </c>
      <c r="BD213" s="330">
        <f t="shared" si="72"/>
        <v>2750000</v>
      </c>
      <c r="BE213" s="330">
        <f t="shared" si="72"/>
        <v>2750000</v>
      </c>
      <c r="BF213" s="330">
        <f t="shared" si="72"/>
        <v>2750000</v>
      </c>
      <c r="BG213" s="330">
        <f t="shared" si="72"/>
        <v>2750000</v>
      </c>
      <c r="BH213" s="330">
        <f t="shared" si="72"/>
        <v>2750000</v>
      </c>
      <c r="BI213" s="330">
        <f t="shared" si="72"/>
        <v>2750000</v>
      </c>
      <c r="BJ213" s="330">
        <f t="shared" si="72"/>
        <v>2750000</v>
      </c>
      <c r="BK213" s="330">
        <f t="shared" si="72"/>
        <v>2750000</v>
      </c>
      <c r="BL213" s="330">
        <f t="shared" si="72"/>
        <v>2750000</v>
      </c>
      <c r="BM213" s="330">
        <f t="shared" si="72"/>
        <v>2750000</v>
      </c>
      <c r="BN213" s="330">
        <f t="shared" si="72"/>
        <v>2750000</v>
      </c>
      <c r="BO213" s="330">
        <f t="shared" si="72"/>
        <v>2750000</v>
      </c>
      <c r="BP213" s="330">
        <f t="shared" si="72"/>
        <v>2750000</v>
      </c>
      <c r="BQ213" s="330">
        <f t="shared" si="72"/>
        <v>2750000</v>
      </c>
      <c r="BR213" s="330">
        <f t="shared" si="72"/>
        <v>2750000</v>
      </c>
      <c r="BS213" s="330">
        <f t="shared" si="72"/>
        <v>2750000</v>
      </c>
      <c r="BT213" s="330">
        <f t="shared" si="72"/>
        <v>2750000</v>
      </c>
      <c r="BU213" s="330">
        <f t="shared" si="72"/>
        <v>2750000</v>
      </c>
      <c r="BV213" s="330">
        <f t="shared" si="72"/>
        <v>2750000</v>
      </c>
      <c r="BW213" s="330">
        <f t="shared" si="72"/>
        <v>2750000</v>
      </c>
      <c r="BX213" s="330">
        <f t="shared" si="72"/>
        <v>2750000</v>
      </c>
    </row>
    <row r="214" spans="3:76" hidden="1">
      <c r="C214" s="317" t="s">
        <v>339</v>
      </c>
      <c r="D214" s="326">
        <f>IRR(E212:BX212)*12</f>
        <v>0.42259732866030397</v>
      </c>
      <c r="E214" s="226"/>
      <c r="F214" s="226"/>
      <c r="G214" s="226"/>
      <c r="H214" s="226"/>
      <c r="I214" s="226"/>
      <c r="J214" s="226"/>
      <c r="K214" s="226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6"/>
      <c r="AA214" s="226"/>
      <c r="AB214" s="226"/>
      <c r="AC214" s="226"/>
      <c r="AD214" s="226"/>
      <c r="AE214" s="226"/>
      <c r="AF214" s="226"/>
      <c r="AG214" s="226"/>
      <c r="AH214" s="226"/>
      <c r="AI214" s="226"/>
      <c r="AJ214" s="226"/>
      <c r="AK214" s="226"/>
      <c r="AL214" s="226"/>
      <c r="AM214" s="226"/>
      <c r="AN214" s="226"/>
      <c r="AO214" s="226"/>
      <c r="AP214" s="226"/>
      <c r="AQ214" s="226"/>
      <c r="AR214" s="226"/>
      <c r="AS214" s="226"/>
      <c r="AT214" s="226"/>
      <c r="AU214" s="226"/>
      <c r="AV214" s="226"/>
      <c r="AW214" s="226"/>
      <c r="AX214" s="226"/>
      <c r="AY214" s="226"/>
      <c r="AZ214" s="226"/>
      <c r="BA214" s="226"/>
      <c r="BB214" s="226"/>
      <c r="BC214" s="226"/>
      <c r="BD214" s="226"/>
      <c r="BE214" s="226"/>
      <c r="BF214" s="226"/>
      <c r="BG214" s="226"/>
      <c r="BH214" s="226"/>
      <c r="BI214" s="226"/>
      <c r="BJ214" s="226"/>
      <c r="BK214" s="226"/>
      <c r="BL214" s="226"/>
      <c r="BM214" s="226"/>
      <c r="BN214" s="226"/>
      <c r="BO214" s="226"/>
      <c r="BP214" s="226"/>
      <c r="BQ214" s="226"/>
      <c r="BR214" s="226"/>
      <c r="BS214" s="226"/>
      <c r="BT214" s="226"/>
      <c r="BU214" s="226"/>
      <c r="BV214" s="226"/>
      <c r="BW214" s="226"/>
      <c r="BX214" s="226"/>
    </row>
    <row r="215" spans="3:76" hidden="1">
      <c r="C215" s="327" t="s">
        <v>347</v>
      </c>
      <c r="D215" s="328">
        <f>-MIN(M213:BL213)-D216</f>
        <v>5341205.5</v>
      </c>
      <c r="E215" s="226"/>
      <c r="F215" s="226"/>
      <c r="G215" s="226"/>
      <c r="H215" s="226"/>
      <c r="I215" s="226"/>
      <c r="J215" s="226"/>
      <c r="K215" s="226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6"/>
      <c r="AA215" s="226"/>
      <c r="AB215" s="226"/>
      <c r="AC215" s="226"/>
      <c r="AD215" s="226"/>
      <c r="AE215" s="226"/>
      <c r="AF215" s="226"/>
      <c r="AG215" s="226"/>
      <c r="AH215" s="226"/>
      <c r="AI215" s="226"/>
      <c r="AJ215" s="226"/>
      <c r="AK215" s="226"/>
      <c r="AL215" s="226"/>
      <c r="AM215" s="226"/>
      <c r="AN215" s="226"/>
      <c r="AO215" s="226"/>
      <c r="AP215" s="226"/>
      <c r="AQ215" s="226"/>
      <c r="AR215" s="226"/>
      <c r="AS215" s="226"/>
      <c r="AT215" s="226"/>
      <c r="AU215" s="226"/>
      <c r="AV215" s="226"/>
      <c r="AW215" s="226"/>
      <c r="AX215" s="226"/>
      <c r="AY215" s="226"/>
      <c r="AZ215" s="226"/>
      <c r="BA215" s="226"/>
      <c r="BB215" s="226"/>
      <c r="BC215" s="226"/>
      <c r="BD215" s="226"/>
      <c r="BE215" s="226"/>
      <c r="BF215" s="226"/>
      <c r="BG215" s="226"/>
      <c r="BH215" s="226"/>
      <c r="BI215" s="226"/>
      <c r="BJ215" s="226"/>
      <c r="BK215" s="226"/>
      <c r="BL215" s="226"/>
      <c r="BM215" s="226"/>
      <c r="BN215" s="226"/>
      <c r="BO215" s="226"/>
      <c r="BP215" s="226"/>
      <c r="BQ215" s="226"/>
      <c r="BR215" s="226"/>
      <c r="BS215" s="226"/>
      <c r="BT215" s="226"/>
      <c r="BU215" s="226"/>
      <c r="BV215" s="226"/>
      <c r="BW215" s="226"/>
      <c r="BX215" s="226"/>
    </row>
    <row r="216" spans="3:76" hidden="1">
      <c r="C216" s="327" t="s">
        <v>348</v>
      </c>
      <c r="D216" s="328">
        <f>-SUM(M211:BB211)</f>
        <v>0</v>
      </c>
      <c r="E216" s="226"/>
      <c r="F216" s="226"/>
      <c r="G216" s="226"/>
      <c r="H216" s="226"/>
      <c r="I216" s="226"/>
      <c r="J216" s="226"/>
      <c r="K216" s="226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6"/>
      <c r="AA216" s="226"/>
      <c r="AB216" s="226"/>
      <c r="AC216" s="226"/>
      <c r="AD216" s="226"/>
      <c r="AE216" s="226"/>
      <c r="AF216" s="226"/>
      <c r="AG216" s="226"/>
      <c r="AH216" s="226"/>
      <c r="AI216" s="226"/>
      <c r="AJ216" s="226"/>
      <c r="AK216" s="226"/>
      <c r="AL216" s="226"/>
      <c r="AM216" s="226"/>
      <c r="AN216" s="226"/>
      <c r="AO216" s="226"/>
      <c r="AP216" s="226"/>
      <c r="AQ216" s="226"/>
      <c r="AR216" s="226"/>
      <c r="AS216" s="226"/>
      <c r="AT216" s="226"/>
      <c r="AU216" s="226"/>
      <c r="AV216" s="226"/>
      <c r="AW216" s="226"/>
      <c r="AX216" s="226"/>
      <c r="AY216" s="226"/>
      <c r="AZ216" s="226"/>
      <c r="BA216" s="226"/>
      <c r="BB216" s="226"/>
      <c r="BC216" s="226"/>
      <c r="BD216" s="226"/>
      <c r="BE216" s="226"/>
      <c r="BF216" s="226"/>
      <c r="BG216" s="226"/>
      <c r="BH216" s="226"/>
      <c r="BI216" s="226"/>
      <c r="BJ216" s="226"/>
      <c r="BK216" s="226"/>
      <c r="BL216" s="226"/>
      <c r="BM216" s="226"/>
      <c r="BN216" s="226"/>
      <c r="BO216" s="226"/>
      <c r="BP216" s="226"/>
      <c r="BQ216" s="226"/>
      <c r="BR216" s="226"/>
      <c r="BS216" s="226"/>
      <c r="BT216" s="226"/>
      <c r="BU216" s="226"/>
      <c r="BV216" s="226"/>
      <c r="BW216" s="226"/>
      <c r="BX216" s="226"/>
    </row>
    <row r="217" spans="3:76" hidden="1">
      <c r="C217" s="317" t="s">
        <v>349</v>
      </c>
      <c r="D217" s="329">
        <f>D216+D215</f>
        <v>5341205.5</v>
      </c>
      <c r="E217" s="226"/>
      <c r="F217" s="226"/>
      <c r="G217" s="226"/>
      <c r="H217" s="226"/>
      <c r="I217" s="226"/>
      <c r="J217" s="226"/>
      <c r="K217" s="226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6"/>
      <c r="AA217" s="226"/>
      <c r="AB217" s="226"/>
      <c r="AC217" s="226"/>
      <c r="AD217" s="226"/>
      <c r="AE217" s="226"/>
      <c r="AF217" s="226"/>
      <c r="AG217" s="226"/>
      <c r="AH217" s="226"/>
      <c r="AI217" s="226"/>
      <c r="AJ217" s="226"/>
      <c r="AK217" s="226"/>
      <c r="AL217" s="226"/>
      <c r="AM217" s="226"/>
      <c r="AN217" s="226"/>
      <c r="AO217" s="226"/>
      <c r="AP217" s="226"/>
      <c r="AQ217" s="226"/>
      <c r="AR217" s="226"/>
      <c r="AS217" s="226"/>
      <c r="AT217" s="226"/>
      <c r="AU217" s="226"/>
      <c r="AV217" s="226"/>
      <c r="AW217" s="226"/>
      <c r="AX217" s="226"/>
      <c r="AY217" s="226"/>
      <c r="AZ217" s="226"/>
      <c r="BA217" s="226"/>
      <c r="BB217" s="226"/>
      <c r="BC217" s="226"/>
      <c r="BD217" s="226"/>
      <c r="BE217" s="226"/>
      <c r="BF217" s="226"/>
      <c r="BG217" s="226"/>
      <c r="BH217" s="226"/>
      <c r="BI217" s="226"/>
      <c r="BJ217" s="226"/>
      <c r="BK217" s="226"/>
      <c r="BL217" s="226"/>
      <c r="BM217" s="226"/>
      <c r="BN217" s="226"/>
      <c r="BO217" s="226"/>
      <c r="BP217" s="226"/>
      <c r="BQ217" s="226"/>
      <c r="BR217" s="226"/>
      <c r="BS217" s="226"/>
      <c r="BT217" s="226"/>
      <c r="BU217" s="226"/>
      <c r="BV217" s="226"/>
      <c r="BW217" s="226"/>
      <c r="BX217" s="226"/>
    </row>
    <row r="218" spans="3:76" hidden="1">
      <c r="C218" s="317" t="s">
        <v>350</v>
      </c>
      <c r="D218" s="329">
        <f>BX209+BX210</f>
        <v>0</v>
      </c>
      <c r="E218" s="226"/>
      <c r="F218" s="226"/>
      <c r="G218" s="226"/>
      <c r="H218" s="226"/>
      <c r="I218" s="226"/>
      <c r="J218" s="226"/>
      <c r="K218" s="226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6"/>
      <c r="AA218" s="226"/>
      <c r="AB218" s="226"/>
      <c r="AC218" s="226"/>
      <c r="AD218" s="226"/>
      <c r="AE218" s="226"/>
      <c r="AF218" s="226"/>
      <c r="AG218" s="226"/>
      <c r="AH218" s="226"/>
      <c r="AI218" s="226"/>
      <c r="AJ218" s="226"/>
      <c r="AK218" s="226"/>
      <c r="AL218" s="226"/>
      <c r="AM218" s="226"/>
      <c r="AN218" s="226"/>
      <c r="AO218" s="226"/>
      <c r="AP218" s="226"/>
      <c r="AQ218" s="226"/>
      <c r="AR218" s="226"/>
      <c r="AS218" s="226"/>
      <c r="AT218" s="226"/>
      <c r="AU218" s="226"/>
      <c r="AV218" s="226"/>
      <c r="AW218" s="226"/>
      <c r="AX218" s="226"/>
      <c r="AY218" s="226"/>
      <c r="AZ218" s="226"/>
      <c r="BA218" s="226"/>
      <c r="BB218" s="226"/>
      <c r="BC218" s="226"/>
      <c r="BD218" s="226"/>
      <c r="BE218" s="226"/>
      <c r="BF218" s="226"/>
      <c r="BG218" s="226"/>
      <c r="BH218" s="226"/>
      <c r="BI218" s="226"/>
      <c r="BJ218" s="226"/>
      <c r="BK218" s="226"/>
      <c r="BL218" s="226"/>
      <c r="BM218" s="226"/>
      <c r="BN218" s="226"/>
      <c r="BO218" s="226"/>
      <c r="BP218" s="226"/>
      <c r="BQ218" s="226"/>
      <c r="BR218" s="226"/>
      <c r="BS218" s="226"/>
      <c r="BT218" s="226"/>
      <c r="BU218" s="226"/>
      <c r="BV218" s="226"/>
      <c r="BW218" s="226"/>
      <c r="BX218" s="226"/>
    </row>
    <row r="219" spans="3:76" hidden="1">
      <c r="C219" s="317" t="s">
        <v>351</v>
      </c>
      <c r="D219" s="326">
        <f>T210/T207</f>
        <v>0.51486504310684167</v>
      </c>
      <c r="E219" s="226"/>
      <c r="F219" s="226"/>
      <c r="G219" s="226"/>
      <c r="H219" s="226"/>
      <c r="I219" s="226"/>
      <c r="J219" s="226"/>
      <c r="K219" s="226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6"/>
      <c r="AA219" s="226"/>
      <c r="AB219" s="226"/>
      <c r="AC219" s="226"/>
      <c r="AD219" s="226"/>
      <c r="AE219" s="226"/>
      <c r="AF219" s="226"/>
      <c r="AG219" s="226"/>
      <c r="AH219" s="226"/>
      <c r="AI219" s="226"/>
      <c r="AJ219" s="226"/>
      <c r="AK219" s="226"/>
      <c r="AL219" s="226"/>
      <c r="AM219" s="226"/>
      <c r="AN219" s="226"/>
      <c r="AO219" s="226"/>
      <c r="AP219" s="226"/>
      <c r="AQ219" s="226"/>
      <c r="AR219" s="226"/>
      <c r="AS219" s="226"/>
      <c r="AT219" s="226"/>
      <c r="AU219" s="226"/>
      <c r="AV219" s="226"/>
      <c r="AW219" s="226"/>
      <c r="AX219" s="226"/>
      <c r="AY219" s="226"/>
      <c r="AZ219" s="226"/>
      <c r="BA219" s="226"/>
      <c r="BB219" s="226"/>
      <c r="BC219" s="226"/>
      <c r="BD219" s="226"/>
      <c r="BE219" s="226"/>
      <c r="BF219" s="226"/>
      <c r="BG219" s="226"/>
      <c r="BH219" s="226"/>
      <c r="BI219" s="226"/>
      <c r="BJ219" s="226"/>
      <c r="BK219" s="226"/>
      <c r="BL219" s="226"/>
      <c r="BM219" s="226"/>
      <c r="BN219" s="226"/>
      <c r="BO219" s="226"/>
      <c r="BP219" s="226"/>
      <c r="BQ219" s="226"/>
      <c r="BR219" s="226"/>
      <c r="BS219" s="226"/>
      <c r="BT219" s="226"/>
      <c r="BU219" s="226"/>
      <c r="BV219" s="226"/>
      <c r="BW219" s="226"/>
      <c r="BX219" s="226"/>
    </row>
  </sheetData>
  <mergeCells count="34">
    <mergeCell ref="S123:T123"/>
    <mergeCell ref="B2:C4"/>
    <mergeCell ref="B5:B8"/>
    <mergeCell ref="B9:B11"/>
    <mergeCell ref="B12:B15"/>
    <mergeCell ref="B16:C16"/>
    <mergeCell ref="B17:B97"/>
    <mergeCell ref="B98:C98"/>
    <mergeCell ref="B99:C99"/>
    <mergeCell ref="B100:C100"/>
    <mergeCell ref="D105:E105"/>
    <mergeCell ref="D108:BW108"/>
    <mergeCell ref="S122:T122"/>
    <mergeCell ref="BM2:BX2"/>
    <mergeCell ref="E2:P2"/>
    <mergeCell ref="Q2:AB2"/>
    <mergeCell ref="BY90:BZ90"/>
    <mergeCell ref="BZ91:BZ97"/>
    <mergeCell ref="BY98:BZ98"/>
    <mergeCell ref="BY99:BZ99"/>
    <mergeCell ref="BZ5:BZ8"/>
    <mergeCell ref="BZ9:BZ11"/>
    <mergeCell ref="BY16:BZ16"/>
    <mergeCell ref="BZ17:BZ89"/>
    <mergeCell ref="CC17:CC89"/>
    <mergeCell ref="CC5:CC8"/>
    <mergeCell ref="CC9:CC11"/>
    <mergeCell ref="CC12:CC15"/>
    <mergeCell ref="CB16:CC16"/>
    <mergeCell ref="AC2:AN2"/>
    <mergeCell ref="AO2:AZ2"/>
    <mergeCell ref="BA2:BL2"/>
    <mergeCell ref="BY2:BZ4"/>
    <mergeCell ref="BZ12:BZ15"/>
  </mergeCells>
  <conditionalFormatting sqref="E17:BX17 E23:BX23 E26:BX26 E34:BX34 E37:BX37 E49:BX49 E55:BX55 E63:BX63 E87:BX87 E90:BX90">
    <cfRule type="cellIs" dxfId="11" priority="1" operator="equal">
      <formula>0</formula>
    </cfRule>
  </conditionalFormatting>
  <conditionalFormatting sqref="F113:BS116 E114 BT114:BX114 E116 BT116:BX116 E130 F130:BX133 E132 E145 F145:BX148 E147 E177:BX177 E191 M191:BX191 F191:L194 E193 M193:BX193 M207:T207 H207:L210 E209:G209 M209:BX209">
    <cfRule type="cellIs" dxfId="10" priority="2" operator="equal">
      <formula>0</formula>
    </cfRule>
  </conditionalFormatting>
  <conditionalFormatting sqref="V122:V124">
    <cfRule type="notContainsBlanks" dxfId="9" priority="3">
      <formula>LEN(TRIM(V122))&gt;0</formula>
    </cfRule>
  </conditionalFormatting>
  <dataValidations count="1">
    <dataValidation type="list" allowBlank="1" showErrorMessage="1" sqref="CB4" xr:uid="{00000000-0002-0000-1200-000000000000}">
      <formula1>$D$3:$BX$3</formula1>
    </dataValidation>
  </dataValidations>
  <pageMargins left="0" right="0" top="0" bottom="0" header="0" footer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CI190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ColWidth="12.6640625" defaultRowHeight="15" customHeight="1" outlineLevelRow="2" outlineLevelCol="2"/>
  <cols>
    <col min="1" max="1" width="2.33203125" customWidth="1"/>
    <col min="3" max="3" width="40.1640625" customWidth="1"/>
    <col min="4" max="4" width="12.6640625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1" width="9.1640625" customWidth="1" outlineLevel="2"/>
    <col min="22" max="22" width="11.6640625" customWidth="1" outlineLevel="2"/>
    <col min="23" max="28" width="6.5" customWidth="1" outlineLevel="2"/>
    <col min="29" max="29" width="6.5" customWidth="1" outlineLevel="1" collapsed="1"/>
    <col min="30" max="40" width="6.5" hidden="1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1:84">
      <c r="A1" s="226"/>
      <c r="B1" s="455" t="s">
        <v>246</v>
      </c>
      <c r="C1" s="456">
        <v>45443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6"/>
      <c r="CB1" s="226"/>
      <c r="CC1" s="226"/>
      <c r="CD1" s="226"/>
      <c r="CE1" s="226"/>
      <c r="CF1" s="226"/>
    </row>
    <row r="2" spans="1:84">
      <c r="A2" s="603"/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  <c r="CA2" s="226"/>
      <c r="CB2" s="226"/>
      <c r="CC2" s="226"/>
      <c r="CD2" s="226"/>
      <c r="CE2" s="226"/>
      <c r="CF2" s="226"/>
    </row>
    <row r="3" spans="1:84">
      <c r="A3" s="603"/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  <c r="CA3" s="226"/>
      <c r="CB3" s="226" t="s">
        <v>249</v>
      </c>
      <c r="CC3" s="226" t="s">
        <v>250</v>
      </c>
      <c r="CD3" s="226"/>
      <c r="CE3" s="226"/>
      <c r="CF3" s="226"/>
    </row>
    <row r="4" spans="1:84">
      <c r="A4" s="603"/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457">
        <v>45597</v>
      </c>
      <c r="P4" s="231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  <c r="CA4" s="226"/>
      <c r="CB4" s="226" t="s">
        <v>116</v>
      </c>
      <c r="CC4" s="226"/>
      <c r="CD4" s="226"/>
      <c r="CE4" s="226"/>
      <c r="CF4" s="226"/>
    </row>
    <row r="5" spans="1:84" hidden="1">
      <c r="A5" s="603"/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5" si="0">SUM(E5:BX5)</f>
        <v>16365002</v>
      </c>
      <c r="BZ5" s="775">
        <f>SUM(BY5:BY8)</f>
        <v>24235669</v>
      </c>
      <c r="CA5" s="226"/>
      <c r="CB5" s="237">
        <f t="shared" ref="CB5:CB15" si="1">SUM(H5:CA5)</f>
        <v>56965673</v>
      </c>
      <c r="CC5" s="775">
        <f>SUM(CB5:CB8)</f>
        <v>134027674</v>
      </c>
      <c r="CD5" s="226"/>
      <c r="CE5" s="226"/>
      <c r="CF5" s="226"/>
    </row>
    <row r="6" spans="1:84" hidden="1">
      <c r="A6" s="603"/>
      <c r="B6" s="787"/>
      <c r="C6" s="232" t="s">
        <v>254</v>
      </c>
      <c r="D6" s="233" t="s">
        <v>253</v>
      </c>
      <c r="E6" s="235"/>
      <c r="F6" s="235"/>
      <c r="G6" s="235"/>
      <c r="H6" s="235"/>
      <c r="I6" s="235"/>
      <c r="J6" s="235">
        <v>7870667</v>
      </c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7870667</v>
      </c>
      <c r="BZ6" s="771"/>
      <c r="CA6" s="226">
        <f>9870667</f>
        <v>9870667</v>
      </c>
      <c r="CB6" s="237">
        <f t="shared" si="1"/>
        <v>25612001</v>
      </c>
      <c r="CC6" s="771"/>
      <c r="CD6" s="226"/>
      <c r="CE6" s="226"/>
      <c r="CF6" s="226"/>
    </row>
    <row r="7" spans="1:84" hidden="1">
      <c r="A7" s="603"/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0</v>
      </c>
      <c r="BZ7" s="771"/>
      <c r="CA7" s="226">
        <f>2100000*24.5</f>
        <v>51450000</v>
      </c>
      <c r="CB7" s="237">
        <f t="shared" si="1"/>
        <v>51450000</v>
      </c>
      <c r="CC7" s="771"/>
      <c r="CD7" s="226"/>
      <c r="CE7" s="226"/>
      <c r="CF7" s="226"/>
    </row>
    <row r="8" spans="1:84" hidden="1">
      <c r="A8" s="603"/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  <c r="CA8" s="226"/>
      <c r="CB8" s="241">
        <f t="shared" si="1"/>
        <v>0</v>
      </c>
      <c r="CC8" s="774"/>
      <c r="CD8" s="226"/>
      <c r="CE8" s="226"/>
      <c r="CF8" s="226"/>
    </row>
    <row r="9" spans="1:84" hidden="1">
      <c r="A9" s="603"/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0</v>
      </c>
      <c r="BZ9" s="775">
        <f>SUM(BY9:BY11)</f>
        <v>48932749</v>
      </c>
      <c r="CA9" s="226"/>
      <c r="CB9" s="237">
        <f t="shared" si="1"/>
        <v>48932749</v>
      </c>
      <c r="CC9" s="775">
        <f>SUM(CB9:CB11)</f>
        <v>146798247</v>
      </c>
      <c r="CD9" s="226"/>
      <c r="CE9" s="226"/>
      <c r="CF9" s="226"/>
    </row>
    <row r="10" spans="1:84" hidden="1">
      <c r="A10" s="603"/>
      <c r="B10" s="787"/>
      <c r="C10" s="236" t="s">
        <v>620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0</v>
      </c>
      <c r="BZ10" s="771"/>
      <c r="CA10" s="226"/>
      <c r="CB10" s="237">
        <f t="shared" si="1"/>
        <v>0</v>
      </c>
      <c r="CC10" s="771"/>
      <c r="CD10" s="226"/>
      <c r="CE10" s="226">
        <f>BY5+BY11</f>
        <v>65297751</v>
      </c>
      <c r="CF10" s="226"/>
    </row>
    <row r="11" spans="1:84" hidden="1">
      <c r="A11" s="603"/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/>
      <c r="L11" s="240">
        <v>6300000</v>
      </c>
      <c r="M11" s="240">
        <f>22000000+165083</f>
        <v>22165083</v>
      </c>
      <c r="N11" s="240">
        <f>8700000+215833</f>
        <v>8915833</v>
      </c>
      <c r="O11" s="240">
        <f>9600000+271833</f>
        <v>9871833</v>
      </c>
      <c r="P11" s="240">
        <f>1400000+280000</f>
        <v>1680000</v>
      </c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48932749</v>
      </c>
      <c r="BZ11" s="776"/>
      <c r="CA11" s="245"/>
      <c r="CB11" s="241">
        <f t="shared" si="1"/>
        <v>97865498</v>
      </c>
      <c r="CC11" s="776"/>
      <c r="CD11" s="245"/>
      <c r="CE11" s="245">
        <f>BY11/CE10</f>
        <v>0.74937878028907923</v>
      </c>
      <c r="CF11" s="245">
        <f>BY11/2100000</f>
        <v>23.301309047619046</v>
      </c>
    </row>
    <row r="12" spans="1:84" hidden="1">
      <c r="A12" s="603"/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>
        <f>SUM(Rentroll!$P$2:$P$4)</f>
        <v>613346.05139999976</v>
      </c>
      <c r="R12" s="234">
        <f>SUM(Rentroll!$P$2:$P$4)</f>
        <v>613346.05139999976</v>
      </c>
      <c r="S12" s="234">
        <f>SUM(Rentroll!$P$2:$P$4)</f>
        <v>613346.05139999976</v>
      </c>
      <c r="T12" s="234">
        <f>SUM(Rentroll!$P$2:$P$4)</f>
        <v>613346.05139999976</v>
      </c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2453384.2055999991</v>
      </c>
      <c r="BZ12" s="775">
        <f>SUM(BY12:BY15)</f>
        <v>144331500.15156722</v>
      </c>
      <c r="CA12" s="226"/>
      <c r="CB12" s="237">
        <f t="shared" si="1"/>
        <v>149238268.56276721</v>
      </c>
      <c r="CC12" s="775">
        <f>SUM(CB12:CB15)</f>
        <v>432994500.45470166</v>
      </c>
      <c r="CD12" s="226"/>
      <c r="CE12" s="242">
        <f>BY5/CE10</f>
        <v>0.25062121971092083</v>
      </c>
      <c r="CF12" s="226"/>
    </row>
    <row r="13" spans="1:84" hidden="1">
      <c r="A13" s="603"/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>
        <f>Businessplan_prodej!J25</f>
        <v>134227900.78571424</v>
      </c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  <c r="CA13" s="226"/>
      <c r="CB13" s="237">
        <f t="shared" si="1"/>
        <v>268455801.57142848</v>
      </c>
      <c r="CC13" s="771"/>
      <c r="CD13" s="226"/>
      <c r="CE13" s="226"/>
      <c r="CF13" s="226"/>
    </row>
    <row r="14" spans="1:84" hidden="1">
      <c r="A14" s="603"/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>
        <v>6227</v>
      </c>
      <c r="J14" s="235">
        <f t="shared" ref="J14:O14" si="2">-(SUM(H23,H37)-SUM(H23,H37)/1.21)</f>
        <v>17023.353596065848</v>
      </c>
      <c r="K14" s="235">
        <f t="shared" si="2"/>
        <v>112020.31965029705</v>
      </c>
      <c r="L14" s="235">
        <f t="shared" si="2"/>
        <v>330622.49592561973</v>
      </c>
      <c r="M14" s="235">
        <f t="shared" si="2"/>
        <v>118916.06421487604</v>
      </c>
      <c r="N14" s="235">
        <f t="shared" si="2"/>
        <v>62708.816198347078</v>
      </c>
      <c r="O14" s="235">
        <f t="shared" si="2"/>
        <v>62708.816198347078</v>
      </c>
      <c r="P14" s="235">
        <f>-O15+7000000-(SUM(N23,N37)-SUM(N23,N37)/1.21)</f>
        <v>-1407291.1838016529</v>
      </c>
      <c r="Q14" s="235">
        <f>-(SUM(O23,O37)-SUM(O23,O37)/1.21)</f>
        <v>113753.28519834706</v>
      </c>
      <c r="R14" s="235">
        <f>-(SUM(Rentroll!$K$2:$K$4)+Rentroll!$N$2)-(SUM(P23,P37)-SUM(P23,P37)/1.21)</f>
        <v>-39144.396523966934</v>
      </c>
      <c r="S14" s="235">
        <f>-(SUM(Rentroll!$K$2:$K$4)+Rentroll!$N$2)-(SUM(Q23,Q37)-SUM(Q23,Q37)/1.21)</f>
        <v>-98664.705201652876</v>
      </c>
      <c r="T14" s="235">
        <f>-(SUM(Rentroll!$K$2:$K$4)+Rentroll!$N$2)-(SUM(R23,R37)-SUM(R23,R37)/1.21)</f>
        <v>-98664.705201652876</v>
      </c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-819784.83974702551</v>
      </c>
      <c r="BZ14" s="771"/>
      <c r="CA14" s="226"/>
      <c r="CB14" s="237">
        <f t="shared" si="1"/>
        <v>-1639569.679494051</v>
      </c>
      <c r="CC14" s="771"/>
      <c r="CD14" s="226"/>
      <c r="CE14" s="226">
        <f>51450000</f>
        <v>51450000</v>
      </c>
      <c r="CF14" s="226"/>
    </row>
    <row r="15" spans="1:84" hidden="1">
      <c r="A15" s="603"/>
      <c r="B15" s="768"/>
      <c r="C15" s="238" t="s">
        <v>265</v>
      </c>
      <c r="D15" s="239" t="s">
        <v>264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>
        <f>7000000*1.21</f>
        <v>8470000</v>
      </c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38"/>
      <c r="BY15" s="241">
        <f t="shared" si="0"/>
        <v>8470000</v>
      </c>
      <c r="BZ15" s="776"/>
      <c r="CA15" s="226"/>
      <c r="CB15" s="241">
        <f t="shared" si="1"/>
        <v>16940000</v>
      </c>
      <c r="CC15" s="776"/>
      <c r="CD15" s="226"/>
      <c r="CE15" s="226">
        <f>CE14/24.5</f>
        <v>2100000</v>
      </c>
      <c r="CF15" s="226"/>
    </row>
    <row r="16" spans="1:84" ht="16" hidden="1">
      <c r="A16" s="603"/>
      <c r="B16" s="788" t="s">
        <v>266</v>
      </c>
      <c r="C16" s="774"/>
      <c r="D16" s="246"/>
      <c r="E16" s="247">
        <f t="shared" ref="E16:BX16" si="3">SUM(E5:E15)</f>
        <v>0</v>
      </c>
      <c r="F16" s="247">
        <f t="shared" si="3"/>
        <v>0</v>
      </c>
      <c r="G16" s="247">
        <f t="shared" si="3"/>
        <v>0</v>
      </c>
      <c r="H16" s="247">
        <f t="shared" si="3"/>
        <v>16365002</v>
      </c>
      <c r="I16" s="247">
        <f t="shared" si="3"/>
        <v>6227</v>
      </c>
      <c r="J16" s="247">
        <f t="shared" si="3"/>
        <v>7887690.3535960661</v>
      </c>
      <c r="K16" s="247">
        <f t="shared" si="3"/>
        <v>112020.31965029705</v>
      </c>
      <c r="L16" s="247">
        <f t="shared" si="3"/>
        <v>6630622.4959256202</v>
      </c>
      <c r="M16" s="247">
        <f t="shared" si="3"/>
        <v>22283999.064214878</v>
      </c>
      <c r="N16" s="247">
        <f t="shared" si="3"/>
        <v>8978541.8161983471</v>
      </c>
      <c r="O16" s="247">
        <f t="shared" si="3"/>
        <v>18404541.816198349</v>
      </c>
      <c r="P16" s="247">
        <f t="shared" si="3"/>
        <v>272708.81619834714</v>
      </c>
      <c r="Q16" s="247">
        <f t="shared" si="3"/>
        <v>727099.33659834682</v>
      </c>
      <c r="R16" s="247">
        <f t="shared" si="3"/>
        <v>574201.65487603284</v>
      </c>
      <c r="S16" s="247">
        <f t="shared" si="3"/>
        <v>514681.34619834687</v>
      </c>
      <c r="T16" s="247">
        <f t="shared" si="3"/>
        <v>134742582.13191259</v>
      </c>
      <c r="U16" s="247">
        <f t="shared" si="3"/>
        <v>0</v>
      </c>
      <c r="V16" s="247">
        <f t="shared" si="3"/>
        <v>0</v>
      </c>
      <c r="W16" s="247">
        <f t="shared" si="3"/>
        <v>0</v>
      </c>
      <c r="X16" s="247">
        <f t="shared" si="3"/>
        <v>0</v>
      </c>
      <c r="Y16" s="247">
        <f t="shared" si="3"/>
        <v>0</v>
      </c>
      <c r="Z16" s="247">
        <f t="shared" si="3"/>
        <v>0</v>
      </c>
      <c r="AA16" s="247">
        <f t="shared" si="3"/>
        <v>0</v>
      </c>
      <c r="AB16" s="247">
        <f t="shared" si="3"/>
        <v>0</v>
      </c>
      <c r="AC16" s="247">
        <f t="shared" si="3"/>
        <v>0</v>
      </c>
      <c r="AD16" s="247">
        <f t="shared" si="3"/>
        <v>0</v>
      </c>
      <c r="AE16" s="247">
        <f t="shared" si="3"/>
        <v>0</v>
      </c>
      <c r="AF16" s="247">
        <f t="shared" si="3"/>
        <v>0</v>
      </c>
      <c r="AG16" s="247">
        <f t="shared" si="3"/>
        <v>0</v>
      </c>
      <c r="AH16" s="247">
        <f t="shared" si="3"/>
        <v>0</v>
      </c>
      <c r="AI16" s="247">
        <f t="shared" si="3"/>
        <v>0</v>
      </c>
      <c r="AJ16" s="247">
        <f t="shared" si="3"/>
        <v>0</v>
      </c>
      <c r="AK16" s="247">
        <f t="shared" si="3"/>
        <v>0</v>
      </c>
      <c r="AL16" s="247">
        <f t="shared" si="3"/>
        <v>0</v>
      </c>
      <c r="AM16" s="247">
        <f t="shared" si="3"/>
        <v>0</v>
      </c>
      <c r="AN16" s="247">
        <f t="shared" si="3"/>
        <v>0</v>
      </c>
      <c r="AO16" s="247">
        <f t="shared" si="3"/>
        <v>0</v>
      </c>
      <c r="AP16" s="247">
        <f t="shared" si="3"/>
        <v>0</v>
      </c>
      <c r="AQ16" s="247">
        <f t="shared" si="3"/>
        <v>0</v>
      </c>
      <c r="AR16" s="247">
        <f t="shared" si="3"/>
        <v>0</v>
      </c>
      <c r="AS16" s="247">
        <f t="shared" si="3"/>
        <v>0</v>
      </c>
      <c r="AT16" s="247">
        <f t="shared" si="3"/>
        <v>0</v>
      </c>
      <c r="AU16" s="247">
        <f t="shared" si="3"/>
        <v>0</v>
      </c>
      <c r="AV16" s="247">
        <f t="shared" si="3"/>
        <v>0</v>
      </c>
      <c r="AW16" s="247">
        <f t="shared" si="3"/>
        <v>0</v>
      </c>
      <c r="AX16" s="247">
        <f t="shared" si="3"/>
        <v>0</v>
      </c>
      <c r="AY16" s="247">
        <f t="shared" si="3"/>
        <v>0</v>
      </c>
      <c r="AZ16" s="247">
        <f t="shared" si="3"/>
        <v>0</v>
      </c>
      <c r="BA16" s="247">
        <f t="shared" si="3"/>
        <v>0</v>
      </c>
      <c r="BB16" s="247">
        <f t="shared" si="3"/>
        <v>0</v>
      </c>
      <c r="BC16" s="247">
        <f t="shared" si="3"/>
        <v>0</v>
      </c>
      <c r="BD16" s="247">
        <f t="shared" si="3"/>
        <v>0</v>
      </c>
      <c r="BE16" s="247">
        <f t="shared" si="3"/>
        <v>0</v>
      </c>
      <c r="BF16" s="247">
        <f t="shared" si="3"/>
        <v>0</v>
      </c>
      <c r="BG16" s="247">
        <f t="shared" si="3"/>
        <v>0</v>
      </c>
      <c r="BH16" s="247">
        <f t="shared" si="3"/>
        <v>0</v>
      </c>
      <c r="BI16" s="247">
        <f t="shared" si="3"/>
        <v>0</v>
      </c>
      <c r="BJ16" s="247">
        <f t="shared" si="3"/>
        <v>0</v>
      </c>
      <c r="BK16" s="247">
        <f t="shared" si="3"/>
        <v>0</v>
      </c>
      <c r="BL16" s="247">
        <f t="shared" si="3"/>
        <v>0</v>
      </c>
      <c r="BM16" s="247">
        <f t="shared" si="3"/>
        <v>0</v>
      </c>
      <c r="BN16" s="247">
        <f t="shared" si="3"/>
        <v>0</v>
      </c>
      <c r="BO16" s="247">
        <f t="shared" si="3"/>
        <v>0</v>
      </c>
      <c r="BP16" s="247">
        <f t="shared" si="3"/>
        <v>0</v>
      </c>
      <c r="BQ16" s="247">
        <f t="shared" si="3"/>
        <v>0</v>
      </c>
      <c r="BR16" s="247">
        <f t="shared" si="3"/>
        <v>0</v>
      </c>
      <c r="BS16" s="247">
        <f t="shared" si="3"/>
        <v>0</v>
      </c>
      <c r="BT16" s="247">
        <f t="shared" si="3"/>
        <v>0</v>
      </c>
      <c r="BU16" s="247">
        <f t="shared" si="3"/>
        <v>0</v>
      </c>
      <c r="BV16" s="247">
        <f t="shared" si="3"/>
        <v>0</v>
      </c>
      <c r="BW16" s="247">
        <f t="shared" si="3"/>
        <v>0</v>
      </c>
      <c r="BX16" s="247">
        <f t="shared" si="3"/>
        <v>0</v>
      </c>
      <c r="BY16" s="778">
        <f>BZ5+BZ9+BZ12</f>
        <v>217499918.15156722</v>
      </c>
      <c r="BZ16" s="774"/>
      <c r="CA16" s="226"/>
      <c r="CB16" s="778">
        <f>CC5+CC9+CC12</f>
        <v>713820421.45470166</v>
      </c>
      <c r="CC16" s="774"/>
      <c r="CD16" s="226"/>
      <c r="CE16" s="226"/>
      <c r="CF16" s="226"/>
    </row>
    <row r="17" spans="1:83" ht="16">
      <c r="A17" s="603"/>
      <c r="B17" s="789" t="s">
        <v>267</v>
      </c>
      <c r="C17" s="248" t="s">
        <v>268</v>
      </c>
      <c r="D17" s="249"/>
      <c r="E17" s="250">
        <f t="shared" ref="E17:BY17" si="4">SUM(E18:E22)</f>
        <v>0</v>
      </c>
      <c r="F17" s="250">
        <f t="shared" si="4"/>
        <v>0</v>
      </c>
      <c r="G17" s="250">
        <f t="shared" si="4"/>
        <v>0</v>
      </c>
      <c r="H17" s="250">
        <f t="shared" si="4"/>
        <v>-10620712</v>
      </c>
      <c r="I17" s="250">
        <f t="shared" si="4"/>
        <v>0</v>
      </c>
      <c r="J17" s="250">
        <f t="shared" si="4"/>
        <v>-808330</v>
      </c>
      <c r="K17" s="250">
        <f t="shared" si="4"/>
        <v>0</v>
      </c>
      <c r="L17" s="250">
        <f t="shared" si="4"/>
        <v>0</v>
      </c>
      <c r="M17" s="250">
        <f t="shared" si="4"/>
        <v>0</v>
      </c>
      <c r="N17" s="250">
        <f t="shared" si="4"/>
        <v>0</v>
      </c>
      <c r="O17" s="250">
        <f t="shared" si="4"/>
        <v>0</v>
      </c>
      <c r="P17" s="250">
        <f t="shared" si="4"/>
        <v>0</v>
      </c>
      <c r="Q17" s="250">
        <f t="shared" si="4"/>
        <v>0</v>
      </c>
      <c r="R17" s="250">
        <f t="shared" si="4"/>
        <v>0</v>
      </c>
      <c r="S17" s="250">
        <f t="shared" si="4"/>
        <v>0</v>
      </c>
      <c r="T17" s="250">
        <f t="shared" si="4"/>
        <v>0</v>
      </c>
      <c r="U17" s="250">
        <f t="shared" si="4"/>
        <v>0</v>
      </c>
      <c r="V17" s="250">
        <f t="shared" si="4"/>
        <v>0</v>
      </c>
      <c r="W17" s="250">
        <f t="shared" si="4"/>
        <v>0</v>
      </c>
      <c r="X17" s="250">
        <f t="shared" si="4"/>
        <v>0</v>
      </c>
      <c r="Y17" s="250">
        <f t="shared" si="4"/>
        <v>0</v>
      </c>
      <c r="Z17" s="250">
        <f t="shared" si="4"/>
        <v>0</v>
      </c>
      <c r="AA17" s="250">
        <f t="shared" si="4"/>
        <v>0</v>
      </c>
      <c r="AB17" s="250">
        <f t="shared" si="4"/>
        <v>0</v>
      </c>
      <c r="AC17" s="250">
        <f t="shared" si="4"/>
        <v>0</v>
      </c>
      <c r="AD17" s="250">
        <f t="shared" si="4"/>
        <v>0</v>
      </c>
      <c r="AE17" s="250">
        <f t="shared" si="4"/>
        <v>0</v>
      </c>
      <c r="AF17" s="250">
        <f t="shared" si="4"/>
        <v>0</v>
      </c>
      <c r="AG17" s="250">
        <f t="shared" si="4"/>
        <v>0</v>
      </c>
      <c r="AH17" s="250">
        <f t="shared" si="4"/>
        <v>0</v>
      </c>
      <c r="AI17" s="250">
        <f t="shared" si="4"/>
        <v>0</v>
      </c>
      <c r="AJ17" s="250">
        <f t="shared" si="4"/>
        <v>0</v>
      </c>
      <c r="AK17" s="250">
        <f t="shared" si="4"/>
        <v>0</v>
      </c>
      <c r="AL17" s="250">
        <f t="shared" si="4"/>
        <v>0</v>
      </c>
      <c r="AM17" s="250">
        <f t="shared" si="4"/>
        <v>0</v>
      </c>
      <c r="AN17" s="250">
        <f t="shared" si="4"/>
        <v>0</v>
      </c>
      <c r="AO17" s="250">
        <f t="shared" si="4"/>
        <v>0</v>
      </c>
      <c r="AP17" s="250">
        <f t="shared" si="4"/>
        <v>0</v>
      </c>
      <c r="AQ17" s="250">
        <f t="shared" si="4"/>
        <v>0</v>
      </c>
      <c r="AR17" s="250">
        <f t="shared" si="4"/>
        <v>0</v>
      </c>
      <c r="AS17" s="250">
        <f t="shared" si="4"/>
        <v>0</v>
      </c>
      <c r="AT17" s="250">
        <f t="shared" si="4"/>
        <v>0</v>
      </c>
      <c r="AU17" s="250">
        <f t="shared" si="4"/>
        <v>0</v>
      </c>
      <c r="AV17" s="250">
        <f t="shared" si="4"/>
        <v>0</v>
      </c>
      <c r="AW17" s="250">
        <f t="shared" si="4"/>
        <v>0</v>
      </c>
      <c r="AX17" s="250">
        <f t="shared" si="4"/>
        <v>0</v>
      </c>
      <c r="AY17" s="250">
        <f t="shared" si="4"/>
        <v>0</v>
      </c>
      <c r="AZ17" s="250">
        <f t="shared" si="4"/>
        <v>0</v>
      </c>
      <c r="BA17" s="250">
        <f t="shared" si="4"/>
        <v>0</v>
      </c>
      <c r="BB17" s="250">
        <f t="shared" si="4"/>
        <v>0</v>
      </c>
      <c r="BC17" s="250">
        <f t="shared" si="4"/>
        <v>0</v>
      </c>
      <c r="BD17" s="250">
        <f t="shared" si="4"/>
        <v>0</v>
      </c>
      <c r="BE17" s="250">
        <f t="shared" si="4"/>
        <v>0</v>
      </c>
      <c r="BF17" s="250">
        <f t="shared" si="4"/>
        <v>0</v>
      </c>
      <c r="BG17" s="250">
        <f t="shared" si="4"/>
        <v>0</v>
      </c>
      <c r="BH17" s="250">
        <f t="shared" si="4"/>
        <v>0</v>
      </c>
      <c r="BI17" s="250">
        <f t="shared" si="4"/>
        <v>0</v>
      </c>
      <c r="BJ17" s="250">
        <f t="shared" si="4"/>
        <v>0</v>
      </c>
      <c r="BK17" s="250">
        <f t="shared" si="4"/>
        <v>0</v>
      </c>
      <c r="BL17" s="250">
        <f t="shared" si="4"/>
        <v>0</v>
      </c>
      <c r="BM17" s="250">
        <f t="shared" si="4"/>
        <v>0</v>
      </c>
      <c r="BN17" s="250">
        <f t="shared" si="4"/>
        <v>0</v>
      </c>
      <c r="BO17" s="250">
        <f t="shared" si="4"/>
        <v>0</v>
      </c>
      <c r="BP17" s="250">
        <f t="shared" si="4"/>
        <v>0</v>
      </c>
      <c r="BQ17" s="250">
        <f t="shared" si="4"/>
        <v>0</v>
      </c>
      <c r="BR17" s="250">
        <f t="shared" si="4"/>
        <v>0</v>
      </c>
      <c r="BS17" s="250">
        <f t="shared" si="4"/>
        <v>0</v>
      </c>
      <c r="BT17" s="250">
        <f t="shared" si="4"/>
        <v>0</v>
      </c>
      <c r="BU17" s="250">
        <f t="shared" si="4"/>
        <v>0</v>
      </c>
      <c r="BV17" s="250">
        <f t="shared" si="4"/>
        <v>0</v>
      </c>
      <c r="BW17" s="250">
        <f t="shared" si="4"/>
        <v>0</v>
      </c>
      <c r="BX17" s="250">
        <f t="shared" si="4"/>
        <v>0</v>
      </c>
      <c r="BY17" s="251">
        <f t="shared" si="4"/>
        <v>-11429042</v>
      </c>
      <c r="BZ17" s="777" t="e">
        <f>BY17+BY23+BY26+BY34+BY37+BY49+BY55+BY63+BY87</f>
        <v>#REF!</v>
      </c>
      <c r="CA17" s="226"/>
      <c r="CB17" s="252"/>
      <c r="CC17" s="777"/>
      <c r="CD17" s="226"/>
      <c r="CE17" s="226"/>
    </row>
    <row r="18" spans="1:83" ht="16" outlineLevel="1">
      <c r="A18" s="603"/>
      <c r="B18" s="787"/>
      <c r="C18" s="253" t="s">
        <v>630</v>
      </c>
      <c r="D18" s="254" t="s">
        <v>270</v>
      </c>
      <c r="E18" s="255"/>
      <c r="F18" s="255"/>
      <c r="G18" s="255"/>
      <c r="H18" s="256">
        <f>-8458812-2161900</f>
        <v>-10620712</v>
      </c>
      <c r="I18" s="256"/>
      <c r="J18" s="256">
        <f>-657293-151037</f>
        <v>-808330</v>
      </c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7">
        <f t="shared" ref="BY18:BY22" si="5">SUM(E18:BX18)</f>
        <v>-11429042</v>
      </c>
      <c r="BZ18" s="771"/>
      <c r="CA18" s="226"/>
      <c r="CB18" s="252"/>
      <c r="CC18" s="771"/>
      <c r="CD18" s="226"/>
      <c r="CE18" s="226"/>
    </row>
    <row r="19" spans="1:83" ht="16" outlineLevel="1">
      <c r="A19" s="603"/>
      <c r="B19" s="787"/>
      <c r="C19" s="253" t="s">
        <v>271</v>
      </c>
      <c r="D19" s="254" t="s">
        <v>270</v>
      </c>
      <c r="E19" s="255"/>
      <c r="F19" s="255"/>
      <c r="G19" s="255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si="5"/>
        <v>0</v>
      </c>
      <c r="BZ19" s="771"/>
      <c r="CA19" s="226"/>
      <c r="CB19" s="252"/>
      <c r="CC19" s="771"/>
      <c r="CD19" s="226"/>
      <c r="CE19" s="226"/>
    </row>
    <row r="20" spans="1:83" ht="16" outlineLevel="1">
      <c r="A20" s="603"/>
      <c r="B20" s="787"/>
      <c r="C20" s="253" t="s">
        <v>272</v>
      </c>
      <c r="D20" s="254" t="s">
        <v>270</v>
      </c>
      <c r="E20" s="255"/>
      <c r="F20" s="255"/>
      <c r="G20" s="255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5"/>
        <v>0</v>
      </c>
      <c r="BZ20" s="771"/>
      <c r="CA20" s="226"/>
      <c r="CB20" s="252"/>
      <c r="CC20" s="771"/>
      <c r="CD20" s="226"/>
      <c r="CE20" s="226"/>
    </row>
    <row r="21" spans="1:83" ht="16" outlineLevel="1">
      <c r="A21" s="603"/>
      <c r="B21" s="787"/>
      <c r="C21" s="253" t="s">
        <v>273</v>
      </c>
      <c r="D21" s="254" t="s">
        <v>270</v>
      </c>
      <c r="E21" s="255"/>
      <c r="F21" s="255"/>
      <c r="G21" s="255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5"/>
        <v>0</v>
      </c>
      <c r="BZ21" s="771"/>
      <c r="CA21" s="226"/>
      <c r="CB21" s="252"/>
      <c r="CC21" s="771"/>
      <c r="CD21" s="226"/>
      <c r="CE21" s="226"/>
    </row>
    <row r="22" spans="1:83" ht="16" outlineLevel="1">
      <c r="A22" s="603"/>
      <c r="B22" s="787"/>
      <c r="C22" s="253" t="s">
        <v>274</v>
      </c>
      <c r="D22" s="258" t="s">
        <v>270</v>
      </c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5"/>
        <v>0</v>
      </c>
      <c r="BZ22" s="771"/>
      <c r="CA22" s="226"/>
      <c r="CB22" s="252"/>
      <c r="CC22" s="771"/>
      <c r="CD22" s="226"/>
      <c r="CE22" s="226"/>
    </row>
    <row r="23" spans="1:83" ht="16">
      <c r="A23" s="603"/>
      <c r="B23" s="787"/>
      <c r="C23" s="248" t="s">
        <v>275</v>
      </c>
      <c r="D23" s="249"/>
      <c r="E23" s="250">
        <f t="shared" ref="E23:BY23" si="6">SUM(E24:E25)</f>
        <v>0</v>
      </c>
      <c r="F23" s="250">
        <f t="shared" si="6"/>
        <v>0</v>
      </c>
      <c r="G23" s="250">
        <f t="shared" si="6"/>
        <v>0</v>
      </c>
      <c r="H23" s="250">
        <f t="shared" si="6"/>
        <v>0</v>
      </c>
      <c r="I23" s="250">
        <f t="shared" si="6"/>
        <v>-302500</v>
      </c>
      <c r="J23" s="250">
        <f t="shared" si="6"/>
        <v>0</v>
      </c>
      <c r="K23" s="250">
        <f t="shared" si="6"/>
        <v>-288524.5</v>
      </c>
      <c r="L23" s="250">
        <f t="shared" si="6"/>
        <v>0</v>
      </c>
      <c r="M23" s="250">
        <f t="shared" si="6"/>
        <v>0</v>
      </c>
      <c r="N23" s="250">
        <f t="shared" si="6"/>
        <v>0</v>
      </c>
      <c r="O23" s="250">
        <f t="shared" si="6"/>
        <v>0</v>
      </c>
      <c r="P23" s="250">
        <f t="shared" si="6"/>
        <v>0</v>
      </c>
      <c r="Q23" s="250">
        <f t="shared" si="6"/>
        <v>0</v>
      </c>
      <c r="R23" s="250">
        <f t="shared" si="6"/>
        <v>0</v>
      </c>
      <c r="S23" s="250">
        <f t="shared" si="6"/>
        <v>0</v>
      </c>
      <c r="T23" s="250">
        <f t="shared" si="6"/>
        <v>0</v>
      </c>
      <c r="U23" s="250">
        <f t="shared" si="6"/>
        <v>0</v>
      </c>
      <c r="V23" s="250">
        <f t="shared" si="6"/>
        <v>0</v>
      </c>
      <c r="W23" s="250">
        <f t="shared" si="6"/>
        <v>0</v>
      </c>
      <c r="X23" s="250">
        <f t="shared" si="6"/>
        <v>0</v>
      </c>
      <c r="Y23" s="250">
        <f t="shared" si="6"/>
        <v>0</v>
      </c>
      <c r="Z23" s="250">
        <f t="shared" si="6"/>
        <v>0</v>
      </c>
      <c r="AA23" s="250">
        <f t="shared" si="6"/>
        <v>0</v>
      </c>
      <c r="AB23" s="250">
        <f t="shared" si="6"/>
        <v>0</v>
      </c>
      <c r="AC23" s="250">
        <f t="shared" si="6"/>
        <v>0</v>
      </c>
      <c r="AD23" s="250">
        <f t="shared" si="6"/>
        <v>0</v>
      </c>
      <c r="AE23" s="250">
        <f t="shared" si="6"/>
        <v>0</v>
      </c>
      <c r="AF23" s="250">
        <f t="shared" si="6"/>
        <v>0</v>
      </c>
      <c r="AG23" s="250">
        <f t="shared" si="6"/>
        <v>0</v>
      </c>
      <c r="AH23" s="250">
        <f t="shared" si="6"/>
        <v>0</v>
      </c>
      <c r="AI23" s="250">
        <f t="shared" si="6"/>
        <v>0</v>
      </c>
      <c r="AJ23" s="250">
        <f t="shared" si="6"/>
        <v>0</v>
      </c>
      <c r="AK23" s="250">
        <f t="shared" si="6"/>
        <v>0</v>
      </c>
      <c r="AL23" s="250">
        <f t="shared" si="6"/>
        <v>0</v>
      </c>
      <c r="AM23" s="250">
        <f t="shared" si="6"/>
        <v>0</v>
      </c>
      <c r="AN23" s="250">
        <f t="shared" si="6"/>
        <v>0</v>
      </c>
      <c r="AO23" s="250">
        <f t="shared" si="6"/>
        <v>0</v>
      </c>
      <c r="AP23" s="250">
        <f t="shared" si="6"/>
        <v>0</v>
      </c>
      <c r="AQ23" s="250">
        <f t="shared" si="6"/>
        <v>0</v>
      </c>
      <c r="AR23" s="250">
        <f t="shared" si="6"/>
        <v>0</v>
      </c>
      <c r="AS23" s="250">
        <f t="shared" si="6"/>
        <v>0</v>
      </c>
      <c r="AT23" s="250">
        <f t="shared" si="6"/>
        <v>0</v>
      </c>
      <c r="AU23" s="250">
        <f t="shared" si="6"/>
        <v>0</v>
      </c>
      <c r="AV23" s="250">
        <f t="shared" si="6"/>
        <v>0</v>
      </c>
      <c r="AW23" s="250">
        <f t="shared" si="6"/>
        <v>0</v>
      </c>
      <c r="AX23" s="250">
        <f t="shared" si="6"/>
        <v>0</v>
      </c>
      <c r="AY23" s="250">
        <f t="shared" si="6"/>
        <v>0</v>
      </c>
      <c r="AZ23" s="250">
        <f t="shared" si="6"/>
        <v>0</v>
      </c>
      <c r="BA23" s="250">
        <f t="shared" si="6"/>
        <v>0</v>
      </c>
      <c r="BB23" s="250">
        <f t="shared" si="6"/>
        <v>0</v>
      </c>
      <c r="BC23" s="250">
        <f t="shared" si="6"/>
        <v>0</v>
      </c>
      <c r="BD23" s="250">
        <f t="shared" si="6"/>
        <v>0</v>
      </c>
      <c r="BE23" s="250">
        <f t="shared" si="6"/>
        <v>0</v>
      </c>
      <c r="BF23" s="250">
        <f t="shared" si="6"/>
        <v>0</v>
      </c>
      <c r="BG23" s="250">
        <f t="shared" si="6"/>
        <v>0</v>
      </c>
      <c r="BH23" s="250">
        <f t="shared" si="6"/>
        <v>0</v>
      </c>
      <c r="BI23" s="250">
        <f t="shared" si="6"/>
        <v>0</v>
      </c>
      <c r="BJ23" s="250">
        <f t="shared" si="6"/>
        <v>0</v>
      </c>
      <c r="BK23" s="250">
        <f t="shared" si="6"/>
        <v>0</v>
      </c>
      <c r="BL23" s="250">
        <f t="shared" si="6"/>
        <v>0</v>
      </c>
      <c r="BM23" s="250">
        <f t="shared" si="6"/>
        <v>0</v>
      </c>
      <c r="BN23" s="250">
        <f t="shared" si="6"/>
        <v>0</v>
      </c>
      <c r="BO23" s="250">
        <f t="shared" si="6"/>
        <v>0</v>
      </c>
      <c r="BP23" s="250">
        <f t="shared" si="6"/>
        <v>0</v>
      </c>
      <c r="BQ23" s="250">
        <f t="shared" si="6"/>
        <v>0</v>
      </c>
      <c r="BR23" s="250">
        <f t="shared" si="6"/>
        <v>0</v>
      </c>
      <c r="BS23" s="250">
        <f t="shared" si="6"/>
        <v>0</v>
      </c>
      <c r="BT23" s="250">
        <f t="shared" si="6"/>
        <v>0</v>
      </c>
      <c r="BU23" s="250">
        <f t="shared" si="6"/>
        <v>0</v>
      </c>
      <c r="BV23" s="250">
        <f t="shared" si="6"/>
        <v>0</v>
      </c>
      <c r="BW23" s="250">
        <f t="shared" si="6"/>
        <v>0</v>
      </c>
      <c r="BX23" s="250">
        <f t="shared" si="6"/>
        <v>0</v>
      </c>
      <c r="BY23" s="251">
        <f t="shared" si="6"/>
        <v>-591024.5</v>
      </c>
      <c r="BZ23" s="771"/>
      <c r="CA23" s="226"/>
      <c r="CB23" s="252"/>
      <c r="CC23" s="771"/>
      <c r="CD23" s="226"/>
      <c r="CE23" s="226">
        <f>7000000*1.21</f>
        <v>8470000</v>
      </c>
    </row>
    <row r="24" spans="1:83" ht="16" outlineLevel="1">
      <c r="A24" s="603"/>
      <c r="B24" s="787"/>
      <c r="C24" s="253" t="s">
        <v>276</v>
      </c>
      <c r="D24" s="258" t="s">
        <v>270</v>
      </c>
      <c r="E24" s="259"/>
      <c r="F24" s="259"/>
      <c r="G24" s="259"/>
      <c r="H24" s="260"/>
      <c r="I24" s="260">
        <f>-302500</f>
        <v>-302500</v>
      </c>
      <c r="J24" s="260"/>
      <c r="K24" s="260">
        <f>-152500*1.21</f>
        <v>-184525</v>
      </c>
      <c r="L24" s="260"/>
      <c r="M24" s="260"/>
      <c r="N24" s="260"/>
      <c r="O24" s="260"/>
      <c r="P24" s="260"/>
      <c r="Q24" s="260"/>
      <c r="R24" s="260"/>
      <c r="S24" s="260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61">
        <f t="shared" ref="BY24:BY25" si="7">SUM(E24:BX24)</f>
        <v>-487025</v>
      </c>
      <c r="BZ24" s="771"/>
      <c r="CA24" s="226"/>
      <c r="CB24" s="252"/>
      <c r="CC24" s="771"/>
      <c r="CD24" s="226"/>
      <c r="CE24" s="226"/>
    </row>
    <row r="25" spans="1:83" ht="16" outlineLevel="1">
      <c r="A25" s="603"/>
      <c r="B25" s="787"/>
      <c r="C25" s="253" t="s">
        <v>277</v>
      </c>
      <c r="D25" s="258" t="s">
        <v>270</v>
      </c>
      <c r="E25" s="259"/>
      <c r="F25" s="259"/>
      <c r="G25" s="259"/>
      <c r="H25" s="260"/>
      <c r="I25" s="260"/>
      <c r="J25" s="260"/>
      <c r="K25" s="260">
        <f>-Businessplan_prodej!$F$22*1.21</f>
        <v>-103999.5</v>
      </c>
      <c r="L25" s="260"/>
      <c r="M25" s="260"/>
      <c r="N25" s="260"/>
      <c r="O25" s="260"/>
      <c r="P25" s="260"/>
      <c r="Q25" s="260"/>
      <c r="R25" s="260"/>
      <c r="S25" s="260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1">
        <f t="shared" si="7"/>
        <v>-103999.5</v>
      </c>
      <c r="BZ25" s="771"/>
      <c r="CA25" s="226"/>
      <c r="CB25" s="252"/>
      <c r="CC25" s="771"/>
      <c r="CD25" s="226"/>
      <c r="CE25" s="226"/>
    </row>
    <row r="26" spans="1:83" ht="16">
      <c r="A26" s="603"/>
      <c r="B26" s="787"/>
      <c r="C26" s="248" t="s">
        <v>278</v>
      </c>
      <c r="D26" s="249"/>
      <c r="E26" s="250">
        <f t="shared" ref="E26:BX26" si="8">SUM(E27:E33)</f>
        <v>0</v>
      </c>
      <c r="F26" s="250">
        <f t="shared" si="8"/>
        <v>0</v>
      </c>
      <c r="G26" s="250">
        <f t="shared" si="8"/>
        <v>0</v>
      </c>
      <c r="H26" s="250">
        <f t="shared" si="8"/>
        <v>-2000</v>
      </c>
      <c r="I26" s="250">
        <f t="shared" si="8"/>
        <v>-1081909</v>
      </c>
      <c r="J26" s="250">
        <f t="shared" si="8"/>
        <v>0</v>
      </c>
      <c r="K26" s="250">
        <f t="shared" si="8"/>
        <v>-7031181</v>
      </c>
      <c r="L26" s="250">
        <f t="shared" si="8"/>
        <v>-7899681</v>
      </c>
      <c r="M26" s="250">
        <f t="shared" si="8"/>
        <v>-21093542</v>
      </c>
      <c r="N26" s="250">
        <f t="shared" si="8"/>
        <v>-8788976</v>
      </c>
      <c r="O26" s="250">
        <f t="shared" si="8"/>
        <v>-8788977</v>
      </c>
      <c r="P26" s="250">
        <f t="shared" si="8"/>
        <v>-5859318</v>
      </c>
      <c r="Q26" s="250">
        <f t="shared" si="8"/>
        <v>0</v>
      </c>
      <c r="R26" s="250">
        <f t="shared" si="8"/>
        <v>0</v>
      </c>
      <c r="S26" s="250">
        <f t="shared" si="8"/>
        <v>0</v>
      </c>
      <c r="T26" s="250">
        <f t="shared" si="8"/>
        <v>0</v>
      </c>
      <c r="U26" s="250">
        <f t="shared" si="8"/>
        <v>0</v>
      </c>
      <c r="V26" s="250">
        <f t="shared" si="8"/>
        <v>0</v>
      </c>
      <c r="W26" s="250">
        <f t="shared" si="8"/>
        <v>0</v>
      </c>
      <c r="X26" s="250">
        <f t="shared" si="8"/>
        <v>0</v>
      </c>
      <c r="Y26" s="250">
        <f t="shared" si="8"/>
        <v>0</v>
      </c>
      <c r="Z26" s="250">
        <f t="shared" si="8"/>
        <v>0</v>
      </c>
      <c r="AA26" s="250">
        <f t="shared" si="8"/>
        <v>0</v>
      </c>
      <c r="AB26" s="250">
        <f t="shared" si="8"/>
        <v>0</v>
      </c>
      <c r="AC26" s="250">
        <f t="shared" si="8"/>
        <v>0</v>
      </c>
      <c r="AD26" s="250">
        <f t="shared" si="8"/>
        <v>0</v>
      </c>
      <c r="AE26" s="250">
        <f t="shared" si="8"/>
        <v>0</v>
      </c>
      <c r="AF26" s="250">
        <f t="shared" si="8"/>
        <v>0</v>
      </c>
      <c r="AG26" s="250">
        <f t="shared" si="8"/>
        <v>0</v>
      </c>
      <c r="AH26" s="250">
        <f t="shared" si="8"/>
        <v>0</v>
      </c>
      <c r="AI26" s="250">
        <f t="shared" si="8"/>
        <v>0</v>
      </c>
      <c r="AJ26" s="250">
        <f t="shared" si="8"/>
        <v>0</v>
      </c>
      <c r="AK26" s="250">
        <f t="shared" si="8"/>
        <v>0</v>
      </c>
      <c r="AL26" s="250">
        <f t="shared" si="8"/>
        <v>0</v>
      </c>
      <c r="AM26" s="250">
        <f t="shared" si="8"/>
        <v>0</v>
      </c>
      <c r="AN26" s="250">
        <f t="shared" si="8"/>
        <v>0</v>
      </c>
      <c r="AO26" s="250">
        <f t="shared" si="8"/>
        <v>0</v>
      </c>
      <c r="AP26" s="250">
        <f t="shared" si="8"/>
        <v>0</v>
      </c>
      <c r="AQ26" s="250">
        <f t="shared" si="8"/>
        <v>0</v>
      </c>
      <c r="AR26" s="250">
        <f t="shared" si="8"/>
        <v>0</v>
      </c>
      <c r="AS26" s="250">
        <f t="shared" si="8"/>
        <v>0</v>
      </c>
      <c r="AT26" s="250">
        <f t="shared" si="8"/>
        <v>0</v>
      </c>
      <c r="AU26" s="250">
        <f t="shared" si="8"/>
        <v>0</v>
      </c>
      <c r="AV26" s="250">
        <f t="shared" si="8"/>
        <v>0</v>
      </c>
      <c r="AW26" s="250">
        <f t="shared" si="8"/>
        <v>0</v>
      </c>
      <c r="AX26" s="250">
        <f t="shared" si="8"/>
        <v>0</v>
      </c>
      <c r="AY26" s="250">
        <f t="shared" si="8"/>
        <v>0</v>
      </c>
      <c r="AZ26" s="250">
        <f t="shared" si="8"/>
        <v>0</v>
      </c>
      <c r="BA26" s="250">
        <f t="shared" si="8"/>
        <v>0</v>
      </c>
      <c r="BB26" s="250">
        <f t="shared" si="8"/>
        <v>0</v>
      </c>
      <c r="BC26" s="250">
        <f t="shared" si="8"/>
        <v>0</v>
      </c>
      <c r="BD26" s="250">
        <f t="shared" si="8"/>
        <v>0</v>
      </c>
      <c r="BE26" s="250">
        <f t="shared" si="8"/>
        <v>0</v>
      </c>
      <c r="BF26" s="250">
        <f t="shared" si="8"/>
        <v>0</v>
      </c>
      <c r="BG26" s="250">
        <f t="shared" si="8"/>
        <v>0</v>
      </c>
      <c r="BH26" s="250">
        <f t="shared" si="8"/>
        <v>0</v>
      </c>
      <c r="BI26" s="250">
        <f t="shared" si="8"/>
        <v>0</v>
      </c>
      <c r="BJ26" s="250">
        <f t="shared" si="8"/>
        <v>0</v>
      </c>
      <c r="BK26" s="250">
        <f t="shared" si="8"/>
        <v>0</v>
      </c>
      <c r="BL26" s="250">
        <f t="shared" si="8"/>
        <v>0</v>
      </c>
      <c r="BM26" s="250">
        <f t="shared" si="8"/>
        <v>0</v>
      </c>
      <c r="BN26" s="250">
        <f t="shared" si="8"/>
        <v>0</v>
      </c>
      <c r="BO26" s="250">
        <f t="shared" si="8"/>
        <v>0</v>
      </c>
      <c r="BP26" s="250">
        <f t="shared" si="8"/>
        <v>0</v>
      </c>
      <c r="BQ26" s="250">
        <f t="shared" si="8"/>
        <v>0</v>
      </c>
      <c r="BR26" s="250">
        <f t="shared" si="8"/>
        <v>0</v>
      </c>
      <c r="BS26" s="250">
        <f t="shared" si="8"/>
        <v>0</v>
      </c>
      <c r="BT26" s="250">
        <f t="shared" si="8"/>
        <v>0</v>
      </c>
      <c r="BU26" s="250">
        <f t="shared" si="8"/>
        <v>0</v>
      </c>
      <c r="BV26" s="250">
        <f t="shared" si="8"/>
        <v>0</v>
      </c>
      <c r="BW26" s="250">
        <f t="shared" si="8"/>
        <v>0</v>
      </c>
      <c r="BX26" s="250">
        <f t="shared" si="8"/>
        <v>0</v>
      </c>
      <c r="BY26" s="252">
        <f>SUM(BY27:BY33)</f>
        <v>-60545584</v>
      </c>
      <c r="BZ26" s="771"/>
      <c r="CA26" s="226"/>
      <c r="CB26" s="252"/>
      <c r="CC26" s="771"/>
      <c r="CD26" s="226"/>
      <c r="CE26" s="226"/>
    </row>
    <row r="27" spans="1:83" ht="16" outlineLevel="1">
      <c r="A27" s="603"/>
      <c r="B27" s="787"/>
      <c r="C27" s="253" t="s">
        <v>279</v>
      </c>
      <c r="D27" s="254" t="s">
        <v>270</v>
      </c>
      <c r="E27" s="255"/>
      <c r="F27" s="255"/>
      <c r="G27" s="255"/>
      <c r="H27" s="256"/>
      <c r="I27" s="256"/>
      <c r="J27" s="256"/>
      <c r="K27" s="256">
        <f t="shared" ref="K27:L27" si="9">-7031181</f>
        <v>-7031181</v>
      </c>
      <c r="L27" s="256">
        <f t="shared" si="9"/>
        <v>-7031181</v>
      </c>
      <c r="M27" s="256">
        <f>-6445249-5859317-5859317-2929659</f>
        <v>-21093542</v>
      </c>
      <c r="N27" s="256">
        <f>-2929659-5859317</f>
        <v>-8788976</v>
      </c>
      <c r="O27" s="256">
        <f>-2929659-2929659-2929659</f>
        <v>-8788977</v>
      </c>
      <c r="P27" s="256">
        <f>-2929659-2929659</f>
        <v>-5859318</v>
      </c>
      <c r="Q27" s="256"/>
      <c r="R27" s="256"/>
      <c r="S27" s="256"/>
      <c r="T27" s="256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64"/>
      <c r="BY27" s="265">
        <f t="shared" ref="BY27:BY33" si="10">SUM(E27:BX27)</f>
        <v>-58593175</v>
      </c>
      <c r="BZ27" s="771"/>
      <c r="CA27" s="226"/>
      <c r="CB27" s="252"/>
      <c r="CC27" s="771"/>
      <c r="CD27" s="226"/>
      <c r="CE27" s="226"/>
    </row>
    <row r="28" spans="1:83" ht="16" outlineLevel="1">
      <c r="A28" s="603"/>
      <c r="B28" s="787"/>
      <c r="C28" s="253" t="s">
        <v>280</v>
      </c>
      <c r="D28" s="254" t="s">
        <v>270</v>
      </c>
      <c r="E28" s="255"/>
      <c r="F28" s="255"/>
      <c r="G28" s="255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66">
        <f t="shared" si="10"/>
        <v>0</v>
      </c>
      <c r="BZ28" s="771"/>
      <c r="CA28" s="226"/>
      <c r="CB28" s="252"/>
      <c r="CC28" s="771"/>
      <c r="CD28" s="226"/>
      <c r="CE28" s="226"/>
    </row>
    <row r="29" spans="1:83" ht="16" outlineLevel="1">
      <c r="A29" s="603"/>
      <c r="B29" s="787"/>
      <c r="C29" s="253" t="s">
        <v>281</v>
      </c>
      <c r="D29" s="254" t="s">
        <v>270</v>
      </c>
      <c r="E29" s="255"/>
      <c r="F29" s="255"/>
      <c r="G29" s="255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66">
        <f t="shared" si="10"/>
        <v>0</v>
      </c>
      <c r="BZ29" s="771"/>
      <c r="CA29" s="226"/>
      <c r="CB29" s="252"/>
      <c r="CC29" s="771"/>
      <c r="CD29" s="226"/>
      <c r="CE29" s="226"/>
    </row>
    <row r="30" spans="1:83" ht="16" outlineLevel="1">
      <c r="A30" s="603"/>
      <c r="B30" s="787"/>
      <c r="C30" s="253" t="s">
        <v>282</v>
      </c>
      <c r="D30" s="254" t="s">
        <v>270</v>
      </c>
      <c r="E30" s="255"/>
      <c r="F30" s="255"/>
      <c r="G30" s="255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5"/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66">
        <f t="shared" si="10"/>
        <v>0</v>
      </c>
      <c r="BZ30" s="771"/>
      <c r="CA30" s="226"/>
      <c r="CB30" s="252"/>
      <c r="CC30" s="771"/>
      <c r="CD30" s="226"/>
      <c r="CE30" s="226"/>
    </row>
    <row r="31" spans="1:83" ht="16" outlineLevel="1">
      <c r="A31" s="603"/>
      <c r="B31" s="787"/>
      <c r="C31" s="253" t="s">
        <v>283</v>
      </c>
      <c r="D31" s="254" t="s">
        <v>270</v>
      </c>
      <c r="E31" s="255"/>
      <c r="F31" s="255"/>
      <c r="G31" s="255"/>
      <c r="H31" s="256">
        <f>-2420/1.21</f>
        <v>-2000</v>
      </c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5"/>
      <c r="V31" s="255"/>
      <c r="W31" s="255"/>
      <c r="X31" s="255"/>
      <c r="Y31" s="255"/>
      <c r="Z31" s="255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66">
        <f t="shared" si="10"/>
        <v>-2000</v>
      </c>
      <c r="BZ31" s="771"/>
      <c r="CA31" s="226"/>
      <c r="CB31" s="252"/>
      <c r="CC31" s="771"/>
      <c r="CD31" s="226"/>
      <c r="CE31" s="226"/>
    </row>
    <row r="32" spans="1:83" ht="16" outlineLevel="1">
      <c r="A32" s="603"/>
      <c r="B32" s="787"/>
      <c r="C32" s="267" t="s">
        <v>284</v>
      </c>
      <c r="D32" s="254" t="s">
        <v>270</v>
      </c>
      <c r="E32" s="255"/>
      <c r="F32" s="255"/>
      <c r="G32" s="255"/>
      <c r="H32" s="256"/>
      <c r="I32" s="256">
        <f>-1081909</f>
        <v>-1081909</v>
      </c>
      <c r="J32" s="256"/>
      <c r="K32" s="256"/>
      <c r="L32" s="256">
        <f>-868500</f>
        <v>-868500</v>
      </c>
      <c r="M32" s="256"/>
      <c r="N32" s="256"/>
      <c r="O32" s="256"/>
      <c r="P32" s="256"/>
      <c r="Q32" s="256"/>
      <c r="R32" s="256"/>
      <c r="S32" s="256"/>
      <c r="T32" s="256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66">
        <f t="shared" si="10"/>
        <v>-1950409</v>
      </c>
      <c r="BZ32" s="771"/>
      <c r="CA32" s="226"/>
      <c r="CB32" s="252"/>
      <c r="CC32" s="771"/>
      <c r="CD32" s="226"/>
      <c r="CE32" s="226"/>
    </row>
    <row r="33" spans="1:81" ht="16" outlineLevel="1">
      <c r="A33" s="603"/>
      <c r="B33" s="787"/>
      <c r="C33" s="253" t="s">
        <v>285</v>
      </c>
      <c r="D33" s="258" t="s">
        <v>270</v>
      </c>
      <c r="E33" s="255"/>
      <c r="F33" s="255"/>
      <c r="G33" s="255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68">
        <f t="shared" si="10"/>
        <v>0</v>
      </c>
      <c r="BZ33" s="771"/>
      <c r="CA33" s="226"/>
      <c r="CB33" s="252"/>
      <c r="CC33" s="771"/>
    </row>
    <row r="34" spans="1:81" ht="16" collapsed="1">
      <c r="A34" s="603"/>
      <c r="B34" s="787"/>
      <c r="C34" s="248" t="s">
        <v>286</v>
      </c>
      <c r="D34" s="249"/>
      <c r="E34" s="250">
        <f t="shared" ref="E34:BX34" si="11">SUM(E35:E36)</f>
        <v>0</v>
      </c>
      <c r="F34" s="250">
        <f t="shared" si="11"/>
        <v>0</v>
      </c>
      <c r="G34" s="250">
        <f t="shared" si="11"/>
        <v>0</v>
      </c>
      <c r="H34" s="250">
        <f t="shared" si="11"/>
        <v>0</v>
      </c>
      <c r="I34" s="250">
        <f t="shared" si="11"/>
        <v>0</v>
      </c>
      <c r="J34" s="250">
        <f t="shared" si="11"/>
        <v>0</v>
      </c>
      <c r="K34" s="250">
        <f t="shared" si="11"/>
        <v>0</v>
      </c>
      <c r="L34" s="250">
        <f t="shared" si="11"/>
        <v>0</v>
      </c>
      <c r="M34" s="250">
        <f t="shared" si="11"/>
        <v>0</v>
      </c>
      <c r="N34" s="250">
        <f t="shared" si="11"/>
        <v>0</v>
      </c>
      <c r="O34" s="250">
        <f t="shared" si="11"/>
        <v>0</v>
      </c>
      <c r="P34" s="250">
        <f t="shared" si="11"/>
        <v>0</v>
      </c>
      <c r="Q34" s="250">
        <f t="shared" si="11"/>
        <v>0</v>
      </c>
      <c r="R34" s="250">
        <f t="shared" si="11"/>
        <v>0</v>
      </c>
      <c r="S34" s="250">
        <f t="shared" si="11"/>
        <v>0</v>
      </c>
      <c r="T34" s="250">
        <f t="shared" si="11"/>
        <v>0</v>
      </c>
      <c r="U34" s="250">
        <f t="shared" si="11"/>
        <v>0</v>
      </c>
      <c r="V34" s="250">
        <f t="shared" si="11"/>
        <v>0</v>
      </c>
      <c r="W34" s="250">
        <f t="shared" si="11"/>
        <v>0</v>
      </c>
      <c r="X34" s="250">
        <f t="shared" si="11"/>
        <v>0</v>
      </c>
      <c r="Y34" s="250">
        <f t="shared" si="11"/>
        <v>0</v>
      </c>
      <c r="Z34" s="250">
        <f t="shared" si="11"/>
        <v>0</v>
      </c>
      <c r="AA34" s="250">
        <f t="shared" si="11"/>
        <v>0</v>
      </c>
      <c r="AB34" s="250">
        <f t="shared" si="11"/>
        <v>0</v>
      </c>
      <c r="AC34" s="250">
        <f t="shared" si="11"/>
        <v>0</v>
      </c>
      <c r="AD34" s="250">
        <f t="shared" si="11"/>
        <v>0</v>
      </c>
      <c r="AE34" s="250">
        <f t="shared" si="11"/>
        <v>0</v>
      </c>
      <c r="AF34" s="250">
        <f t="shared" si="11"/>
        <v>0</v>
      </c>
      <c r="AG34" s="250">
        <f t="shared" si="11"/>
        <v>0</v>
      </c>
      <c r="AH34" s="250">
        <f t="shared" si="11"/>
        <v>0</v>
      </c>
      <c r="AI34" s="250">
        <f t="shared" si="11"/>
        <v>0</v>
      </c>
      <c r="AJ34" s="250">
        <f t="shared" si="11"/>
        <v>0</v>
      </c>
      <c r="AK34" s="250">
        <f t="shared" si="11"/>
        <v>0</v>
      </c>
      <c r="AL34" s="250">
        <f t="shared" si="11"/>
        <v>0</v>
      </c>
      <c r="AM34" s="250">
        <f t="shared" si="11"/>
        <v>0</v>
      </c>
      <c r="AN34" s="250">
        <f t="shared" si="11"/>
        <v>0</v>
      </c>
      <c r="AO34" s="250">
        <f t="shared" si="11"/>
        <v>0</v>
      </c>
      <c r="AP34" s="250">
        <f t="shared" si="11"/>
        <v>0</v>
      </c>
      <c r="AQ34" s="250">
        <f t="shared" si="11"/>
        <v>0</v>
      </c>
      <c r="AR34" s="250">
        <f t="shared" si="11"/>
        <v>0</v>
      </c>
      <c r="AS34" s="250">
        <f t="shared" si="11"/>
        <v>0</v>
      </c>
      <c r="AT34" s="250">
        <f t="shared" si="11"/>
        <v>0</v>
      </c>
      <c r="AU34" s="250">
        <f t="shared" si="11"/>
        <v>0</v>
      </c>
      <c r="AV34" s="250">
        <f t="shared" si="11"/>
        <v>0</v>
      </c>
      <c r="AW34" s="250">
        <f t="shared" si="11"/>
        <v>0</v>
      </c>
      <c r="AX34" s="250">
        <f t="shared" si="11"/>
        <v>0</v>
      </c>
      <c r="AY34" s="250">
        <f t="shared" si="11"/>
        <v>0</v>
      </c>
      <c r="AZ34" s="250">
        <f t="shared" si="11"/>
        <v>0</v>
      </c>
      <c r="BA34" s="250">
        <f t="shared" si="11"/>
        <v>0</v>
      </c>
      <c r="BB34" s="250">
        <f t="shared" si="11"/>
        <v>0</v>
      </c>
      <c r="BC34" s="250">
        <f t="shared" si="11"/>
        <v>0</v>
      </c>
      <c r="BD34" s="250">
        <f t="shared" si="11"/>
        <v>0</v>
      </c>
      <c r="BE34" s="250">
        <f t="shared" si="11"/>
        <v>0</v>
      </c>
      <c r="BF34" s="250">
        <f t="shared" si="11"/>
        <v>0</v>
      </c>
      <c r="BG34" s="250">
        <f t="shared" si="11"/>
        <v>0</v>
      </c>
      <c r="BH34" s="250">
        <f t="shared" si="11"/>
        <v>0</v>
      </c>
      <c r="BI34" s="250">
        <f t="shared" si="11"/>
        <v>0</v>
      </c>
      <c r="BJ34" s="250">
        <f t="shared" si="11"/>
        <v>0</v>
      </c>
      <c r="BK34" s="250">
        <f t="shared" si="11"/>
        <v>0</v>
      </c>
      <c r="BL34" s="250">
        <f t="shared" si="11"/>
        <v>0</v>
      </c>
      <c r="BM34" s="250">
        <f t="shared" si="11"/>
        <v>0</v>
      </c>
      <c r="BN34" s="250">
        <f t="shared" si="11"/>
        <v>0</v>
      </c>
      <c r="BO34" s="250">
        <f t="shared" si="11"/>
        <v>0</v>
      </c>
      <c r="BP34" s="250">
        <f t="shared" si="11"/>
        <v>0</v>
      </c>
      <c r="BQ34" s="250">
        <f t="shared" si="11"/>
        <v>0</v>
      </c>
      <c r="BR34" s="250">
        <f t="shared" si="11"/>
        <v>0</v>
      </c>
      <c r="BS34" s="250">
        <f t="shared" si="11"/>
        <v>0</v>
      </c>
      <c r="BT34" s="250">
        <f t="shared" si="11"/>
        <v>0</v>
      </c>
      <c r="BU34" s="250">
        <f t="shared" si="11"/>
        <v>0</v>
      </c>
      <c r="BV34" s="250">
        <f t="shared" si="11"/>
        <v>0</v>
      </c>
      <c r="BW34" s="250">
        <f t="shared" si="11"/>
        <v>0</v>
      </c>
      <c r="BX34" s="250">
        <f t="shared" si="11"/>
        <v>0</v>
      </c>
      <c r="BY34" s="252">
        <f>SUM(BY35:BY36)</f>
        <v>0</v>
      </c>
      <c r="BZ34" s="771"/>
      <c r="CA34" s="226"/>
      <c r="CB34" s="252"/>
      <c r="CC34" s="771"/>
    </row>
    <row r="35" spans="1:81" ht="16" hidden="1" outlineLevel="1">
      <c r="A35" s="603"/>
      <c r="B35" s="787"/>
      <c r="C35" s="253" t="s">
        <v>287</v>
      </c>
      <c r="D35" s="254" t="s">
        <v>270</v>
      </c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70"/>
      <c r="T35" s="255"/>
      <c r="U35" s="255"/>
      <c r="V35" s="255"/>
      <c r="W35" s="255"/>
      <c r="X35" s="255"/>
      <c r="Y35" s="255"/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64"/>
      <c r="BY35" s="265">
        <f t="shared" ref="BY35:BY36" si="12">SUM(E35:BX35)</f>
        <v>0</v>
      </c>
      <c r="BZ35" s="771"/>
      <c r="CA35" s="226"/>
      <c r="CB35" s="252"/>
      <c r="CC35" s="771"/>
    </row>
    <row r="36" spans="1:81" ht="16" hidden="1" outlineLevel="1">
      <c r="A36" s="603"/>
      <c r="B36" s="787"/>
      <c r="C36" s="253" t="s">
        <v>288</v>
      </c>
      <c r="D36" s="258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70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68">
        <f t="shared" si="12"/>
        <v>0</v>
      </c>
      <c r="BZ36" s="771"/>
      <c r="CA36" s="226"/>
      <c r="CB36" s="252"/>
      <c r="CC36" s="771"/>
    </row>
    <row r="37" spans="1:81" ht="16">
      <c r="A37" s="603"/>
      <c r="B37" s="787"/>
      <c r="C37" s="248" t="s">
        <v>289</v>
      </c>
      <c r="D37" s="249"/>
      <c r="E37" s="250">
        <f t="shared" ref="E37:G37" si="13">SUM(E38:E48)</f>
        <v>0</v>
      </c>
      <c r="F37" s="250">
        <f t="shared" si="13"/>
        <v>0</v>
      </c>
      <c r="G37" s="250">
        <f t="shared" si="13"/>
        <v>0</v>
      </c>
      <c r="H37" s="250">
        <f t="shared" ref="H37:BM37" si="14">SUM(H38:H41,H42,H45,H46:H48)</f>
        <v>-98086.942148760339</v>
      </c>
      <c r="I37" s="250">
        <f t="shared" si="14"/>
        <v>-342950.41322314052</v>
      </c>
      <c r="J37" s="250">
        <f t="shared" si="14"/>
        <v>-1905015.3336666669</v>
      </c>
      <c r="K37" s="250">
        <f t="shared" si="14"/>
        <v>-396658.53666666662</v>
      </c>
      <c r="L37" s="250">
        <f t="shared" si="14"/>
        <v>-361322.22666666663</v>
      </c>
      <c r="M37" s="250">
        <f t="shared" si="14"/>
        <v>-361322.22666666663</v>
      </c>
      <c r="N37" s="250">
        <f t="shared" si="14"/>
        <v>-361322.22666666663</v>
      </c>
      <c r="O37" s="250">
        <f t="shared" si="14"/>
        <v>-655435.59566666663</v>
      </c>
      <c r="P37" s="250">
        <f t="shared" si="14"/>
        <v>-384879.7666666666</v>
      </c>
      <c r="Q37" s="250">
        <f t="shared" si="14"/>
        <v>-41929.416666666672</v>
      </c>
      <c r="R37" s="250">
        <f t="shared" si="14"/>
        <v>-41929.416666666672</v>
      </c>
      <c r="S37" s="250">
        <f t="shared" si="14"/>
        <v>-41929.416666666672</v>
      </c>
      <c r="T37" s="250">
        <f t="shared" si="14"/>
        <v>-100823.26666666666</v>
      </c>
      <c r="U37" s="250">
        <f t="shared" si="14"/>
        <v>0</v>
      </c>
      <c r="V37" s="250">
        <f t="shared" si="14"/>
        <v>0</v>
      </c>
      <c r="W37" s="250">
        <f t="shared" si="14"/>
        <v>0</v>
      </c>
      <c r="X37" s="250">
        <f t="shared" si="14"/>
        <v>0</v>
      </c>
      <c r="Y37" s="250">
        <f t="shared" si="14"/>
        <v>0</v>
      </c>
      <c r="Z37" s="250">
        <f t="shared" si="14"/>
        <v>0</v>
      </c>
      <c r="AA37" s="250">
        <f t="shared" si="14"/>
        <v>0</v>
      </c>
      <c r="AB37" s="250">
        <f t="shared" si="14"/>
        <v>0</v>
      </c>
      <c r="AC37" s="250">
        <f t="shared" si="14"/>
        <v>0</v>
      </c>
      <c r="AD37" s="250">
        <f t="shared" si="14"/>
        <v>0</v>
      </c>
      <c r="AE37" s="250">
        <f t="shared" si="14"/>
        <v>0</v>
      </c>
      <c r="AF37" s="250">
        <f t="shared" si="14"/>
        <v>0</v>
      </c>
      <c r="AG37" s="250">
        <f t="shared" si="14"/>
        <v>0</v>
      </c>
      <c r="AH37" s="250">
        <f t="shared" si="14"/>
        <v>0</v>
      </c>
      <c r="AI37" s="250">
        <f t="shared" si="14"/>
        <v>0</v>
      </c>
      <c r="AJ37" s="250">
        <f t="shared" si="14"/>
        <v>0</v>
      </c>
      <c r="AK37" s="250">
        <f t="shared" si="14"/>
        <v>0</v>
      </c>
      <c r="AL37" s="250">
        <f t="shared" si="14"/>
        <v>0</v>
      </c>
      <c r="AM37" s="250">
        <f t="shared" si="14"/>
        <v>0</v>
      </c>
      <c r="AN37" s="250">
        <f t="shared" si="14"/>
        <v>0</v>
      </c>
      <c r="AO37" s="250">
        <f t="shared" si="14"/>
        <v>0</v>
      </c>
      <c r="AP37" s="250">
        <f t="shared" si="14"/>
        <v>0</v>
      </c>
      <c r="AQ37" s="250">
        <f t="shared" si="14"/>
        <v>0</v>
      </c>
      <c r="AR37" s="250">
        <f t="shared" si="14"/>
        <v>0</v>
      </c>
      <c r="AS37" s="250">
        <f t="shared" si="14"/>
        <v>0</v>
      </c>
      <c r="AT37" s="250">
        <f t="shared" si="14"/>
        <v>0</v>
      </c>
      <c r="AU37" s="250">
        <f t="shared" si="14"/>
        <v>0</v>
      </c>
      <c r="AV37" s="250">
        <f t="shared" si="14"/>
        <v>0</v>
      </c>
      <c r="AW37" s="250">
        <f t="shared" si="14"/>
        <v>0</v>
      </c>
      <c r="AX37" s="250">
        <f t="shared" si="14"/>
        <v>0</v>
      </c>
      <c r="AY37" s="250">
        <f t="shared" si="14"/>
        <v>0</v>
      </c>
      <c r="AZ37" s="250">
        <f t="shared" si="14"/>
        <v>0</v>
      </c>
      <c r="BA37" s="250">
        <f t="shared" si="14"/>
        <v>0</v>
      </c>
      <c r="BB37" s="250">
        <f t="shared" si="14"/>
        <v>0</v>
      </c>
      <c r="BC37" s="250">
        <f t="shared" si="14"/>
        <v>0</v>
      </c>
      <c r="BD37" s="250">
        <f t="shared" si="14"/>
        <v>0</v>
      </c>
      <c r="BE37" s="250">
        <f t="shared" si="14"/>
        <v>0</v>
      </c>
      <c r="BF37" s="250">
        <f t="shared" si="14"/>
        <v>0</v>
      </c>
      <c r="BG37" s="250">
        <f t="shared" si="14"/>
        <v>0</v>
      </c>
      <c r="BH37" s="250">
        <f t="shared" si="14"/>
        <v>0</v>
      </c>
      <c r="BI37" s="250">
        <f t="shared" si="14"/>
        <v>0</v>
      </c>
      <c r="BJ37" s="250">
        <f t="shared" si="14"/>
        <v>0</v>
      </c>
      <c r="BK37" s="250">
        <f t="shared" si="14"/>
        <v>0</v>
      </c>
      <c r="BL37" s="250">
        <f t="shared" si="14"/>
        <v>0</v>
      </c>
      <c r="BM37" s="250">
        <f t="shared" si="14"/>
        <v>0</v>
      </c>
      <c r="BN37" s="250">
        <f t="shared" ref="BN37:BX37" si="15">SUM(BN38:BN48)</f>
        <v>0</v>
      </c>
      <c r="BO37" s="250">
        <f t="shared" si="15"/>
        <v>0</v>
      </c>
      <c r="BP37" s="250">
        <f t="shared" si="15"/>
        <v>0</v>
      </c>
      <c r="BQ37" s="250">
        <f t="shared" si="15"/>
        <v>0</v>
      </c>
      <c r="BR37" s="250">
        <f t="shared" si="15"/>
        <v>0</v>
      </c>
      <c r="BS37" s="250">
        <f t="shared" si="15"/>
        <v>0</v>
      </c>
      <c r="BT37" s="250">
        <f t="shared" si="15"/>
        <v>0</v>
      </c>
      <c r="BU37" s="250">
        <f t="shared" si="15"/>
        <v>0</v>
      </c>
      <c r="BV37" s="250">
        <f t="shared" si="15"/>
        <v>0</v>
      </c>
      <c r="BW37" s="250">
        <f t="shared" si="15"/>
        <v>0</v>
      </c>
      <c r="BX37" s="250">
        <f t="shared" si="15"/>
        <v>0</v>
      </c>
      <c r="BY37" s="252">
        <f>SUM(BY38:BY48)</f>
        <v>-5134768.4210688705</v>
      </c>
      <c r="BZ37" s="771"/>
      <c r="CA37" s="226"/>
      <c r="CB37" s="252"/>
      <c r="CC37" s="771"/>
    </row>
    <row r="38" spans="1:81" ht="16" outlineLevel="1">
      <c r="A38" s="603"/>
      <c r="B38" s="787"/>
      <c r="C38" s="267" t="s">
        <v>216</v>
      </c>
      <c r="D38" s="254" t="s">
        <v>270</v>
      </c>
      <c r="E38" s="259"/>
      <c r="F38" s="259"/>
      <c r="G38" s="259"/>
      <c r="H38" s="260"/>
      <c r="I38" s="260">
        <f>-400000/1.21</f>
        <v>-330578.51239669422</v>
      </c>
      <c r="J38" s="260">
        <f>-661353-(23520+28160+192281+20000)*1.21</f>
        <v>-980745.81</v>
      </c>
      <c r="K38" s="260">
        <f t="shared" ref="K38:P38" si="16">-(23520+28160+192281+20000)*1.21</f>
        <v>-319392.81</v>
      </c>
      <c r="L38" s="260">
        <f t="shared" si="16"/>
        <v>-319392.81</v>
      </c>
      <c r="M38" s="260">
        <f t="shared" si="16"/>
        <v>-319392.81</v>
      </c>
      <c r="N38" s="260">
        <f t="shared" si="16"/>
        <v>-319392.81</v>
      </c>
      <c r="O38" s="260">
        <f t="shared" si="16"/>
        <v>-319392.81</v>
      </c>
      <c r="P38" s="260">
        <f t="shared" si="16"/>
        <v>-319392.81</v>
      </c>
      <c r="Q38" s="260"/>
      <c r="R38" s="260"/>
      <c r="S38" s="272"/>
      <c r="T38" s="260"/>
      <c r="U38" s="259"/>
      <c r="V38" s="259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71"/>
      <c r="BY38" s="265">
        <f t="shared" ref="BY38:BY48" si="17">SUM(E38:BX38)</f>
        <v>-3227681.1823966946</v>
      </c>
      <c r="BZ38" s="771"/>
      <c r="CA38" s="226"/>
      <c r="CB38" s="252"/>
      <c r="CC38" s="771"/>
    </row>
    <row r="39" spans="1:81" ht="16" outlineLevel="1">
      <c r="A39" s="603"/>
      <c r="B39" s="787"/>
      <c r="C39" s="267" t="s">
        <v>217</v>
      </c>
      <c r="D39" s="254" t="s">
        <v>270</v>
      </c>
      <c r="E39" s="259"/>
      <c r="F39" s="259"/>
      <c r="G39" s="259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/>
      <c r="S39" s="272"/>
      <c r="T39" s="260"/>
      <c r="U39" s="259"/>
      <c r="V39" s="259"/>
      <c r="W39" s="259"/>
      <c r="X39" s="259"/>
      <c r="Y39" s="259"/>
      <c r="Z39" s="259"/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66">
        <f t="shared" si="17"/>
        <v>0</v>
      </c>
      <c r="BZ39" s="771"/>
      <c r="CA39" s="226"/>
      <c r="CB39" s="252"/>
      <c r="CC39" s="771"/>
    </row>
    <row r="40" spans="1:81" ht="16" outlineLevel="1">
      <c r="A40" s="603"/>
      <c r="B40" s="787"/>
      <c r="C40" s="267" t="s">
        <v>218</v>
      </c>
      <c r="D40" s="254" t="s">
        <v>270</v>
      </c>
      <c r="E40" s="259"/>
      <c r="F40" s="259"/>
      <c r="G40" s="259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72"/>
      <c r="T40" s="260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66">
        <f t="shared" si="17"/>
        <v>0</v>
      </c>
      <c r="BZ40" s="771"/>
      <c r="CA40" s="226"/>
      <c r="CB40" s="252"/>
      <c r="CC40" s="771"/>
    </row>
    <row r="41" spans="1:81" ht="16" outlineLevel="1">
      <c r="A41" s="603"/>
      <c r="B41" s="787"/>
      <c r="C41" s="267" t="s">
        <v>222</v>
      </c>
      <c r="D41" s="254" t="s">
        <v>270</v>
      </c>
      <c r="E41" s="259"/>
      <c r="F41" s="259"/>
      <c r="G41" s="259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272"/>
      <c r="T41" s="260"/>
      <c r="U41" s="259"/>
      <c r="V41" s="259"/>
      <c r="W41" s="259"/>
      <c r="X41" s="259"/>
      <c r="Y41" s="259"/>
      <c r="Z41" s="259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66">
        <f t="shared" si="17"/>
        <v>0</v>
      </c>
      <c r="BZ41" s="771"/>
      <c r="CA41" s="226"/>
      <c r="CB41" s="252"/>
      <c r="CC41" s="771"/>
    </row>
    <row r="42" spans="1:81" ht="16" outlineLevel="1">
      <c r="A42" s="603"/>
      <c r="B42" s="787"/>
      <c r="C42" s="253" t="s">
        <v>223</v>
      </c>
      <c r="D42" s="273" t="s">
        <v>270</v>
      </c>
      <c r="E42" s="274"/>
      <c r="F42" s="275"/>
      <c r="G42" s="275"/>
      <c r="H42" s="275">
        <f t="shared" ref="H42:I42" si="18">SUM(H43:H44)</f>
        <v>-34391.735537190085</v>
      </c>
      <c r="I42" s="275">
        <f t="shared" si="18"/>
        <v>-6771.9008264462809</v>
      </c>
      <c r="J42" s="275">
        <f>-Businessplan_prodej!$F$67/12*1.21</f>
        <v>-22876.583333333336</v>
      </c>
      <c r="K42" s="275">
        <f>-Businessplan_prodej!$F$67/12*1.21</f>
        <v>-22876.583333333336</v>
      </c>
      <c r="L42" s="275">
        <f>-Businessplan_prodej!$F$67/12*1.21</f>
        <v>-22876.583333333336</v>
      </c>
      <c r="M42" s="275">
        <f>-Businessplan_prodej!$F$67/12*1.21</f>
        <v>-22876.583333333336</v>
      </c>
      <c r="N42" s="275">
        <f>-Businessplan_prodej!$F$67/12*1.21</f>
        <v>-22876.583333333336</v>
      </c>
      <c r="O42" s="275">
        <f>-Businessplan_prodej!$F$67/12*1.21</f>
        <v>-22876.583333333336</v>
      </c>
      <c r="P42" s="275">
        <f>-Businessplan_prodej!$F$67/12*1.21</f>
        <v>-22876.583333333336</v>
      </c>
      <c r="Q42" s="275">
        <f>-Businessplan_prodej!$F$67/12*1.21</f>
        <v>-22876.583333333336</v>
      </c>
      <c r="R42" s="275">
        <f>-Businessplan_prodej!$F$67/12*1.21</f>
        <v>-22876.583333333336</v>
      </c>
      <c r="S42" s="275">
        <f>-Businessplan_prodej!$F$67/12*1.21</f>
        <v>-22876.583333333336</v>
      </c>
      <c r="T42" s="275">
        <f>-Businessplan_prodej!$F$67/12*1.21</f>
        <v>-22876.583333333336</v>
      </c>
      <c r="U42" s="275"/>
      <c r="V42" s="275"/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6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64"/>
      <c r="BY42" s="266">
        <f t="shared" si="17"/>
        <v>-292806.0530303031</v>
      </c>
      <c r="BZ42" s="771"/>
      <c r="CA42" s="226"/>
      <c r="CB42" s="252"/>
      <c r="CC42" s="771"/>
    </row>
    <row r="43" spans="1:81" ht="16" outlineLevel="2">
      <c r="A43" s="603"/>
      <c r="B43" s="787"/>
      <c r="C43" s="277" t="s">
        <v>290</v>
      </c>
      <c r="D43" s="254" t="s">
        <v>270</v>
      </c>
      <c r="E43" s="255"/>
      <c r="F43" s="255"/>
      <c r="G43" s="255"/>
      <c r="H43" s="278">
        <f>-11364/1.21</f>
        <v>-9391.7355371900831</v>
      </c>
      <c r="I43" s="278">
        <f>-8194/1.21</f>
        <v>-6771.9008264462809</v>
      </c>
      <c r="J43" s="278"/>
      <c r="K43" s="278"/>
      <c r="L43" s="278"/>
      <c r="M43" s="278"/>
      <c r="N43" s="278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66">
        <f t="shared" si="17"/>
        <v>-16163.636363636364</v>
      </c>
      <c r="BZ43" s="771"/>
      <c r="CA43" s="226"/>
      <c r="CB43" s="252"/>
      <c r="CC43" s="771"/>
    </row>
    <row r="44" spans="1:81" ht="16" outlineLevel="2">
      <c r="A44" s="603"/>
      <c r="B44" s="787"/>
      <c r="C44" s="277" t="s">
        <v>291</v>
      </c>
      <c r="D44" s="254" t="s">
        <v>270</v>
      </c>
      <c r="E44" s="255"/>
      <c r="F44" s="255"/>
      <c r="G44" s="255"/>
      <c r="H44" s="278">
        <f>-25000</f>
        <v>-25000</v>
      </c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278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66">
        <f t="shared" si="17"/>
        <v>-25000</v>
      </c>
      <c r="BZ44" s="771"/>
      <c r="CA44" s="226"/>
      <c r="CB44" s="252"/>
      <c r="CC44" s="771"/>
    </row>
    <row r="45" spans="1:81" ht="16" outlineLevel="1">
      <c r="A45" s="603"/>
      <c r="B45" s="787"/>
      <c r="C45" s="253" t="s">
        <v>224</v>
      </c>
      <c r="D45" s="254" t="s">
        <v>270</v>
      </c>
      <c r="E45" s="255"/>
      <c r="F45" s="255"/>
      <c r="G45" s="255"/>
      <c r="H45" s="256">
        <f>-1000</f>
        <v>-1000</v>
      </c>
      <c r="I45" s="256"/>
      <c r="J45" s="256">
        <f>-Businessplan_prodej!$F$68/12*1.21</f>
        <v>-19052.833333333336</v>
      </c>
      <c r="K45" s="256">
        <f>-Businessplan_prodej!$F$68/12*1.21</f>
        <v>-19052.833333333336</v>
      </c>
      <c r="L45" s="256">
        <f>-Businessplan_prodej!$F$68/12*1.21</f>
        <v>-19052.833333333336</v>
      </c>
      <c r="M45" s="256">
        <f>-Businessplan_prodej!$F$68/12*1.21</f>
        <v>-19052.833333333336</v>
      </c>
      <c r="N45" s="256">
        <f>-Businessplan_prodej!$F$68/12*1.21</f>
        <v>-19052.833333333336</v>
      </c>
      <c r="O45" s="256">
        <f>-Businessplan_prodej!$F$68/12*1.21</f>
        <v>-19052.833333333336</v>
      </c>
      <c r="P45" s="256">
        <f>-Businessplan_prodej!$F$68/12*1.21</f>
        <v>-19052.833333333336</v>
      </c>
      <c r="Q45" s="256">
        <f>-Businessplan_prodej!$F$68/12*1.21</f>
        <v>-19052.833333333336</v>
      </c>
      <c r="R45" s="256">
        <f>-Businessplan_prodej!$F$68/12*1.21</f>
        <v>-19052.833333333336</v>
      </c>
      <c r="S45" s="256">
        <f>-Businessplan_prodej!$F$68/12*1.21</f>
        <v>-19052.833333333336</v>
      </c>
      <c r="T45" s="256">
        <f>-Businessplan_prodej!$F$68/12*1.21</f>
        <v>-19052.833333333336</v>
      </c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66">
        <f t="shared" si="17"/>
        <v>-210581.16666666674</v>
      </c>
      <c r="BZ45" s="771"/>
      <c r="CA45" s="226"/>
      <c r="CB45" s="252"/>
      <c r="CC45" s="771"/>
    </row>
    <row r="46" spans="1:81" ht="14.25" customHeight="1" outlineLevel="1">
      <c r="A46" s="603"/>
      <c r="B46" s="787"/>
      <c r="C46" s="253" t="s">
        <v>225</v>
      </c>
      <c r="D46" s="254" t="s">
        <v>270</v>
      </c>
      <c r="E46" s="255"/>
      <c r="F46" s="255"/>
      <c r="G46" s="255"/>
      <c r="H46" s="256">
        <f>(-10188.2-65673)/1.21</f>
        <v>-62695.206611570247</v>
      </c>
      <c r="I46" s="256">
        <f>-6776/1.21</f>
        <v>-5600</v>
      </c>
      <c r="J46" s="256"/>
      <c r="K46" s="256">
        <f>-Businessplan_prodej!$F$69*0.3*1.21</f>
        <v>-35336.31</v>
      </c>
      <c r="L46" s="256"/>
      <c r="M46" s="256"/>
      <c r="N46" s="256"/>
      <c r="O46" s="256"/>
      <c r="P46" s="256">
        <f>-Businessplan_prodej!$F$69*0.2*1.21</f>
        <v>-23557.54</v>
      </c>
      <c r="Q46" s="256"/>
      <c r="R46" s="256"/>
      <c r="S46" s="256"/>
      <c r="T46" s="256">
        <f>-Businessplan_prodej!$F$69*0.5*1.21</f>
        <v>-58893.85</v>
      </c>
      <c r="U46" s="255"/>
      <c r="V46" s="255"/>
      <c r="W46" s="255"/>
      <c r="X46" s="255"/>
      <c r="Y46" s="255"/>
      <c r="Z46" s="255"/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66">
        <f t="shared" si="17"/>
        <v>-186082.90661157024</v>
      </c>
      <c r="BZ46" s="771"/>
      <c r="CA46" s="226"/>
      <c r="CB46" s="252"/>
      <c r="CC46" s="771"/>
    </row>
    <row r="47" spans="1:81" ht="14.25" customHeight="1" outlineLevel="1">
      <c r="A47" s="603"/>
      <c r="B47" s="787"/>
      <c r="C47" s="253" t="s">
        <v>226</v>
      </c>
      <c r="D47" s="254" t="s">
        <v>270</v>
      </c>
      <c r="E47" s="255"/>
      <c r="F47" s="255"/>
      <c r="G47" s="255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5"/>
      <c r="V47" s="255"/>
      <c r="W47" s="255"/>
      <c r="X47" s="255"/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5"/>
      <c r="BS47" s="255"/>
      <c r="BT47" s="255"/>
      <c r="BU47" s="255"/>
      <c r="BV47" s="255"/>
      <c r="BW47" s="255"/>
      <c r="BX47" s="264"/>
      <c r="BY47" s="266">
        <f t="shared" si="17"/>
        <v>0</v>
      </c>
      <c r="BZ47" s="771"/>
      <c r="CA47" s="226"/>
      <c r="CB47" s="252"/>
      <c r="CC47" s="771"/>
    </row>
    <row r="48" spans="1:81" ht="14.25" customHeight="1" outlineLevel="1">
      <c r="A48" s="603"/>
      <c r="B48" s="787"/>
      <c r="C48" s="253" t="s">
        <v>227</v>
      </c>
      <c r="D48" s="258" t="s">
        <v>270</v>
      </c>
      <c r="E48" s="255"/>
      <c r="F48" s="255"/>
      <c r="G48" s="255"/>
      <c r="H48" s="256"/>
      <c r="I48" s="256"/>
      <c r="J48" s="256">
        <f>-((17529*2*25.2+44407*2)*1.21)*75%</f>
        <v>-882340.10700000008</v>
      </c>
      <c r="K48" s="256"/>
      <c r="L48" s="256"/>
      <c r="M48" s="256"/>
      <c r="N48" s="256"/>
      <c r="O48" s="256">
        <f>-((17529*2*25.2+44407*2)*1.21)*25%</f>
        <v>-294113.36900000001</v>
      </c>
      <c r="P48" s="256"/>
      <c r="Q48" s="256"/>
      <c r="R48" s="256"/>
      <c r="S48" s="256"/>
      <c r="T48" s="256"/>
      <c r="U48" s="255"/>
      <c r="V48" s="255"/>
      <c r="W48" s="255"/>
      <c r="X48" s="255"/>
      <c r="Y48" s="255"/>
      <c r="Z48" s="255"/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66">
        <f t="shared" si="17"/>
        <v>-1176453.476</v>
      </c>
      <c r="BZ48" s="771"/>
      <c r="CA48" s="226"/>
      <c r="CB48" s="252"/>
      <c r="CC48" s="771"/>
    </row>
    <row r="49" spans="1:87" ht="16">
      <c r="A49" s="603"/>
      <c r="B49" s="787"/>
      <c r="C49" s="248" t="s">
        <v>292</v>
      </c>
      <c r="D49" s="249"/>
      <c r="E49" s="250">
        <f t="shared" ref="E49:BX49" si="19">SUM(E50:E54)</f>
        <v>0</v>
      </c>
      <c r="F49" s="250">
        <f t="shared" si="19"/>
        <v>0</v>
      </c>
      <c r="G49" s="250">
        <f t="shared" si="19"/>
        <v>0</v>
      </c>
      <c r="H49" s="250">
        <f t="shared" si="19"/>
        <v>-1442.155</v>
      </c>
      <c r="I49" s="250">
        <f t="shared" si="19"/>
        <v>-4792.1949999999997</v>
      </c>
      <c r="J49" s="250">
        <f t="shared" si="19"/>
        <v>-2076.3529166666667</v>
      </c>
      <c r="K49" s="250">
        <f t="shared" si="19"/>
        <v>-102076.35291666667</v>
      </c>
      <c r="L49" s="250">
        <f t="shared" si="19"/>
        <v>-2076.3529166666667</v>
      </c>
      <c r="M49" s="250">
        <f t="shared" si="19"/>
        <v>-2076.3529166666667</v>
      </c>
      <c r="N49" s="250">
        <f t="shared" si="19"/>
        <v>-2076.3529166666667</v>
      </c>
      <c r="O49" s="250">
        <f t="shared" si="19"/>
        <v>-2076.3529166666667</v>
      </c>
      <c r="P49" s="250">
        <f t="shared" si="19"/>
        <v>-2076.3529166666667</v>
      </c>
      <c r="Q49" s="250">
        <f t="shared" si="19"/>
        <v>-2076.3529166666667</v>
      </c>
      <c r="R49" s="250">
        <f t="shared" si="19"/>
        <v>-2076.3529166666667</v>
      </c>
      <c r="S49" s="250">
        <f t="shared" si="19"/>
        <v>-2076.3529166666667</v>
      </c>
      <c r="T49" s="250">
        <f t="shared" si="19"/>
        <v>-2076.3529166666667</v>
      </c>
      <c r="U49" s="250">
        <f t="shared" si="19"/>
        <v>0</v>
      </c>
      <c r="V49" s="250">
        <f t="shared" si="19"/>
        <v>0</v>
      </c>
      <c r="W49" s="250">
        <f t="shared" si="19"/>
        <v>0</v>
      </c>
      <c r="X49" s="250">
        <f t="shared" si="19"/>
        <v>0</v>
      </c>
      <c r="Y49" s="250">
        <f t="shared" si="19"/>
        <v>0</v>
      </c>
      <c r="Z49" s="250">
        <f t="shared" si="19"/>
        <v>0</v>
      </c>
      <c r="AA49" s="250">
        <f t="shared" si="19"/>
        <v>0</v>
      </c>
      <c r="AB49" s="250">
        <f t="shared" si="19"/>
        <v>0</v>
      </c>
      <c r="AC49" s="250">
        <f t="shared" si="19"/>
        <v>0</v>
      </c>
      <c r="AD49" s="250">
        <f t="shared" si="19"/>
        <v>0</v>
      </c>
      <c r="AE49" s="250">
        <f t="shared" si="19"/>
        <v>0</v>
      </c>
      <c r="AF49" s="250">
        <f t="shared" si="19"/>
        <v>0</v>
      </c>
      <c r="AG49" s="250">
        <f t="shared" si="19"/>
        <v>0</v>
      </c>
      <c r="AH49" s="250">
        <f t="shared" si="19"/>
        <v>0</v>
      </c>
      <c r="AI49" s="250">
        <f t="shared" si="19"/>
        <v>0</v>
      </c>
      <c r="AJ49" s="250">
        <f t="shared" si="19"/>
        <v>0</v>
      </c>
      <c r="AK49" s="250">
        <f t="shared" si="19"/>
        <v>0</v>
      </c>
      <c r="AL49" s="250">
        <f t="shared" si="19"/>
        <v>0</v>
      </c>
      <c r="AM49" s="250">
        <f t="shared" si="19"/>
        <v>0</v>
      </c>
      <c r="AN49" s="250">
        <f t="shared" si="19"/>
        <v>0</v>
      </c>
      <c r="AO49" s="250">
        <f t="shared" si="19"/>
        <v>0</v>
      </c>
      <c r="AP49" s="250">
        <f t="shared" si="19"/>
        <v>0</v>
      </c>
      <c r="AQ49" s="250">
        <f t="shared" si="19"/>
        <v>0</v>
      </c>
      <c r="AR49" s="250">
        <f t="shared" si="19"/>
        <v>0</v>
      </c>
      <c r="AS49" s="250">
        <f t="shared" si="19"/>
        <v>0</v>
      </c>
      <c r="AT49" s="250">
        <f t="shared" si="19"/>
        <v>0</v>
      </c>
      <c r="AU49" s="250">
        <f t="shared" si="19"/>
        <v>0</v>
      </c>
      <c r="AV49" s="250">
        <f t="shared" si="19"/>
        <v>0</v>
      </c>
      <c r="AW49" s="250">
        <f t="shared" si="19"/>
        <v>0</v>
      </c>
      <c r="AX49" s="250">
        <f t="shared" si="19"/>
        <v>0</v>
      </c>
      <c r="AY49" s="250">
        <f t="shared" si="19"/>
        <v>0</v>
      </c>
      <c r="AZ49" s="250">
        <f t="shared" si="19"/>
        <v>0</v>
      </c>
      <c r="BA49" s="250">
        <f t="shared" si="19"/>
        <v>0</v>
      </c>
      <c r="BB49" s="250">
        <f t="shared" si="19"/>
        <v>0</v>
      </c>
      <c r="BC49" s="250">
        <f t="shared" si="19"/>
        <v>0</v>
      </c>
      <c r="BD49" s="250">
        <f t="shared" si="19"/>
        <v>0</v>
      </c>
      <c r="BE49" s="250">
        <f t="shared" si="19"/>
        <v>0</v>
      </c>
      <c r="BF49" s="250">
        <f t="shared" si="19"/>
        <v>0</v>
      </c>
      <c r="BG49" s="250">
        <f t="shared" si="19"/>
        <v>0</v>
      </c>
      <c r="BH49" s="250">
        <f t="shared" si="19"/>
        <v>0</v>
      </c>
      <c r="BI49" s="250">
        <f t="shared" si="19"/>
        <v>0</v>
      </c>
      <c r="BJ49" s="250">
        <f t="shared" si="19"/>
        <v>0</v>
      </c>
      <c r="BK49" s="250">
        <f t="shared" si="19"/>
        <v>0</v>
      </c>
      <c r="BL49" s="250">
        <f t="shared" si="19"/>
        <v>0</v>
      </c>
      <c r="BM49" s="250">
        <f t="shared" si="19"/>
        <v>0</v>
      </c>
      <c r="BN49" s="250">
        <f t="shared" si="19"/>
        <v>0</v>
      </c>
      <c r="BO49" s="250">
        <f t="shared" si="19"/>
        <v>0</v>
      </c>
      <c r="BP49" s="250">
        <f t="shared" si="19"/>
        <v>0</v>
      </c>
      <c r="BQ49" s="250">
        <f t="shared" si="19"/>
        <v>0</v>
      </c>
      <c r="BR49" s="250">
        <f t="shared" si="19"/>
        <v>0</v>
      </c>
      <c r="BS49" s="250">
        <f t="shared" si="19"/>
        <v>0</v>
      </c>
      <c r="BT49" s="250">
        <f t="shared" si="19"/>
        <v>0</v>
      </c>
      <c r="BU49" s="250">
        <f t="shared" si="19"/>
        <v>0</v>
      </c>
      <c r="BV49" s="250">
        <f t="shared" si="19"/>
        <v>0</v>
      </c>
      <c r="BW49" s="250">
        <f t="shared" si="19"/>
        <v>0</v>
      </c>
      <c r="BX49" s="250">
        <f t="shared" si="19"/>
        <v>0</v>
      </c>
      <c r="BY49" s="252">
        <f>SUM(BY50:BY54)</f>
        <v>-129074.23208333334</v>
      </c>
      <c r="BZ49" s="771"/>
      <c r="CA49" s="226"/>
      <c r="CB49" s="252"/>
      <c r="CC49" s="771"/>
      <c r="CD49" s="226"/>
      <c r="CE49" s="226"/>
      <c r="CF49" s="226"/>
      <c r="CG49" s="226"/>
      <c r="CH49" s="226"/>
      <c r="CI49" s="226"/>
    </row>
    <row r="50" spans="1:87" ht="16" outlineLevel="1">
      <c r="A50" s="603"/>
      <c r="B50" s="787"/>
      <c r="C50" s="253" t="s">
        <v>229</v>
      </c>
      <c r="D50" s="254" t="s">
        <v>270</v>
      </c>
      <c r="E50" s="255"/>
      <c r="F50" s="255"/>
      <c r="G50" s="255"/>
      <c r="H50" s="256"/>
      <c r="I50" s="256"/>
      <c r="J50" s="256"/>
      <c r="K50" s="256">
        <f>-Businessplan_prodej!$F$98</f>
        <v>-100000</v>
      </c>
      <c r="L50" s="256"/>
      <c r="M50" s="256"/>
      <c r="N50" s="256"/>
      <c r="O50" s="256"/>
      <c r="P50" s="256"/>
      <c r="Q50" s="256"/>
      <c r="R50" s="256"/>
      <c r="S50" s="256"/>
      <c r="T50" s="256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64"/>
      <c r="BY50" s="265">
        <f t="shared" ref="BY50:BY54" si="20">SUM(E50:BX50)</f>
        <v>-100000</v>
      </c>
      <c r="BZ50" s="771"/>
      <c r="CA50" s="226"/>
      <c r="CB50" s="252"/>
      <c r="CC50" s="771"/>
      <c r="CD50" s="226"/>
      <c r="CE50" s="226"/>
      <c r="CF50" s="226"/>
      <c r="CG50" s="226"/>
      <c r="CH50" s="226"/>
      <c r="CI50" s="226"/>
    </row>
    <row r="51" spans="1:87" ht="16" outlineLevel="1">
      <c r="A51" s="603"/>
      <c r="B51" s="787"/>
      <c r="C51" s="253" t="s">
        <v>293</v>
      </c>
      <c r="D51" s="254" t="s">
        <v>270</v>
      </c>
      <c r="E51" s="255"/>
      <c r="F51" s="255"/>
      <c r="G51" s="255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65">
        <f t="shared" si="20"/>
        <v>0</v>
      </c>
      <c r="BZ51" s="771"/>
      <c r="CA51" s="226"/>
      <c r="CB51" s="252"/>
      <c r="CC51" s="771"/>
      <c r="CD51" s="226"/>
      <c r="CE51" s="226"/>
      <c r="CF51" s="226"/>
      <c r="CG51" s="226"/>
      <c r="CH51" s="226"/>
      <c r="CI51" s="226"/>
    </row>
    <row r="52" spans="1:87" ht="16" outlineLevel="1">
      <c r="A52" s="603"/>
      <c r="B52" s="787"/>
      <c r="C52" s="253" t="s">
        <v>294</v>
      </c>
      <c r="D52" s="254" t="s">
        <v>270</v>
      </c>
      <c r="E52" s="255"/>
      <c r="F52" s="255"/>
      <c r="G52" s="255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65">
        <f t="shared" si="20"/>
        <v>0</v>
      </c>
      <c r="BZ52" s="771"/>
      <c r="CA52" s="226"/>
      <c r="CB52" s="252"/>
      <c r="CC52" s="771"/>
      <c r="CD52" s="226"/>
      <c r="CE52" s="226"/>
      <c r="CF52" s="226"/>
      <c r="CG52" s="226"/>
      <c r="CH52" s="226"/>
      <c r="CI52" s="226"/>
    </row>
    <row r="53" spans="1:87" ht="16" outlineLevel="1">
      <c r="A53" s="603"/>
      <c r="B53" s="787"/>
      <c r="C53" s="253" t="s">
        <v>236</v>
      </c>
      <c r="D53" s="254" t="s">
        <v>270</v>
      </c>
      <c r="E53" s="255"/>
      <c r="F53" s="255"/>
      <c r="G53" s="255"/>
      <c r="H53" s="256">
        <f>-3-12-5-200-2-12-400-36-(0.02+0.09+0.21+17.06)*22-15.91*24.5</f>
        <v>-1442.155</v>
      </c>
      <c r="I53" s="256">
        <f>-6-5-200-12-400-24-2-16.19*24.5-17.57*22</f>
        <v>-1432.1949999999999</v>
      </c>
      <c r="J53" s="256">
        <f>-Businessplan_prodej!$F$101/12</f>
        <v>-2076.3529166666667</v>
      </c>
      <c r="K53" s="256">
        <f>-Businessplan_prodej!$F$101/12</f>
        <v>-2076.3529166666667</v>
      </c>
      <c r="L53" s="256">
        <f>-Businessplan_prodej!$F$101/12</f>
        <v>-2076.3529166666667</v>
      </c>
      <c r="M53" s="256">
        <f>-Businessplan_prodej!$F$101/12</f>
        <v>-2076.3529166666667</v>
      </c>
      <c r="N53" s="256">
        <f>-Businessplan_prodej!$F$101/12</f>
        <v>-2076.3529166666667</v>
      </c>
      <c r="O53" s="256">
        <f>-Businessplan_prodej!$F$101/12</f>
        <v>-2076.3529166666667</v>
      </c>
      <c r="P53" s="256">
        <f>-Businessplan_prodej!$F$101/12</f>
        <v>-2076.3529166666667</v>
      </c>
      <c r="Q53" s="256">
        <f>-Businessplan_prodej!$F$101/12</f>
        <v>-2076.3529166666667</v>
      </c>
      <c r="R53" s="256">
        <f>-Businessplan_prodej!$F$101/12</f>
        <v>-2076.3529166666667</v>
      </c>
      <c r="S53" s="256">
        <f>-Businessplan_prodej!$F$101/12</f>
        <v>-2076.3529166666667</v>
      </c>
      <c r="T53" s="256">
        <f>-Businessplan_prodej!$F$101/12</f>
        <v>-2076.3529166666667</v>
      </c>
      <c r="U53" s="255"/>
      <c r="V53" s="255"/>
      <c r="W53" s="255"/>
      <c r="X53" s="255"/>
      <c r="Y53" s="255"/>
      <c r="Z53" s="255"/>
      <c r="AA53" s="255"/>
      <c r="AB53" s="255"/>
      <c r="AC53" s="255"/>
      <c r="AD53" s="255"/>
      <c r="AE53" s="255"/>
      <c r="AF53" s="255"/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  <c r="AT53" s="255"/>
      <c r="AU53" s="255"/>
      <c r="AV53" s="255"/>
      <c r="AW53" s="255"/>
      <c r="AX53" s="255"/>
      <c r="AY53" s="255"/>
      <c r="AZ53" s="255"/>
      <c r="BA53" s="255"/>
      <c r="BB53" s="255"/>
      <c r="BC53" s="255"/>
      <c r="BD53" s="255"/>
      <c r="BE53" s="255"/>
      <c r="BF53" s="255"/>
      <c r="BG53" s="255"/>
      <c r="BH53" s="255"/>
      <c r="BI53" s="255"/>
      <c r="BJ53" s="255"/>
      <c r="BK53" s="255"/>
      <c r="BL53" s="255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64"/>
      <c r="BY53" s="266">
        <f t="shared" si="20"/>
        <v>-25714.232083333336</v>
      </c>
      <c r="BZ53" s="771"/>
      <c r="CA53" s="226"/>
      <c r="CB53" s="252"/>
      <c r="CC53" s="771"/>
      <c r="CD53" s="226"/>
      <c r="CE53" s="226"/>
      <c r="CF53" s="226"/>
      <c r="CG53" s="226"/>
      <c r="CH53" s="226"/>
      <c r="CI53" s="226"/>
    </row>
    <row r="54" spans="1:87" ht="16" outlineLevel="1">
      <c r="A54" s="603"/>
      <c r="B54" s="787"/>
      <c r="C54" s="253" t="s">
        <v>237</v>
      </c>
      <c r="D54" s="258" t="s">
        <v>270</v>
      </c>
      <c r="E54" s="259"/>
      <c r="F54" s="259"/>
      <c r="G54" s="255"/>
      <c r="H54" s="256"/>
      <c r="I54" s="256">
        <f>-3360</f>
        <v>-3360</v>
      </c>
      <c r="J54" s="256"/>
      <c r="K54" s="256"/>
      <c r="L54" s="256"/>
      <c r="M54" s="256"/>
      <c r="N54" s="256"/>
      <c r="O54" s="256"/>
      <c r="P54" s="256"/>
      <c r="Q54" s="256"/>
      <c r="R54" s="256"/>
      <c r="S54" s="256"/>
      <c r="T54" s="256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55"/>
      <c r="BN54" s="255"/>
      <c r="BO54" s="255"/>
      <c r="BP54" s="255"/>
      <c r="BQ54" s="255"/>
      <c r="BR54" s="255"/>
      <c r="BS54" s="255"/>
      <c r="BT54" s="255"/>
      <c r="BU54" s="255"/>
      <c r="BV54" s="255"/>
      <c r="BW54" s="255"/>
      <c r="BX54" s="264"/>
      <c r="BY54" s="268">
        <f t="shared" si="20"/>
        <v>-3360</v>
      </c>
      <c r="BZ54" s="771"/>
      <c r="CA54" s="226"/>
      <c r="CB54" s="252"/>
      <c r="CC54" s="771"/>
      <c r="CD54" s="226"/>
      <c r="CE54" s="226"/>
      <c r="CF54" s="226"/>
      <c r="CG54" s="226"/>
      <c r="CH54" s="226"/>
      <c r="CI54" s="226"/>
    </row>
    <row r="55" spans="1:87" ht="16" collapsed="1">
      <c r="A55" s="603"/>
      <c r="B55" s="787"/>
      <c r="C55" s="248" t="s">
        <v>295</v>
      </c>
      <c r="D55" s="249"/>
      <c r="E55" s="250">
        <f t="shared" ref="E55:BX55" si="21">SUM(E56:E62)</f>
        <v>0</v>
      </c>
      <c r="F55" s="250">
        <f t="shared" si="21"/>
        <v>0</v>
      </c>
      <c r="G55" s="250">
        <f t="shared" si="21"/>
        <v>0</v>
      </c>
      <c r="H55" s="250">
        <f t="shared" si="21"/>
        <v>0</v>
      </c>
      <c r="I55" s="250">
        <f t="shared" si="21"/>
        <v>0</v>
      </c>
      <c r="J55" s="250">
        <f t="shared" si="21"/>
        <v>0</v>
      </c>
      <c r="K55" s="250">
        <f t="shared" si="21"/>
        <v>0</v>
      </c>
      <c r="L55" s="250">
        <f t="shared" si="21"/>
        <v>0</v>
      </c>
      <c r="M55" s="250">
        <f t="shared" si="21"/>
        <v>-165083.33333333334</v>
      </c>
      <c r="N55" s="250">
        <f t="shared" si="21"/>
        <v>-215833.33333333337</v>
      </c>
      <c r="O55" s="250">
        <f t="shared" si="21"/>
        <v>-271833.33333333337</v>
      </c>
      <c r="P55" s="250">
        <f t="shared" si="21"/>
        <v>-280000.00000000006</v>
      </c>
      <c r="Q55" s="250">
        <f t="shared" si="21"/>
        <v>-285441.03583333333</v>
      </c>
      <c r="R55" s="250">
        <f t="shared" si="21"/>
        <v>-285441.03583333333</v>
      </c>
      <c r="S55" s="250">
        <f t="shared" si="21"/>
        <v>-285441.03583333333</v>
      </c>
      <c r="T55" s="250" t="e">
        <f t="shared" si="21"/>
        <v>#REF!</v>
      </c>
      <c r="U55" s="250">
        <f t="shared" si="21"/>
        <v>0</v>
      </c>
      <c r="V55" s="250">
        <f t="shared" si="21"/>
        <v>0</v>
      </c>
      <c r="W55" s="250">
        <f t="shared" si="21"/>
        <v>0</v>
      </c>
      <c r="X55" s="250">
        <f t="shared" si="21"/>
        <v>0</v>
      </c>
      <c r="Y55" s="250">
        <f t="shared" si="21"/>
        <v>0</v>
      </c>
      <c r="Z55" s="250">
        <f t="shared" si="21"/>
        <v>0</v>
      </c>
      <c r="AA55" s="250">
        <f t="shared" si="21"/>
        <v>0</v>
      </c>
      <c r="AB55" s="250">
        <f t="shared" si="21"/>
        <v>0</v>
      </c>
      <c r="AC55" s="250">
        <f t="shared" si="21"/>
        <v>0</v>
      </c>
      <c r="AD55" s="250">
        <f t="shared" si="21"/>
        <v>0</v>
      </c>
      <c r="AE55" s="250">
        <f t="shared" si="21"/>
        <v>0</v>
      </c>
      <c r="AF55" s="250">
        <f t="shared" si="21"/>
        <v>0</v>
      </c>
      <c r="AG55" s="250">
        <f t="shared" si="21"/>
        <v>0</v>
      </c>
      <c r="AH55" s="250">
        <f t="shared" si="21"/>
        <v>0</v>
      </c>
      <c r="AI55" s="250">
        <f t="shared" si="21"/>
        <v>0</v>
      </c>
      <c r="AJ55" s="250">
        <f t="shared" si="21"/>
        <v>0</v>
      </c>
      <c r="AK55" s="250">
        <f t="shared" si="21"/>
        <v>0</v>
      </c>
      <c r="AL55" s="250">
        <f t="shared" si="21"/>
        <v>0</v>
      </c>
      <c r="AM55" s="250">
        <f t="shared" si="21"/>
        <v>0</v>
      </c>
      <c r="AN55" s="250">
        <f t="shared" si="21"/>
        <v>0</v>
      </c>
      <c r="AO55" s="250">
        <f t="shared" si="21"/>
        <v>0</v>
      </c>
      <c r="AP55" s="250">
        <f t="shared" si="21"/>
        <v>0</v>
      </c>
      <c r="AQ55" s="250">
        <f t="shared" si="21"/>
        <v>0</v>
      </c>
      <c r="AR55" s="250">
        <f t="shared" si="21"/>
        <v>0</v>
      </c>
      <c r="AS55" s="250">
        <f t="shared" si="21"/>
        <v>0</v>
      </c>
      <c r="AT55" s="250">
        <f t="shared" si="21"/>
        <v>0</v>
      </c>
      <c r="AU55" s="250">
        <f t="shared" si="21"/>
        <v>0</v>
      </c>
      <c r="AV55" s="250">
        <f t="shared" si="21"/>
        <v>0</v>
      </c>
      <c r="AW55" s="250">
        <f t="shared" si="21"/>
        <v>0</v>
      </c>
      <c r="AX55" s="250">
        <f t="shared" si="21"/>
        <v>0</v>
      </c>
      <c r="AY55" s="250">
        <f t="shared" si="21"/>
        <v>0</v>
      </c>
      <c r="AZ55" s="250">
        <f t="shared" si="21"/>
        <v>0</v>
      </c>
      <c r="BA55" s="250">
        <f t="shared" si="21"/>
        <v>0</v>
      </c>
      <c r="BB55" s="250">
        <f t="shared" si="21"/>
        <v>0</v>
      </c>
      <c r="BC55" s="250">
        <f t="shared" si="21"/>
        <v>0</v>
      </c>
      <c r="BD55" s="250">
        <f t="shared" si="21"/>
        <v>0</v>
      </c>
      <c r="BE55" s="250">
        <f t="shared" si="21"/>
        <v>0</v>
      </c>
      <c r="BF55" s="250">
        <f t="shared" si="21"/>
        <v>0</v>
      </c>
      <c r="BG55" s="250">
        <f t="shared" si="21"/>
        <v>0</v>
      </c>
      <c r="BH55" s="250">
        <f t="shared" si="21"/>
        <v>0</v>
      </c>
      <c r="BI55" s="250">
        <f t="shared" si="21"/>
        <v>0</v>
      </c>
      <c r="BJ55" s="250">
        <f t="shared" si="21"/>
        <v>0</v>
      </c>
      <c r="BK55" s="250">
        <f t="shared" si="21"/>
        <v>0</v>
      </c>
      <c r="BL55" s="250">
        <f t="shared" si="21"/>
        <v>0</v>
      </c>
      <c r="BM55" s="250">
        <f t="shared" si="21"/>
        <v>0</v>
      </c>
      <c r="BN55" s="250">
        <f t="shared" si="21"/>
        <v>0</v>
      </c>
      <c r="BO55" s="250">
        <f t="shared" si="21"/>
        <v>0</v>
      </c>
      <c r="BP55" s="250">
        <f t="shared" si="21"/>
        <v>0</v>
      </c>
      <c r="BQ55" s="250">
        <f t="shared" si="21"/>
        <v>0</v>
      </c>
      <c r="BR55" s="250">
        <f t="shared" si="21"/>
        <v>0</v>
      </c>
      <c r="BS55" s="250">
        <f t="shared" si="21"/>
        <v>0</v>
      </c>
      <c r="BT55" s="250">
        <f t="shared" si="21"/>
        <v>0</v>
      </c>
      <c r="BU55" s="250">
        <f t="shared" si="21"/>
        <v>0</v>
      </c>
      <c r="BV55" s="250">
        <f t="shared" si="21"/>
        <v>0</v>
      </c>
      <c r="BW55" s="250">
        <f t="shared" si="21"/>
        <v>0</v>
      </c>
      <c r="BX55" s="250">
        <f t="shared" si="21"/>
        <v>0</v>
      </c>
      <c r="BY55" s="252" t="e">
        <f>SUM(BY56:BY62)</f>
        <v>#REF!</v>
      </c>
      <c r="BZ55" s="771"/>
      <c r="CA55" s="226"/>
      <c r="CB55" s="252"/>
      <c r="CC55" s="771"/>
      <c r="CD55" s="226"/>
      <c r="CE55" s="226"/>
      <c r="CF55" s="226"/>
      <c r="CG55" s="226"/>
      <c r="CH55" s="226"/>
      <c r="CI55" s="226"/>
    </row>
    <row r="56" spans="1:87" ht="16" hidden="1" outlineLevel="1">
      <c r="A56" s="603"/>
      <c r="B56" s="787"/>
      <c r="C56" s="253" t="s">
        <v>296</v>
      </c>
      <c r="D56" s="279">
        <v>0.105</v>
      </c>
      <c r="E56" s="255"/>
      <c r="F56" s="255"/>
      <c r="G56" s="255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80">
        <f t="shared" ref="BY56:BY62" si="22">SUM(E56:BX56)</f>
        <v>0</v>
      </c>
      <c r="BZ56" s="771"/>
      <c r="CA56" s="226"/>
      <c r="CB56" s="252"/>
      <c r="CC56" s="771"/>
      <c r="CD56" s="226"/>
      <c r="CE56" s="226"/>
      <c r="CF56" s="226"/>
      <c r="CG56" s="226"/>
      <c r="CH56" s="226"/>
      <c r="CI56" s="226"/>
    </row>
    <row r="57" spans="1:87" ht="16" hidden="1" outlineLevel="1">
      <c r="A57" s="603"/>
      <c r="B57" s="787"/>
      <c r="C57" s="253" t="s">
        <v>297</v>
      </c>
      <c r="D57" s="279">
        <v>0.105</v>
      </c>
      <c r="E57" s="255"/>
      <c r="F57" s="255"/>
      <c r="G57" s="255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 t="e">
        <f>-SUM(' Interest Calc EQ FAKT'!J13:J22)-' Interest Calc EQ FAKT'!J22</f>
        <v>#REF!</v>
      </c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80" t="e">
        <f t="shared" si="22"/>
        <v>#REF!</v>
      </c>
      <c r="BZ57" s="771"/>
      <c r="CA57" s="226"/>
      <c r="CB57" s="252"/>
      <c r="CC57" s="771"/>
      <c r="CD57" s="226"/>
      <c r="CE57" s="226"/>
      <c r="CF57" s="226"/>
      <c r="CG57" s="226"/>
      <c r="CH57" s="226"/>
      <c r="CI57" s="226"/>
    </row>
    <row r="58" spans="1:87" ht="16" hidden="1" outlineLevel="1">
      <c r="A58" s="603"/>
      <c r="B58" s="787"/>
      <c r="C58" s="253" t="s">
        <v>298</v>
      </c>
      <c r="D58" s="279">
        <v>0.105</v>
      </c>
      <c r="E58" s="255"/>
      <c r="F58" s="255"/>
      <c r="G58" s="255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80">
        <f t="shared" si="22"/>
        <v>0</v>
      </c>
      <c r="BZ58" s="771"/>
      <c r="CA58" s="226"/>
      <c r="CB58" s="252"/>
      <c r="CC58" s="771"/>
      <c r="CD58" s="226"/>
      <c r="CE58" s="226"/>
      <c r="CF58" s="226"/>
      <c r="CG58" s="226"/>
      <c r="CH58" s="226"/>
      <c r="CI58" s="226"/>
    </row>
    <row r="59" spans="1:87" ht="16" hidden="1" outlineLevel="1">
      <c r="A59" s="603"/>
      <c r="B59" s="787"/>
      <c r="C59" s="253" t="s">
        <v>299</v>
      </c>
      <c r="D59" s="279">
        <v>0.105</v>
      </c>
      <c r="E59" s="255"/>
      <c r="F59" s="255"/>
      <c r="G59" s="255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81">
        <f t="shared" si="22"/>
        <v>0</v>
      </c>
      <c r="BZ59" s="771"/>
      <c r="CA59" s="226"/>
      <c r="CB59" s="252"/>
      <c r="CC59" s="771"/>
      <c r="CD59" s="226"/>
      <c r="CE59" s="226"/>
      <c r="CF59" s="226"/>
      <c r="CG59" s="226"/>
      <c r="CH59" s="226"/>
      <c r="CI59" s="226"/>
    </row>
    <row r="60" spans="1:87" ht="16" hidden="1" outlineLevel="1">
      <c r="A60" s="603"/>
      <c r="B60" s="787"/>
      <c r="C60" s="253" t="s">
        <v>300</v>
      </c>
      <c r="D60" s="279">
        <v>0.15</v>
      </c>
      <c r="E60" s="255"/>
      <c r="F60" s="255"/>
      <c r="G60" s="255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5"/>
      <c r="AL60" s="255"/>
      <c r="AM60" s="255"/>
      <c r="AN60" s="255"/>
      <c r="AO60" s="255"/>
      <c r="AP60" s="255"/>
      <c r="AQ60" s="255"/>
      <c r="AR60" s="255"/>
      <c r="AS60" s="255"/>
      <c r="AT60" s="255"/>
      <c r="AU60" s="255"/>
      <c r="AV60" s="255"/>
      <c r="AW60" s="255"/>
      <c r="AX60" s="255"/>
      <c r="AY60" s="255"/>
      <c r="AZ60" s="255"/>
      <c r="BA60" s="255"/>
      <c r="BB60" s="255"/>
      <c r="BC60" s="255"/>
      <c r="BD60" s="255"/>
      <c r="BE60" s="255"/>
      <c r="BF60" s="255"/>
      <c r="BG60" s="255"/>
      <c r="BH60" s="255"/>
      <c r="BI60" s="255"/>
      <c r="BJ60" s="255"/>
      <c r="BK60" s="255"/>
      <c r="BL60" s="255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82">
        <f t="shared" si="22"/>
        <v>0</v>
      </c>
      <c r="BZ60" s="771"/>
      <c r="CA60" s="226"/>
      <c r="CB60" s="252"/>
      <c r="CC60" s="771"/>
      <c r="CD60" s="226"/>
      <c r="CE60" s="226"/>
      <c r="CF60" s="226"/>
      <c r="CG60" s="226"/>
      <c r="CH60" s="226"/>
      <c r="CI60" s="226"/>
    </row>
    <row r="61" spans="1:87" ht="16" hidden="1" outlineLevel="1">
      <c r="A61" s="603"/>
      <c r="B61" s="787"/>
      <c r="C61" s="253" t="s">
        <v>622</v>
      </c>
      <c r="D61" s="283">
        <f>25%/12</f>
        <v>2.0833333333333332E-2</v>
      </c>
      <c r="E61" s="259"/>
      <c r="F61" s="259"/>
      <c r="G61" s="259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59"/>
      <c r="V61" s="259"/>
      <c r="W61" s="259"/>
      <c r="X61" s="259"/>
      <c r="Y61" s="259"/>
      <c r="Z61" s="259"/>
      <c r="AA61" s="259"/>
      <c r="AB61" s="259"/>
      <c r="AC61" s="259"/>
      <c r="AD61" s="259"/>
      <c r="AE61" s="259"/>
      <c r="AF61" s="259"/>
      <c r="AG61" s="259"/>
      <c r="AH61" s="259"/>
      <c r="AI61" s="259"/>
      <c r="AJ61" s="259"/>
      <c r="AK61" s="259"/>
      <c r="AL61" s="259"/>
      <c r="AM61" s="259"/>
      <c r="AN61" s="259"/>
      <c r="AO61" s="259"/>
      <c r="AP61" s="259"/>
      <c r="AQ61" s="259"/>
      <c r="AR61" s="259"/>
      <c r="AS61" s="259"/>
      <c r="AT61" s="259"/>
      <c r="AU61" s="259"/>
      <c r="AV61" s="259"/>
      <c r="AW61" s="259"/>
      <c r="AX61" s="259"/>
      <c r="AY61" s="259"/>
      <c r="AZ61" s="259"/>
      <c r="BA61" s="259"/>
      <c r="BB61" s="259"/>
      <c r="BC61" s="259"/>
      <c r="BD61" s="259"/>
      <c r="BE61" s="259"/>
      <c r="BF61" s="259"/>
      <c r="BG61" s="259"/>
      <c r="BH61" s="259"/>
      <c r="BI61" s="259"/>
      <c r="BJ61" s="259"/>
      <c r="BK61" s="259"/>
      <c r="BL61" s="255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82">
        <f t="shared" si="22"/>
        <v>0</v>
      </c>
      <c r="BZ61" s="771"/>
      <c r="CA61" s="226"/>
      <c r="CB61" s="252"/>
      <c r="CC61" s="771"/>
      <c r="CD61" s="226"/>
      <c r="CE61" s="226"/>
      <c r="CF61" s="226"/>
      <c r="CG61" s="226"/>
      <c r="CH61" s="226"/>
      <c r="CI61" s="226"/>
    </row>
    <row r="62" spans="1:87" ht="16" hidden="1" outlineLevel="1">
      <c r="A62" s="603"/>
      <c r="B62" s="787"/>
      <c r="C62" s="284" t="s">
        <v>302</v>
      </c>
      <c r="D62" s="285">
        <v>7.0000000000000007E-2</v>
      </c>
      <c r="E62" s="286"/>
      <c r="F62" s="286"/>
      <c r="G62" s="286"/>
      <c r="H62" s="287"/>
      <c r="I62" s="287"/>
      <c r="J62" s="287"/>
      <c r="K62" s="287"/>
      <c r="L62" s="287"/>
      <c r="M62" s="287">
        <v>-165083.33333333334</v>
      </c>
      <c r="N62" s="287">
        <v>-215833.33333333337</v>
      </c>
      <c r="O62" s="287">
        <v>-271833.33333333337</v>
      </c>
      <c r="P62" s="287">
        <v>-280000.00000000006</v>
      </c>
      <c r="Q62" s="287">
        <f t="shared" ref="Q62:T62" si="23">-SUM($K$11:Q11)*$D$62/12</f>
        <v>-285441.03583333333</v>
      </c>
      <c r="R62" s="287">
        <f t="shared" si="23"/>
        <v>-285441.03583333333</v>
      </c>
      <c r="S62" s="287">
        <f t="shared" si="23"/>
        <v>-285441.03583333333</v>
      </c>
      <c r="T62" s="287">
        <f t="shared" si="23"/>
        <v>-285441.03583333333</v>
      </c>
      <c r="U62" s="286"/>
      <c r="V62" s="286"/>
      <c r="W62" s="286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8"/>
      <c r="BN62" s="288"/>
      <c r="BO62" s="288"/>
      <c r="BP62" s="288"/>
      <c r="BQ62" s="288"/>
      <c r="BR62" s="288"/>
      <c r="BS62" s="288"/>
      <c r="BT62" s="288"/>
      <c r="BU62" s="288"/>
      <c r="BV62" s="288"/>
      <c r="BW62" s="288"/>
      <c r="BX62" s="288"/>
      <c r="BY62" s="289">
        <f t="shared" si="22"/>
        <v>-2074514.1433333338</v>
      </c>
      <c r="BZ62" s="771"/>
      <c r="CA62" s="226"/>
      <c r="CB62" s="252"/>
      <c r="CC62" s="771"/>
      <c r="CD62" s="226"/>
      <c r="CE62" s="226"/>
      <c r="CF62" s="226"/>
      <c r="CG62" s="226"/>
      <c r="CH62" s="226"/>
      <c r="CI62" s="226"/>
    </row>
    <row r="63" spans="1:87" ht="16" collapsed="1">
      <c r="A63" s="603"/>
      <c r="B63" s="787"/>
      <c r="C63" s="248" t="s">
        <v>303</v>
      </c>
      <c r="D63" s="249"/>
      <c r="E63" s="250">
        <f t="shared" ref="E63:BY63" si="24">SUM(E64:E86)</f>
        <v>0</v>
      </c>
      <c r="F63" s="250">
        <f t="shared" si="24"/>
        <v>0</v>
      </c>
      <c r="G63" s="250">
        <f t="shared" si="24"/>
        <v>0</v>
      </c>
      <c r="H63" s="250">
        <f t="shared" si="24"/>
        <v>0</v>
      </c>
      <c r="I63" s="250">
        <f t="shared" si="24"/>
        <v>0</v>
      </c>
      <c r="J63" s="250">
        <f t="shared" si="24"/>
        <v>0</v>
      </c>
      <c r="K63" s="250">
        <f t="shared" si="24"/>
        <v>0</v>
      </c>
      <c r="L63" s="250">
        <f t="shared" si="24"/>
        <v>0</v>
      </c>
      <c r="M63" s="250">
        <f t="shared" si="24"/>
        <v>0</v>
      </c>
      <c r="N63" s="250">
        <f t="shared" si="24"/>
        <v>0</v>
      </c>
      <c r="O63" s="250">
        <f t="shared" si="24"/>
        <v>0</v>
      </c>
      <c r="P63" s="250">
        <f t="shared" si="24"/>
        <v>0</v>
      </c>
      <c r="Q63" s="250">
        <f t="shared" si="24"/>
        <v>-97718.69249999999</v>
      </c>
      <c r="R63" s="250">
        <f t="shared" si="24"/>
        <v>-97718.69249999999</v>
      </c>
      <c r="S63" s="250">
        <f t="shared" si="24"/>
        <v>-97718.69249999999</v>
      </c>
      <c r="T63" s="250">
        <f t="shared" si="24"/>
        <v>-97718.69249999999</v>
      </c>
      <c r="U63" s="250">
        <f t="shared" si="24"/>
        <v>0</v>
      </c>
      <c r="V63" s="250">
        <f t="shared" si="24"/>
        <v>0</v>
      </c>
      <c r="W63" s="250">
        <f t="shared" si="24"/>
        <v>0</v>
      </c>
      <c r="X63" s="250">
        <f t="shared" si="24"/>
        <v>0</v>
      </c>
      <c r="Y63" s="250">
        <f t="shared" si="24"/>
        <v>0</v>
      </c>
      <c r="Z63" s="250">
        <f t="shared" si="24"/>
        <v>0</v>
      </c>
      <c r="AA63" s="250">
        <f t="shared" si="24"/>
        <v>0</v>
      </c>
      <c r="AB63" s="250">
        <f t="shared" si="24"/>
        <v>0</v>
      </c>
      <c r="AC63" s="250">
        <f t="shared" si="24"/>
        <v>0</v>
      </c>
      <c r="AD63" s="250">
        <f t="shared" si="24"/>
        <v>0</v>
      </c>
      <c r="AE63" s="250">
        <f t="shared" si="24"/>
        <v>0</v>
      </c>
      <c r="AF63" s="250">
        <f t="shared" si="24"/>
        <v>0</v>
      </c>
      <c r="AG63" s="250">
        <f t="shared" si="24"/>
        <v>0</v>
      </c>
      <c r="AH63" s="250">
        <f t="shared" si="24"/>
        <v>0</v>
      </c>
      <c r="AI63" s="250">
        <f t="shared" si="24"/>
        <v>0</v>
      </c>
      <c r="AJ63" s="250">
        <f t="shared" si="24"/>
        <v>0</v>
      </c>
      <c r="AK63" s="250">
        <f t="shared" si="24"/>
        <v>0</v>
      </c>
      <c r="AL63" s="250">
        <f t="shared" si="24"/>
        <v>0</v>
      </c>
      <c r="AM63" s="250">
        <f t="shared" si="24"/>
        <v>0</v>
      </c>
      <c r="AN63" s="250">
        <f t="shared" si="24"/>
        <v>0</v>
      </c>
      <c r="AO63" s="250">
        <f t="shared" si="24"/>
        <v>0</v>
      </c>
      <c r="AP63" s="250">
        <f t="shared" si="24"/>
        <v>0</v>
      </c>
      <c r="AQ63" s="250">
        <f t="shared" si="24"/>
        <v>0</v>
      </c>
      <c r="AR63" s="250">
        <f t="shared" si="24"/>
        <v>0</v>
      </c>
      <c r="AS63" s="250">
        <f t="shared" si="24"/>
        <v>0</v>
      </c>
      <c r="AT63" s="250">
        <f t="shared" si="24"/>
        <v>0</v>
      </c>
      <c r="AU63" s="250">
        <f t="shared" si="24"/>
        <v>0</v>
      </c>
      <c r="AV63" s="250">
        <f t="shared" si="24"/>
        <v>0</v>
      </c>
      <c r="AW63" s="250">
        <f t="shared" si="24"/>
        <v>0</v>
      </c>
      <c r="AX63" s="250">
        <f t="shared" si="24"/>
        <v>0</v>
      </c>
      <c r="AY63" s="250">
        <f t="shared" si="24"/>
        <v>0</v>
      </c>
      <c r="AZ63" s="250">
        <f t="shared" si="24"/>
        <v>0</v>
      </c>
      <c r="BA63" s="250">
        <f t="shared" si="24"/>
        <v>0</v>
      </c>
      <c r="BB63" s="250">
        <f t="shared" si="24"/>
        <v>0</v>
      </c>
      <c r="BC63" s="250">
        <f t="shared" si="24"/>
        <v>0</v>
      </c>
      <c r="BD63" s="250">
        <f t="shared" si="24"/>
        <v>0</v>
      </c>
      <c r="BE63" s="250">
        <f t="shared" si="24"/>
        <v>0</v>
      </c>
      <c r="BF63" s="250">
        <f t="shared" si="24"/>
        <v>0</v>
      </c>
      <c r="BG63" s="250">
        <f t="shared" si="24"/>
        <v>0</v>
      </c>
      <c r="BH63" s="250">
        <f t="shared" si="24"/>
        <v>0</v>
      </c>
      <c r="BI63" s="250">
        <f t="shared" si="24"/>
        <v>0</v>
      </c>
      <c r="BJ63" s="250">
        <f t="shared" si="24"/>
        <v>0</v>
      </c>
      <c r="BK63" s="250">
        <f t="shared" si="24"/>
        <v>0</v>
      </c>
      <c r="BL63" s="250">
        <f t="shared" si="24"/>
        <v>0</v>
      </c>
      <c r="BM63" s="250">
        <f t="shared" si="24"/>
        <v>0</v>
      </c>
      <c r="BN63" s="250">
        <f t="shared" si="24"/>
        <v>0</v>
      </c>
      <c r="BO63" s="250">
        <f t="shared" si="24"/>
        <v>0</v>
      </c>
      <c r="BP63" s="250">
        <f t="shared" si="24"/>
        <v>0</v>
      </c>
      <c r="BQ63" s="250">
        <f t="shared" si="24"/>
        <v>0</v>
      </c>
      <c r="BR63" s="250">
        <f t="shared" si="24"/>
        <v>0</v>
      </c>
      <c r="BS63" s="250">
        <f t="shared" si="24"/>
        <v>0</v>
      </c>
      <c r="BT63" s="250">
        <f t="shared" si="24"/>
        <v>0</v>
      </c>
      <c r="BU63" s="250">
        <f t="shared" si="24"/>
        <v>0</v>
      </c>
      <c r="BV63" s="250">
        <f t="shared" si="24"/>
        <v>0</v>
      </c>
      <c r="BW63" s="250">
        <f t="shared" si="24"/>
        <v>0</v>
      </c>
      <c r="BX63" s="250">
        <f t="shared" si="24"/>
        <v>0</v>
      </c>
      <c r="BY63" s="251">
        <f t="shared" si="24"/>
        <v>-390874.76999999996</v>
      </c>
      <c r="BZ63" s="771"/>
      <c r="CA63" s="226"/>
      <c r="CB63" s="252"/>
      <c r="CC63" s="771"/>
      <c r="CD63" s="226"/>
      <c r="CE63" s="226">
        <v>-165083.33333333334</v>
      </c>
      <c r="CF63" s="226">
        <v>-215833.33333333337</v>
      </c>
      <c r="CG63" s="226">
        <v>-271833.33333333337</v>
      </c>
      <c r="CH63" s="226">
        <v>-280000.00000000006</v>
      </c>
      <c r="CI63" s="226">
        <v>-165083.33333333334</v>
      </c>
    </row>
    <row r="64" spans="1:87" ht="16" hidden="1" outlineLevel="1">
      <c r="A64" s="603"/>
      <c r="B64" s="787"/>
      <c r="C64" s="290" t="s">
        <v>304</v>
      </c>
      <c r="D64" s="254" t="s">
        <v>270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  <c r="AN64" s="256"/>
      <c r="AO64" s="256"/>
      <c r="AP64" s="256"/>
      <c r="AQ64" s="256"/>
      <c r="AR64" s="256"/>
      <c r="AS64" s="256"/>
      <c r="AT64" s="256"/>
      <c r="AU64" s="256"/>
      <c r="AV64" s="256"/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91">
        <f t="shared" ref="BY64:BY86" si="25">SUM(E64:BX64)</f>
        <v>0</v>
      </c>
      <c r="BZ64" s="771"/>
      <c r="CA64" s="226"/>
      <c r="CB64" s="252"/>
      <c r="CC64" s="771"/>
      <c r="CD64" s="226"/>
      <c r="CE64" s="226"/>
      <c r="CF64" s="226"/>
      <c r="CG64" s="226"/>
      <c r="CH64" s="226"/>
      <c r="CI64" s="226"/>
    </row>
    <row r="65" spans="1:81" ht="16" hidden="1" outlineLevel="1">
      <c r="A65" s="603"/>
      <c r="B65" s="787"/>
      <c r="C65" s="292" t="s">
        <v>305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91">
        <f t="shared" si="25"/>
        <v>0</v>
      </c>
      <c r="BZ65" s="771"/>
      <c r="CA65" s="226"/>
      <c r="CB65" s="252"/>
      <c r="CC65" s="771"/>
    </row>
    <row r="66" spans="1:81" ht="16" hidden="1" outlineLevel="1">
      <c r="A66" s="603"/>
      <c r="B66" s="787"/>
      <c r="C66" s="292" t="s">
        <v>306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91">
        <f t="shared" si="25"/>
        <v>0</v>
      </c>
      <c r="BZ66" s="771"/>
      <c r="CA66" s="226"/>
      <c r="CB66" s="252"/>
      <c r="CC66" s="771"/>
    </row>
    <row r="67" spans="1:81" ht="16" hidden="1" outlineLevel="1">
      <c r="A67" s="603"/>
      <c r="B67" s="787"/>
      <c r="C67" s="292" t="s">
        <v>307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91">
        <f t="shared" si="25"/>
        <v>0</v>
      </c>
      <c r="BZ67" s="771"/>
      <c r="CA67" s="226"/>
      <c r="CB67" s="252"/>
      <c r="CC67" s="771"/>
    </row>
    <row r="68" spans="1:81" ht="16" hidden="1" outlineLevel="1">
      <c r="A68" s="603"/>
      <c r="B68" s="787"/>
      <c r="C68" s="292" t="s">
        <v>308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91">
        <f t="shared" si="25"/>
        <v>0</v>
      </c>
      <c r="BZ68" s="771"/>
      <c r="CA68" s="226"/>
      <c r="CB68" s="252"/>
      <c r="CC68" s="771"/>
    </row>
    <row r="69" spans="1:81" ht="16" hidden="1" outlineLevel="1">
      <c r="A69" s="603"/>
      <c r="B69" s="787"/>
      <c r="C69" s="292" t="s">
        <v>309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91">
        <f t="shared" si="25"/>
        <v>0</v>
      </c>
      <c r="BZ69" s="771"/>
      <c r="CA69" s="226"/>
      <c r="CB69" s="252"/>
      <c r="CC69" s="771"/>
    </row>
    <row r="70" spans="1:81" ht="16" hidden="1" outlineLevel="1">
      <c r="A70" s="603"/>
      <c r="B70" s="787"/>
      <c r="C70" s="292" t="s">
        <v>310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91">
        <f t="shared" si="25"/>
        <v>0</v>
      </c>
      <c r="BZ70" s="771"/>
      <c r="CA70" s="226"/>
      <c r="CB70" s="252"/>
      <c r="CC70" s="771"/>
    </row>
    <row r="71" spans="1:81" ht="16" hidden="1" outlineLevel="1">
      <c r="A71" s="603"/>
      <c r="B71" s="787"/>
      <c r="C71" s="292" t="s">
        <v>311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91">
        <f t="shared" si="25"/>
        <v>0</v>
      </c>
      <c r="BZ71" s="771"/>
      <c r="CA71" s="226"/>
      <c r="CB71" s="252"/>
      <c r="CC71" s="771"/>
    </row>
    <row r="72" spans="1:81" ht="16" hidden="1" outlineLevel="1">
      <c r="A72" s="603"/>
      <c r="B72" s="787"/>
      <c r="C72" s="292" t="s">
        <v>312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91">
        <f t="shared" si="25"/>
        <v>0</v>
      </c>
      <c r="BZ72" s="771"/>
      <c r="CA72" s="226"/>
      <c r="CB72" s="252"/>
      <c r="CC72" s="771"/>
    </row>
    <row r="73" spans="1:81" ht="16" hidden="1" outlineLevel="1">
      <c r="A73" s="603"/>
      <c r="B73" s="787"/>
      <c r="C73" s="292" t="s">
        <v>313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91">
        <f t="shared" si="25"/>
        <v>0</v>
      </c>
      <c r="BZ73" s="771"/>
      <c r="CA73" s="226"/>
      <c r="CB73" s="252"/>
      <c r="CC73" s="771"/>
    </row>
    <row r="74" spans="1:81" ht="16" hidden="1" outlineLevel="1">
      <c r="A74" s="603"/>
      <c r="B74" s="787"/>
      <c r="C74" s="292" t="s">
        <v>314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91">
        <f t="shared" si="25"/>
        <v>0</v>
      </c>
      <c r="BZ74" s="771"/>
      <c r="CA74" s="226"/>
      <c r="CB74" s="252"/>
      <c r="CC74" s="771"/>
    </row>
    <row r="75" spans="1:81" ht="16" hidden="1" outlineLevel="1">
      <c r="A75" s="603"/>
      <c r="B75" s="787"/>
      <c r="C75" s="292" t="s">
        <v>315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91">
        <f t="shared" si="25"/>
        <v>0</v>
      </c>
      <c r="BZ75" s="771"/>
      <c r="CA75" s="226"/>
      <c r="CB75" s="252"/>
      <c r="CC75" s="771"/>
    </row>
    <row r="76" spans="1:81" ht="16" hidden="1" outlineLevel="1">
      <c r="A76" s="603"/>
      <c r="B76" s="787"/>
      <c r="C76" s="292" t="s">
        <v>316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91">
        <f t="shared" si="25"/>
        <v>0</v>
      </c>
      <c r="BZ76" s="771"/>
      <c r="CA76" s="226"/>
      <c r="CB76" s="252"/>
      <c r="CC76" s="771"/>
    </row>
    <row r="77" spans="1:81" ht="16" hidden="1" outlineLevel="1">
      <c r="A77" s="603"/>
      <c r="B77" s="787"/>
      <c r="C77" s="292" t="s">
        <v>317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91">
        <f t="shared" si="25"/>
        <v>0</v>
      </c>
      <c r="BZ77" s="771"/>
      <c r="CA77" s="226"/>
      <c r="CB77" s="252"/>
      <c r="CC77" s="771"/>
    </row>
    <row r="78" spans="1:81" ht="16" hidden="1" outlineLevel="1">
      <c r="A78" s="603"/>
      <c r="B78" s="787"/>
      <c r="C78" s="292" t="s">
        <v>318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91">
        <f t="shared" si="25"/>
        <v>0</v>
      </c>
      <c r="BZ78" s="771"/>
      <c r="CA78" s="226"/>
      <c r="CB78" s="252"/>
      <c r="CC78" s="771"/>
    </row>
    <row r="79" spans="1:81" ht="16" hidden="1" outlineLevel="1">
      <c r="A79" s="603"/>
      <c r="B79" s="787"/>
      <c r="C79" s="292" t="s">
        <v>319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91">
        <f t="shared" si="25"/>
        <v>0</v>
      </c>
      <c r="BZ79" s="771"/>
      <c r="CA79" s="226"/>
      <c r="CB79" s="252"/>
      <c r="CC79" s="771"/>
    </row>
    <row r="80" spans="1:81" ht="16" hidden="1" outlineLevel="1">
      <c r="A80" s="603"/>
      <c r="B80" s="787"/>
      <c r="C80" s="292" t="s">
        <v>320</v>
      </c>
      <c r="D80" s="254" t="s">
        <v>270</v>
      </c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  <c r="BX80" s="256"/>
      <c r="BY80" s="291">
        <f t="shared" si="25"/>
        <v>0</v>
      </c>
      <c r="BZ80" s="771"/>
      <c r="CA80" s="226"/>
      <c r="CB80" s="252"/>
      <c r="CC80" s="771"/>
    </row>
    <row r="81" spans="1:81" ht="16" hidden="1" outlineLevel="1">
      <c r="A81" s="603"/>
      <c r="B81" s="787"/>
      <c r="C81" s="292" t="s">
        <v>321</v>
      </c>
      <c r="D81" s="254" t="s">
        <v>270</v>
      </c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/>
      <c r="AP81" s="256"/>
      <c r="AQ81" s="256"/>
      <c r="AR81" s="256"/>
      <c r="AS81" s="256"/>
      <c r="AT81" s="256"/>
      <c r="AU81" s="256"/>
      <c r="AV81" s="256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6"/>
      <c r="BR81" s="256"/>
      <c r="BS81" s="256"/>
      <c r="BT81" s="256"/>
      <c r="BU81" s="256"/>
      <c r="BV81" s="256"/>
      <c r="BW81" s="256"/>
      <c r="BX81" s="256"/>
      <c r="BY81" s="291">
        <f t="shared" si="25"/>
        <v>0</v>
      </c>
      <c r="BZ81" s="771"/>
      <c r="CA81" s="226"/>
      <c r="CB81" s="252"/>
      <c r="CC81" s="771"/>
    </row>
    <row r="82" spans="1:81" ht="16" hidden="1" outlineLevel="1">
      <c r="A82" s="603"/>
      <c r="B82" s="787"/>
      <c r="C82" s="293" t="s">
        <v>224</v>
      </c>
      <c r="D82" s="254" t="s">
        <v>270</v>
      </c>
      <c r="E82" s="256"/>
      <c r="F82" s="255"/>
      <c r="G82" s="255"/>
      <c r="H82" s="256"/>
      <c r="I82" s="256"/>
      <c r="J82" s="256"/>
      <c r="K82" s="256"/>
      <c r="L82" s="256"/>
      <c r="M82" s="256"/>
      <c r="N82" s="256"/>
      <c r="O82" s="256"/>
      <c r="P82" s="256"/>
      <c r="Q82" s="256">
        <f>-Businessplan_prodej!$N$19/12*1.21</f>
        <v>-97718.69249999999</v>
      </c>
      <c r="R82" s="256">
        <f>-Businessplan_prodej!$N$19/12*1.21</f>
        <v>-97718.69249999999</v>
      </c>
      <c r="S82" s="256">
        <f>-Businessplan_prodej!$N$19/12*1.21</f>
        <v>-97718.69249999999</v>
      </c>
      <c r="T82" s="256">
        <f>-Businessplan_prodej!$N$19/12*1.21</f>
        <v>-97718.69249999999</v>
      </c>
      <c r="U82" s="255"/>
      <c r="V82" s="255"/>
      <c r="W82" s="255"/>
      <c r="X82" s="255"/>
      <c r="Y82" s="255"/>
      <c r="Z82" s="255"/>
      <c r="AA82" s="255"/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91">
        <f t="shared" si="25"/>
        <v>-390874.76999999996</v>
      </c>
      <c r="BZ82" s="771"/>
      <c r="CA82" s="226"/>
      <c r="CB82" s="252"/>
      <c r="CC82" s="771"/>
    </row>
    <row r="83" spans="1:81" ht="16" hidden="1" outlineLevel="1">
      <c r="A83" s="603"/>
      <c r="B83" s="787"/>
      <c r="C83" s="292" t="s">
        <v>225</v>
      </c>
      <c r="D83" s="254" t="s">
        <v>270</v>
      </c>
      <c r="E83" s="256"/>
      <c r="F83" s="255"/>
      <c r="G83" s="255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5"/>
      <c r="V83" s="255"/>
      <c r="W83" s="255"/>
      <c r="X83" s="255"/>
      <c r="Y83" s="255"/>
      <c r="Z83" s="255"/>
      <c r="AA83" s="255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91">
        <f t="shared" si="25"/>
        <v>0</v>
      </c>
      <c r="BZ83" s="771"/>
      <c r="CA83" s="226"/>
      <c r="CB83" s="252"/>
      <c r="CC83" s="771"/>
    </row>
    <row r="84" spans="1:81" ht="16" hidden="1" outlineLevel="1">
      <c r="A84" s="603"/>
      <c r="B84" s="787"/>
      <c r="C84" s="292" t="s">
        <v>236</v>
      </c>
      <c r="D84" s="254" t="s">
        <v>270</v>
      </c>
      <c r="E84" s="256"/>
      <c r="F84" s="255"/>
      <c r="G84" s="255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5"/>
      <c r="V84" s="255"/>
      <c r="W84" s="255"/>
      <c r="X84" s="255"/>
      <c r="Y84" s="255"/>
      <c r="Z84" s="255"/>
      <c r="AA84" s="255"/>
      <c r="AB84" s="255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5"/>
      <c r="BD84" s="255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91">
        <f t="shared" si="25"/>
        <v>0</v>
      </c>
      <c r="BZ84" s="771"/>
      <c r="CA84" s="226"/>
      <c r="CB84" s="252"/>
      <c r="CC84" s="771"/>
    </row>
    <row r="85" spans="1:81" ht="16" hidden="1" outlineLevel="1">
      <c r="A85" s="603"/>
      <c r="B85" s="787"/>
      <c r="C85" s="292" t="s">
        <v>237</v>
      </c>
      <c r="D85" s="254" t="s">
        <v>270</v>
      </c>
      <c r="E85" s="256"/>
      <c r="F85" s="255"/>
      <c r="G85" s="255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P85" s="255"/>
      <c r="AQ85" s="255"/>
      <c r="AR85" s="255"/>
      <c r="AS85" s="255"/>
      <c r="AT85" s="255"/>
      <c r="AU85" s="255"/>
      <c r="AV85" s="255"/>
      <c r="AW85" s="255"/>
      <c r="AX85" s="255"/>
      <c r="AY85" s="255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91">
        <f t="shared" si="25"/>
        <v>0</v>
      </c>
      <c r="BZ85" s="771"/>
      <c r="CA85" s="226"/>
      <c r="CB85" s="252"/>
      <c r="CC85" s="771"/>
    </row>
    <row r="86" spans="1:81" ht="16" hidden="1" outlineLevel="1">
      <c r="A86" s="603"/>
      <c r="B86" s="787"/>
      <c r="C86" s="294" t="s">
        <v>322</v>
      </c>
      <c r="D86" s="258" t="s">
        <v>270</v>
      </c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5"/>
      <c r="BQ86" s="295"/>
      <c r="BR86" s="295"/>
      <c r="BS86" s="295"/>
      <c r="BT86" s="295"/>
      <c r="BU86" s="295"/>
      <c r="BV86" s="295"/>
      <c r="BW86" s="295"/>
      <c r="BX86" s="295"/>
      <c r="BY86" s="291">
        <f t="shared" si="25"/>
        <v>0</v>
      </c>
      <c r="BZ86" s="771"/>
      <c r="CA86" s="226"/>
      <c r="CB86" s="252"/>
      <c r="CC86" s="771"/>
    </row>
    <row r="87" spans="1:81" ht="16" collapsed="1">
      <c r="A87" s="603"/>
      <c r="B87" s="787"/>
      <c r="C87" s="248" t="s">
        <v>323</v>
      </c>
      <c r="D87" s="249"/>
      <c r="E87" s="250">
        <f t="shared" ref="E87:BY87" si="26">SUM(E88:E89)</f>
        <v>0</v>
      </c>
      <c r="F87" s="250">
        <f t="shared" si="26"/>
        <v>0</v>
      </c>
      <c r="G87" s="250">
        <f t="shared" si="26"/>
        <v>0</v>
      </c>
      <c r="H87" s="250">
        <f t="shared" si="26"/>
        <v>0</v>
      </c>
      <c r="I87" s="250">
        <f t="shared" si="26"/>
        <v>0</v>
      </c>
      <c r="J87" s="250">
        <f t="shared" si="26"/>
        <v>0</v>
      </c>
      <c r="K87" s="250">
        <f t="shared" si="26"/>
        <v>0</v>
      </c>
      <c r="L87" s="250">
        <f t="shared" si="26"/>
        <v>0</v>
      </c>
      <c r="M87" s="250">
        <f t="shared" si="26"/>
        <v>0</v>
      </c>
      <c r="N87" s="250">
        <f t="shared" si="26"/>
        <v>0</v>
      </c>
      <c r="O87" s="250">
        <f t="shared" si="26"/>
        <v>0</v>
      </c>
      <c r="P87" s="250">
        <f t="shared" si="26"/>
        <v>0</v>
      </c>
      <c r="Q87" s="250">
        <f t="shared" si="26"/>
        <v>0</v>
      </c>
      <c r="R87" s="250">
        <f t="shared" si="26"/>
        <v>0</v>
      </c>
      <c r="S87" s="250">
        <f t="shared" si="26"/>
        <v>0</v>
      </c>
      <c r="T87" s="250">
        <f t="shared" si="26"/>
        <v>0</v>
      </c>
      <c r="U87" s="250">
        <f t="shared" si="26"/>
        <v>0</v>
      </c>
      <c r="V87" s="250">
        <f t="shared" si="26"/>
        <v>0</v>
      </c>
      <c r="W87" s="250">
        <f t="shared" si="26"/>
        <v>0</v>
      </c>
      <c r="X87" s="250">
        <f t="shared" si="26"/>
        <v>0</v>
      </c>
      <c r="Y87" s="250">
        <f t="shared" si="26"/>
        <v>0</v>
      </c>
      <c r="Z87" s="250">
        <f t="shared" si="26"/>
        <v>0</v>
      </c>
      <c r="AA87" s="250">
        <f t="shared" si="26"/>
        <v>0</v>
      </c>
      <c r="AB87" s="250">
        <f t="shared" si="26"/>
        <v>0</v>
      </c>
      <c r="AC87" s="250">
        <f t="shared" si="26"/>
        <v>0</v>
      </c>
      <c r="AD87" s="250">
        <f t="shared" si="26"/>
        <v>0</v>
      </c>
      <c r="AE87" s="250">
        <f t="shared" si="26"/>
        <v>0</v>
      </c>
      <c r="AF87" s="250">
        <f t="shared" si="26"/>
        <v>0</v>
      </c>
      <c r="AG87" s="250">
        <f t="shared" si="26"/>
        <v>0</v>
      </c>
      <c r="AH87" s="250">
        <f t="shared" si="26"/>
        <v>0</v>
      </c>
      <c r="AI87" s="250">
        <f t="shared" si="26"/>
        <v>0</v>
      </c>
      <c r="AJ87" s="250">
        <f t="shared" si="26"/>
        <v>0</v>
      </c>
      <c r="AK87" s="250">
        <f t="shared" si="26"/>
        <v>0</v>
      </c>
      <c r="AL87" s="250">
        <f t="shared" si="26"/>
        <v>0</v>
      </c>
      <c r="AM87" s="250">
        <f t="shared" si="26"/>
        <v>0</v>
      </c>
      <c r="AN87" s="250">
        <f t="shared" si="26"/>
        <v>0</v>
      </c>
      <c r="AO87" s="250">
        <f t="shared" si="26"/>
        <v>0</v>
      </c>
      <c r="AP87" s="250">
        <f t="shared" si="26"/>
        <v>0</v>
      </c>
      <c r="AQ87" s="250">
        <f t="shared" si="26"/>
        <v>0</v>
      </c>
      <c r="AR87" s="250">
        <f t="shared" si="26"/>
        <v>0</v>
      </c>
      <c r="AS87" s="250">
        <f t="shared" si="26"/>
        <v>0</v>
      </c>
      <c r="AT87" s="250">
        <f t="shared" si="26"/>
        <v>0</v>
      </c>
      <c r="AU87" s="250">
        <f t="shared" si="26"/>
        <v>0</v>
      </c>
      <c r="AV87" s="250">
        <f t="shared" si="26"/>
        <v>0</v>
      </c>
      <c r="AW87" s="250">
        <f t="shared" si="26"/>
        <v>0</v>
      </c>
      <c r="AX87" s="250">
        <f t="shared" si="26"/>
        <v>0</v>
      </c>
      <c r="AY87" s="250">
        <f t="shared" si="26"/>
        <v>0</v>
      </c>
      <c r="AZ87" s="250">
        <f t="shared" si="26"/>
        <v>0</v>
      </c>
      <c r="BA87" s="250">
        <f t="shared" si="26"/>
        <v>0</v>
      </c>
      <c r="BB87" s="250">
        <f t="shared" si="26"/>
        <v>0</v>
      </c>
      <c r="BC87" s="250">
        <f t="shared" si="26"/>
        <v>0</v>
      </c>
      <c r="BD87" s="250">
        <f t="shared" si="26"/>
        <v>0</v>
      </c>
      <c r="BE87" s="250">
        <f t="shared" si="26"/>
        <v>0</v>
      </c>
      <c r="BF87" s="250">
        <f t="shared" si="26"/>
        <v>0</v>
      </c>
      <c r="BG87" s="250">
        <f t="shared" si="26"/>
        <v>0</v>
      </c>
      <c r="BH87" s="250">
        <f t="shared" si="26"/>
        <v>0</v>
      </c>
      <c r="BI87" s="250">
        <f t="shared" si="26"/>
        <v>0</v>
      </c>
      <c r="BJ87" s="250">
        <f t="shared" si="26"/>
        <v>0</v>
      </c>
      <c r="BK87" s="250">
        <f t="shared" si="26"/>
        <v>0</v>
      </c>
      <c r="BL87" s="250">
        <f t="shared" si="26"/>
        <v>0</v>
      </c>
      <c r="BM87" s="250">
        <f t="shared" si="26"/>
        <v>0</v>
      </c>
      <c r="BN87" s="250">
        <f t="shared" si="26"/>
        <v>0</v>
      </c>
      <c r="BO87" s="250">
        <f t="shared" si="26"/>
        <v>0</v>
      </c>
      <c r="BP87" s="250">
        <f t="shared" si="26"/>
        <v>0</v>
      </c>
      <c r="BQ87" s="250">
        <f t="shared" si="26"/>
        <v>0</v>
      </c>
      <c r="BR87" s="250">
        <f t="shared" si="26"/>
        <v>0</v>
      </c>
      <c r="BS87" s="250">
        <f t="shared" si="26"/>
        <v>0</v>
      </c>
      <c r="BT87" s="250">
        <f t="shared" si="26"/>
        <v>0</v>
      </c>
      <c r="BU87" s="250">
        <f t="shared" si="26"/>
        <v>0</v>
      </c>
      <c r="BV87" s="250">
        <f t="shared" si="26"/>
        <v>0</v>
      </c>
      <c r="BW87" s="250">
        <f t="shared" si="26"/>
        <v>0</v>
      </c>
      <c r="BX87" s="250">
        <f t="shared" si="26"/>
        <v>0</v>
      </c>
      <c r="BY87" s="251">
        <f t="shared" si="26"/>
        <v>0</v>
      </c>
      <c r="BZ87" s="771"/>
      <c r="CA87" s="226"/>
      <c r="CB87" s="252"/>
      <c r="CC87" s="771"/>
    </row>
    <row r="88" spans="1:81" ht="16" hidden="1" outlineLevel="1">
      <c r="A88" s="603"/>
      <c r="B88" s="787"/>
      <c r="C88" s="290" t="s">
        <v>324</v>
      </c>
      <c r="D88" s="254" t="s">
        <v>270</v>
      </c>
      <c r="E88" s="260"/>
      <c r="F88" s="260"/>
      <c r="G88" s="260"/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0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60"/>
      <c r="AV88" s="260"/>
      <c r="AW88" s="260"/>
      <c r="AX88" s="260"/>
      <c r="AY88" s="260"/>
      <c r="AZ88" s="260"/>
      <c r="BA88" s="260"/>
      <c r="BB88" s="260"/>
      <c r="BC88" s="260"/>
      <c r="BD88" s="260"/>
      <c r="BE88" s="260"/>
      <c r="BF88" s="260"/>
      <c r="BG88" s="260"/>
      <c r="BH88" s="260"/>
      <c r="BI88" s="260"/>
      <c r="BJ88" s="260"/>
      <c r="BK88" s="260"/>
      <c r="BL88" s="260"/>
      <c r="BM88" s="260"/>
      <c r="BN88" s="260"/>
      <c r="BO88" s="260"/>
      <c r="BP88" s="260"/>
      <c r="BQ88" s="260"/>
      <c r="BR88" s="260"/>
      <c r="BS88" s="260"/>
      <c r="BT88" s="260"/>
      <c r="BU88" s="260"/>
      <c r="BV88" s="260"/>
      <c r="BW88" s="260"/>
      <c r="BX88" s="260"/>
      <c r="BY88" s="296">
        <f t="shared" ref="BY88:BY89" si="27">SUM(E88:BX88)</f>
        <v>0</v>
      </c>
      <c r="BZ88" s="771"/>
      <c r="CA88" s="226"/>
      <c r="CB88" s="252"/>
      <c r="CC88" s="771"/>
    </row>
    <row r="89" spans="1:81" ht="16" hidden="1" outlineLevel="1">
      <c r="A89" s="603"/>
      <c r="B89" s="787"/>
      <c r="C89" s="294" t="s">
        <v>325</v>
      </c>
      <c r="D89" s="258" t="s">
        <v>270</v>
      </c>
      <c r="E89" s="287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97">
        <f t="shared" si="27"/>
        <v>0</v>
      </c>
      <c r="BZ89" s="774"/>
      <c r="CA89" s="226"/>
      <c r="CB89" s="252"/>
      <c r="CC89" s="774"/>
    </row>
    <row r="90" spans="1:81" collapsed="1">
      <c r="A90" s="603"/>
      <c r="B90" s="787"/>
      <c r="C90" s="248" t="s">
        <v>326</v>
      </c>
      <c r="D90" s="249"/>
      <c r="E90" s="250">
        <f t="shared" ref="E90:BX90" si="28">SUM(E91:E97)</f>
        <v>0</v>
      </c>
      <c r="F90" s="250">
        <f t="shared" si="28"/>
        <v>0</v>
      </c>
      <c r="G90" s="250">
        <f t="shared" si="28"/>
        <v>0</v>
      </c>
      <c r="H90" s="250">
        <f t="shared" si="28"/>
        <v>0</v>
      </c>
      <c r="I90" s="250">
        <f t="shared" si="28"/>
        <v>0</v>
      </c>
      <c r="J90" s="250">
        <f t="shared" si="28"/>
        <v>0</v>
      </c>
      <c r="K90" s="250">
        <f t="shared" si="28"/>
        <v>0</v>
      </c>
      <c r="L90" s="250">
        <f t="shared" si="28"/>
        <v>0</v>
      </c>
      <c r="M90" s="250">
        <f t="shared" si="28"/>
        <v>0</v>
      </c>
      <c r="N90" s="250">
        <f t="shared" si="28"/>
        <v>0</v>
      </c>
      <c r="O90" s="250">
        <f t="shared" si="28"/>
        <v>0</v>
      </c>
      <c r="P90" s="250">
        <f t="shared" si="28"/>
        <v>0</v>
      </c>
      <c r="Q90" s="250">
        <f t="shared" si="28"/>
        <v>-60405.454753502156</v>
      </c>
      <c r="R90" s="250">
        <f t="shared" si="28"/>
        <v>-60405.454753502156</v>
      </c>
      <c r="S90" s="250">
        <f t="shared" si="28"/>
        <v>-60405.454753502156</v>
      </c>
      <c r="T90" s="250">
        <f t="shared" si="28"/>
        <v>-72987201.63573949</v>
      </c>
      <c r="U90" s="250">
        <f t="shared" si="28"/>
        <v>0</v>
      </c>
      <c r="V90" s="250">
        <f t="shared" si="28"/>
        <v>0</v>
      </c>
      <c r="W90" s="250">
        <f t="shared" si="28"/>
        <v>0</v>
      </c>
      <c r="X90" s="250">
        <f t="shared" si="28"/>
        <v>0</v>
      </c>
      <c r="Y90" s="250">
        <f t="shared" si="28"/>
        <v>0</v>
      </c>
      <c r="Z90" s="250">
        <f t="shared" si="28"/>
        <v>0</v>
      </c>
      <c r="AA90" s="250">
        <f t="shared" si="28"/>
        <v>0</v>
      </c>
      <c r="AB90" s="250">
        <f t="shared" si="28"/>
        <v>0</v>
      </c>
      <c r="AC90" s="250">
        <f t="shared" si="28"/>
        <v>0</v>
      </c>
      <c r="AD90" s="250">
        <f t="shared" si="28"/>
        <v>0</v>
      </c>
      <c r="AE90" s="250">
        <f t="shared" si="28"/>
        <v>0</v>
      </c>
      <c r="AF90" s="250">
        <f t="shared" si="28"/>
        <v>0</v>
      </c>
      <c r="AG90" s="250">
        <f t="shared" si="28"/>
        <v>0</v>
      </c>
      <c r="AH90" s="250">
        <f t="shared" si="28"/>
        <v>0</v>
      </c>
      <c r="AI90" s="250">
        <f t="shared" si="28"/>
        <v>0</v>
      </c>
      <c r="AJ90" s="250">
        <f t="shared" si="28"/>
        <v>0</v>
      </c>
      <c r="AK90" s="250">
        <f t="shared" si="28"/>
        <v>0</v>
      </c>
      <c r="AL90" s="250">
        <f t="shared" si="28"/>
        <v>0</v>
      </c>
      <c r="AM90" s="250">
        <f t="shared" si="28"/>
        <v>0</v>
      </c>
      <c r="AN90" s="250">
        <f t="shared" si="28"/>
        <v>0</v>
      </c>
      <c r="AO90" s="250">
        <f t="shared" si="28"/>
        <v>0</v>
      </c>
      <c r="AP90" s="250">
        <f t="shared" si="28"/>
        <v>0</v>
      </c>
      <c r="AQ90" s="250">
        <f t="shared" si="28"/>
        <v>0</v>
      </c>
      <c r="AR90" s="250">
        <f t="shared" si="28"/>
        <v>0</v>
      </c>
      <c r="AS90" s="250">
        <f t="shared" si="28"/>
        <v>0</v>
      </c>
      <c r="AT90" s="250">
        <f t="shared" si="28"/>
        <v>0</v>
      </c>
      <c r="AU90" s="250">
        <f t="shared" si="28"/>
        <v>0</v>
      </c>
      <c r="AV90" s="250">
        <f t="shared" si="28"/>
        <v>0</v>
      </c>
      <c r="AW90" s="250">
        <f t="shared" si="28"/>
        <v>0</v>
      </c>
      <c r="AX90" s="250">
        <f t="shared" si="28"/>
        <v>0</v>
      </c>
      <c r="AY90" s="250">
        <f t="shared" si="28"/>
        <v>0</v>
      </c>
      <c r="AZ90" s="250">
        <f t="shared" si="28"/>
        <v>0</v>
      </c>
      <c r="BA90" s="250">
        <f t="shared" si="28"/>
        <v>0</v>
      </c>
      <c r="BB90" s="250">
        <f t="shared" si="28"/>
        <v>0</v>
      </c>
      <c r="BC90" s="250">
        <f t="shared" si="28"/>
        <v>0</v>
      </c>
      <c r="BD90" s="250">
        <f t="shared" si="28"/>
        <v>0</v>
      </c>
      <c r="BE90" s="250">
        <f t="shared" si="28"/>
        <v>0</v>
      </c>
      <c r="BF90" s="250">
        <f t="shared" si="28"/>
        <v>0</v>
      </c>
      <c r="BG90" s="250">
        <f t="shared" si="28"/>
        <v>0</v>
      </c>
      <c r="BH90" s="250">
        <f t="shared" si="28"/>
        <v>0</v>
      </c>
      <c r="BI90" s="250">
        <f t="shared" si="28"/>
        <v>0</v>
      </c>
      <c r="BJ90" s="250">
        <f t="shared" si="28"/>
        <v>0</v>
      </c>
      <c r="BK90" s="250">
        <f t="shared" si="28"/>
        <v>0</v>
      </c>
      <c r="BL90" s="250">
        <f t="shared" si="28"/>
        <v>0</v>
      </c>
      <c r="BM90" s="250">
        <f t="shared" si="28"/>
        <v>0</v>
      </c>
      <c r="BN90" s="250">
        <f t="shared" si="28"/>
        <v>0</v>
      </c>
      <c r="BO90" s="250">
        <f t="shared" si="28"/>
        <v>0</v>
      </c>
      <c r="BP90" s="250">
        <f t="shared" si="28"/>
        <v>0</v>
      </c>
      <c r="BQ90" s="250">
        <f t="shared" si="28"/>
        <v>0</v>
      </c>
      <c r="BR90" s="250">
        <f t="shared" si="28"/>
        <v>0</v>
      </c>
      <c r="BS90" s="250">
        <f t="shared" si="28"/>
        <v>0</v>
      </c>
      <c r="BT90" s="250">
        <f t="shared" si="28"/>
        <v>0</v>
      </c>
      <c r="BU90" s="250">
        <f t="shared" si="28"/>
        <v>0</v>
      </c>
      <c r="BV90" s="250">
        <f t="shared" si="28"/>
        <v>0</v>
      </c>
      <c r="BW90" s="250">
        <f t="shared" si="28"/>
        <v>0</v>
      </c>
      <c r="BX90" s="250">
        <f t="shared" si="28"/>
        <v>0</v>
      </c>
      <c r="BY90" s="779" t="e">
        <f>BZ17</f>
        <v>#REF!</v>
      </c>
      <c r="BZ90" s="768"/>
      <c r="CA90" s="226"/>
      <c r="CB90" s="226"/>
      <c r="CC90" s="226"/>
    </row>
    <row r="91" spans="1:81" hidden="1" outlineLevel="1">
      <c r="A91" s="603"/>
      <c r="B91" s="787"/>
      <c r="C91" s="253" t="s">
        <v>327</v>
      </c>
      <c r="D91" s="254" t="s">
        <v>270</v>
      </c>
      <c r="E91" s="255"/>
      <c r="F91" s="255"/>
      <c r="G91" s="255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>
        <f t="shared" ref="T91:T92" si="29">-BY5</f>
        <v>-16365002</v>
      </c>
      <c r="U91" s="255"/>
      <c r="V91" s="255"/>
      <c r="W91" s="255"/>
      <c r="X91" s="255"/>
      <c r="Y91" s="255"/>
      <c r="Z91" s="255"/>
      <c r="AA91" s="255"/>
      <c r="AB91" s="255"/>
      <c r="AC91" s="255"/>
      <c r="AD91" s="255"/>
      <c r="AE91" s="255"/>
      <c r="AF91" s="255"/>
      <c r="AG91" s="255"/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6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64"/>
      <c r="BY91" s="296">
        <f t="shared" ref="BY91:BY97" si="30">SUM(E91:BX91)</f>
        <v>-16365002</v>
      </c>
      <c r="BZ91" s="777">
        <f>SUM(BY91:BY97)</f>
        <v>-73168418</v>
      </c>
      <c r="CA91" s="226"/>
      <c r="CB91" s="226"/>
      <c r="CC91" s="226"/>
    </row>
    <row r="92" spans="1:81" hidden="1" outlineLevel="1">
      <c r="A92" s="253" t="s">
        <v>328</v>
      </c>
      <c r="B92" s="787"/>
      <c r="C92" s="253" t="s">
        <v>329</v>
      </c>
      <c r="D92" s="254" t="s">
        <v>270</v>
      </c>
      <c r="E92" s="255"/>
      <c r="F92" s="255"/>
      <c r="G92" s="255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>
        <f t="shared" si="29"/>
        <v>-7870667</v>
      </c>
      <c r="U92" s="255"/>
      <c r="V92" s="255"/>
      <c r="W92" s="255"/>
      <c r="X92" s="255"/>
      <c r="Y92" s="255"/>
      <c r="Z92" s="255"/>
      <c r="AA92" s="255"/>
      <c r="AB92" s="255"/>
      <c r="AC92" s="255"/>
      <c r="AD92" s="255"/>
      <c r="AE92" s="255"/>
      <c r="AF92" s="255"/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91">
        <f t="shared" si="30"/>
        <v>-7870667</v>
      </c>
      <c r="BZ92" s="771"/>
      <c r="CA92" s="226"/>
      <c r="CB92" s="226"/>
      <c r="CC92" s="226"/>
    </row>
    <row r="93" spans="1:81" hidden="1" outlineLevel="1">
      <c r="A93" s="253" t="s">
        <v>330</v>
      </c>
      <c r="B93" s="787"/>
      <c r="C93" s="293" t="s">
        <v>328</v>
      </c>
      <c r="D93" s="254" t="s">
        <v>270</v>
      </c>
      <c r="E93" s="255"/>
      <c r="F93" s="255"/>
      <c r="G93" s="255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5"/>
      <c r="V93" s="255"/>
      <c r="W93" s="255"/>
      <c r="X93" s="255"/>
      <c r="Y93" s="255"/>
      <c r="Z93" s="255"/>
      <c r="AA93" s="255"/>
      <c r="AB93" s="255"/>
      <c r="AC93" s="255"/>
      <c r="AD93" s="255"/>
      <c r="AE93" s="255"/>
      <c r="AF93" s="255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5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91">
        <f t="shared" si="30"/>
        <v>0</v>
      </c>
      <c r="BZ93" s="771"/>
      <c r="CA93" s="226"/>
      <c r="CB93" s="226"/>
      <c r="CC93" s="226"/>
    </row>
    <row r="94" spans="1:81" hidden="1" outlineLevel="1">
      <c r="A94" s="603"/>
      <c r="B94" s="787"/>
      <c r="C94" s="292" t="s">
        <v>330</v>
      </c>
      <c r="D94" s="254" t="s">
        <v>270</v>
      </c>
      <c r="E94" s="255"/>
      <c r="F94" s="255"/>
      <c r="G94" s="255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91">
        <f t="shared" si="30"/>
        <v>0</v>
      </c>
      <c r="BZ94" s="771"/>
      <c r="CA94" s="226"/>
      <c r="CB94" s="226"/>
      <c r="CC94" s="226"/>
    </row>
    <row r="95" spans="1:81" hidden="1" outlineLevel="1">
      <c r="A95" s="603"/>
      <c r="B95" s="787"/>
      <c r="C95" s="253" t="s">
        <v>331</v>
      </c>
      <c r="D95" s="254" t="s">
        <v>270</v>
      </c>
      <c r="E95" s="255"/>
      <c r="F95" s="255"/>
      <c r="G95" s="255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6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64"/>
      <c r="BY95" s="291">
        <f t="shared" si="30"/>
        <v>0</v>
      </c>
      <c r="BZ95" s="771"/>
      <c r="CA95" s="226"/>
      <c r="CB95" s="226"/>
      <c r="CC95" s="226"/>
    </row>
    <row r="96" spans="1:81" hidden="1" outlineLevel="1">
      <c r="A96" s="603"/>
      <c r="B96" s="787"/>
      <c r="C96" s="253" t="s">
        <v>624</v>
      </c>
      <c r="D96" s="254" t="s">
        <v>270</v>
      </c>
      <c r="E96" s="255"/>
      <c r="F96" s="255"/>
      <c r="G96" s="255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5"/>
      <c r="V96" s="255"/>
      <c r="W96" s="255"/>
      <c r="X96" s="255"/>
      <c r="Y96" s="255"/>
      <c r="Z96" s="255"/>
      <c r="AA96" s="255"/>
      <c r="AB96" s="255"/>
      <c r="AC96" s="255"/>
      <c r="AD96" s="255"/>
      <c r="AE96" s="255"/>
      <c r="AF96" s="255"/>
      <c r="AG96" s="255"/>
      <c r="AH96" s="255"/>
      <c r="AI96" s="255"/>
      <c r="AJ96" s="255"/>
      <c r="AK96" s="255"/>
      <c r="AL96" s="255"/>
      <c r="AM96" s="255"/>
      <c r="AN96" s="255"/>
      <c r="AO96" s="255"/>
      <c r="AP96" s="255"/>
      <c r="AQ96" s="255"/>
      <c r="AR96" s="255"/>
      <c r="AS96" s="255"/>
      <c r="AT96" s="255"/>
      <c r="AU96" s="255"/>
      <c r="AV96" s="255"/>
      <c r="AW96" s="255"/>
      <c r="AX96" s="255"/>
      <c r="AY96" s="255"/>
      <c r="AZ96" s="255"/>
      <c r="BA96" s="255"/>
      <c r="BB96" s="255"/>
      <c r="BC96" s="256"/>
      <c r="BD96" s="255"/>
      <c r="BE96" s="255"/>
      <c r="BF96" s="255"/>
      <c r="BG96" s="255"/>
      <c r="BH96" s="255"/>
      <c r="BI96" s="255"/>
      <c r="BJ96" s="255"/>
      <c r="BK96" s="255"/>
      <c r="BL96" s="255"/>
      <c r="BM96" s="255"/>
      <c r="BN96" s="255"/>
      <c r="BO96" s="255"/>
      <c r="BP96" s="255"/>
      <c r="BQ96" s="255"/>
      <c r="BR96" s="255"/>
      <c r="BS96" s="255"/>
      <c r="BT96" s="255"/>
      <c r="BU96" s="255"/>
      <c r="BV96" s="255"/>
      <c r="BW96" s="255"/>
      <c r="BX96" s="264"/>
      <c r="BY96" s="298">
        <f t="shared" si="30"/>
        <v>0</v>
      </c>
      <c r="BZ96" s="771"/>
      <c r="CA96" s="226"/>
      <c r="CB96" s="226"/>
      <c r="CC96" s="226"/>
    </row>
    <row r="97" spans="1:81" hidden="1" outlineLevel="1">
      <c r="A97" s="603"/>
      <c r="B97" s="781"/>
      <c r="C97" s="284" t="s">
        <v>333</v>
      </c>
      <c r="D97" s="299" t="s">
        <v>270</v>
      </c>
      <c r="E97" s="286"/>
      <c r="F97" s="286"/>
      <c r="G97" s="286"/>
      <c r="H97" s="287"/>
      <c r="I97" s="287"/>
      <c r="J97" s="287"/>
      <c r="K97" s="287"/>
      <c r="L97" s="287"/>
      <c r="M97" s="287"/>
      <c r="N97" s="287"/>
      <c r="O97" s="287"/>
      <c r="P97" s="287"/>
      <c r="Q97" s="287">
        <f t="shared" ref="Q97:S97" si="31">PMT($D$62/12,25*12,$BY11)-Q62</f>
        <v>-60405.454753502156</v>
      </c>
      <c r="R97" s="287">
        <f t="shared" si="31"/>
        <v>-60405.454753502156</v>
      </c>
      <c r="S97" s="287">
        <f t="shared" si="31"/>
        <v>-60405.454753502156</v>
      </c>
      <c r="T97" s="287">
        <f>-BY11-SUM(P97:S97)</f>
        <v>-48751532.63573949</v>
      </c>
      <c r="U97" s="286"/>
      <c r="V97" s="286"/>
      <c r="W97" s="286"/>
      <c r="X97" s="286"/>
      <c r="Y97" s="286"/>
      <c r="Z97" s="286"/>
      <c r="AA97" s="286"/>
      <c r="AB97" s="286"/>
      <c r="AC97" s="286"/>
      <c r="AD97" s="286"/>
      <c r="AE97" s="286"/>
      <c r="AF97" s="286"/>
      <c r="AG97" s="286"/>
      <c r="AH97" s="286"/>
      <c r="AI97" s="286"/>
      <c r="AJ97" s="286"/>
      <c r="AK97" s="286"/>
      <c r="AL97" s="286"/>
      <c r="AM97" s="286"/>
      <c r="AN97" s="286"/>
      <c r="AO97" s="286"/>
      <c r="AP97" s="286"/>
      <c r="AQ97" s="286"/>
      <c r="AR97" s="286"/>
      <c r="AS97" s="286"/>
      <c r="AT97" s="286"/>
      <c r="AU97" s="286"/>
      <c r="AV97" s="286"/>
      <c r="AW97" s="286"/>
      <c r="AX97" s="286"/>
      <c r="AY97" s="286"/>
      <c r="AZ97" s="286"/>
      <c r="BA97" s="286"/>
      <c r="BB97" s="286"/>
      <c r="BC97" s="286"/>
      <c r="BD97" s="286"/>
      <c r="BE97" s="286"/>
      <c r="BF97" s="286"/>
      <c r="BG97" s="286"/>
      <c r="BH97" s="286"/>
      <c r="BI97" s="286"/>
      <c r="BJ97" s="286"/>
      <c r="BK97" s="286"/>
      <c r="BL97" s="286"/>
      <c r="BM97" s="286"/>
      <c r="BN97" s="286"/>
      <c r="BO97" s="286"/>
      <c r="BP97" s="286"/>
      <c r="BQ97" s="286"/>
      <c r="BR97" s="286"/>
      <c r="BS97" s="286"/>
      <c r="BT97" s="286"/>
      <c r="BU97" s="286"/>
      <c r="BV97" s="286"/>
      <c r="BW97" s="286"/>
      <c r="BX97" s="288"/>
      <c r="BY97" s="268">
        <f t="shared" si="30"/>
        <v>-48932749</v>
      </c>
      <c r="BZ97" s="776"/>
      <c r="CA97" s="226"/>
      <c r="CB97" s="226"/>
      <c r="CC97" s="226"/>
    </row>
    <row r="98" spans="1:81" ht="16">
      <c r="A98" s="603"/>
      <c r="B98" s="790" t="s">
        <v>334</v>
      </c>
      <c r="C98" s="774"/>
      <c r="D98" s="300" t="s">
        <v>270</v>
      </c>
      <c r="E98" s="301">
        <f t="shared" ref="E98:BX98" si="32">(E17+E23+E26+E34+E37+E49+E55+E63+E87+E90)</f>
        <v>0</v>
      </c>
      <c r="F98" s="301">
        <f t="shared" si="32"/>
        <v>0</v>
      </c>
      <c r="G98" s="301">
        <f t="shared" si="32"/>
        <v>0</v>
      </c>
      <c r="H98" s="301">
        <f t="shared" si="32"/>
        <v>-10722241.097148759</v>
      </c>
      <c r="I98" s="301">
        <f t="shared" si="32"/>
        <v>-1732151.6082231405</v>
      </c>
      <c r="J98" s="301">
        <f t="shared" si="32"/>
        <v>-2715421.6865833336</v>
      </c>
      <c r="K98" s="301">
        <f t="shared" si="32"/>
        <v>-7818440.3895833334</v>
      </c>
      <c r="L98" s="301">
        <f t="shared" si="32"/>
        <v>-8263079.5795833329</v>
      </c>
      <c r="M98" s="301">
        <f t="shared" si="32"/>
        <v>-21622023.912916664</v>
      </c>
      <c r="N98" s="301">
        <f t="shared" si="32"/>
        <v>-9368207.9129166678</v>
      </c>
      <c r="O98" s="301">
        <f t="shared" si="32"/>
        <v>-9718322.2819166686</v>
      </c>
      <c r="P98" s="301">
        <f t="shared" si="32"/>
        <v>-6526274.1195833329</v>
      </c>
      <c r="Q98" s="301">
        <f t="shared" si="32"/>
        <v>-487570.95267016883</v>
      </c>
      <c r="R98" s="301">
        <f t="shared" si="32"/>
        <v>-487570.95267016883</v>
      </c>
      <c r="S98" s="301">
        <f t="shared" si="32"/>
        <v>-487570.95267016883</v>
      </c>
      <c r="T98" s="301" t="e">
        <f t="shared" si="32"/>
        <v>#REF!</v>
      </c>
      <c r="U98" s="301">
        <f t="shared" si="32"/>
        <v>0</v>
      </c>
      <c r="V98" s="301">
        <f t="shared" si="32"/>
        <v>0</v>
      </c>
      <c r="W98" s="301">
        <f t="shared" si="32"/>
        <v>0</v>
      </c>
      <c r="X98" s="301">
        <f t="shared" si="32"/>
        <v>0</v>
      </c>
      <c r="Y98" s="301">
        <f t="shared" si="32"/>
        <v>0</v>
      </c>
      <c r="Z98" s="301">
        <f t="shared" si="32"/>
        <v>0</v>
      </c>
      <c r="AA98" s="301">
        <f t="shared" si="32"/>
        <v>0</v>
      </c>
      <c r="AB98" s="301">
        <f t="shared" si="32"/>
        <v>0</v>
      </c>
      <c r="AC98" s="301">
        <f t="shared" si="32"/>
        <v>0</v>
      </c>
      <c r="AD98" s="301">
        <f t="shared" si="32"/>
        <v>0</v>
      </c>
      <c r="AE98" s="301">
        <f t="shared" si="32"/>
        <v>0</v>
      </c>
      <c r="AF98" s="301">
        <f t="shared" si="32"/>
        <v>0</v>
      </c>
      <c r="AG98" s="301">
        <f t="shared" si="32"/>
        <v>0</v>
      </c>
      <c r="AH98" s="301">
        <f t="shared" si="32"/>
        <v>0</v>
      </c>
      <c r="AI98" s="301">
        <f t="shared" si="32"/>
        <v>0</v>
      </c>
      <c r="AJ98" s="301">
        <f t="shared" si="32"/>
        <v>0</v>
      </c>
      <c r="AK98" s="301">
        <f t="shared" si="32"/>
        <v>0</v>
      </c>
      <c r="AL98" s="301">
        <f t="shared" si="32"/>
        <v>0</v>
      </c>
      <c r="AM98" s="301">
        <f t="shared" si="32"/>
        <v>0</v>
      </c>
      <c r="AN98" s="301">
        <f t="shared" si="32"/>
        <v>0</v>
      </c>
      <c r="AO98" s="301">
        <f t="shared" si="32"/>
        <v>0</v>
      </c>
      <c r="AP98" s="301">
        <f t="shared" si="32"/>
        <v>0</v>
      </c>
      <c r="AQ98" s="301">
        <f t="shared" si="32"/>
        <v>0</v>
      </c>
      <c r="AR98" s="301">
        <f t="shared" si="32"/>
        <v>0</v>
      </c>
      <c r="AS98" s="301">
        <f t="shared" si="32"/>
        <v>0</v>
      </c>
      <c r="AT98" s="301">
        <f t="shared" si="32"/>
        <v>0</v>
      </c>
      <c r="AU98" s="301">
        <f t="shared" si="32"/>
        <v>0</v>
      </c>
      <c r="AV98" s="301">
        <f t="shared" si="32"/>
        <v>0</v>
      </c>
      <c r="AW98" s="301">
        <f t="shared" si="32"/>
        <v>0</v>
      </c>
      <c r="AX98" s="301">
        <f t="shared" si="32"/>
        <v>0</v>
      </c>
      <c r="AY98" s="301">
        <f t="shared" si="32"/>
        <v>0</v>
      </c>
      <c r="AZ98" s="301">
        <f t="shared" si="32"/>
        <v>0</v>
      </c>
      <c r="BA98" s="301">
        <f t="shared" si="32"/>
        <v>0</v>
      </c>
      <c r="BB98" s="301">
        <f t="shared" si="32"/>
        <v>0</v>
      </c>
      <c r="BC98" s="301">
        <f t="shared" si="32"/>
        <v>0</v>
      </c>
      <c r="BD98" s="301">
        <f t="shared" si="32"/>
        <v>0</v>
      </c>
      <c r="BE98" s="301">
        <f t="shared" si="32"/>
        <v>0</v>
      </c>
      <c r="BF98" s="301">
        <f t="shared" si="32"/>
        <v>0</v>
      </c>
      <c r="BG98" s="301">
        <f t="shared" si="32"/>
        <v>0</v>
      </c>
      <c r="BH98" s="301">
        <f t="shared" si="32"/>
        <v>0</v>
      </c>
      <c r="BI98" s="301">
        <f t="shared" si="32"/>
        <v>0</v>
      </c>
      <c r="BJ98" s="301">
        <f t="shared" si="32"/>
        <v>0</v>
      </c>
      <c r="BK98" s="301">
        <f t="shared" si="32"/>
        <v>0</v>
      </c>
      <c r="BL98" s="301">
        <f t="shared" si="32"/>
        <v>0</v>
      </c>
      <c r="BM98" s="301">
        <f t="shared" si="32"/>
        <v>0</v>
      </c>
      <c r="BN98" s="301">
        <f t="shared" si="32"/>
        <v>0</v>
      </c>
      <c r="BO98" s="301">
        <f t="shared" si="32"/>
        <v>0</v>
      </c>
      <c r="BP98" s="301">
        <f t="shared" si="32"/>
        <v>0</v>
      </c>
      <c r="BQ98" s="301">
        <f t="shared" si="32"/>
        <v>0</v>
      </c>
      <c r="BR98" s="301">
        <f t="shared" si="32"/>
        <v>0</v>
      </c>
      <c r="BS98" s="301">
        <f t="shared" si="32"/>
        <v>0</v>
      </c>
      <c r="BT98" s="301">
        <f t="shared" si="32"/>
        <v>0</v>
      </c>
      <c r="BU98" s="301">
        <f t="shared" si="32"/>
        <v>0</v>
      </c>
      <c r="BV98" s="301">
        <f t="shared" si="32"/>
        <v>0</v>
      </c>
      <c r="BW98" s="301">
        <f t="shared" si="32"/>
        <v>0</v>
      </c>
      <c r="BX98" s="301">
        <f t="shared" si="32"/>
        <v>0</v>
      </c>
      <c r="BY98" s="780">
        <f>BZ91</f>
        <v>-73168418</v>
      </c>
      <c r="BZ98" s="781"/>
      <c r="CA98" s="226"/>
      <c r="CB98" s="226"/>
      <c r="CC98" s="226"/>
    </row>
    <row r="99" spans="1:81" ht="16" hidden="1">
      <c r="A99" s="603"/>
      <c r="B99" s="791" t="s">
        <v>335</v>
      </c>
      <c r="C99" s="774"/>
      <c r="D99" s="307"/>
      <c r="E99" s="303">
        <f t="shared" ref="E99:BX99" si="33">E16+E98</f>
        <v>0</v>
      </c>
      <c r="F99" s="303">
        <f t="shared" si="33"/>
        <v>0</v>
      </c>
      <c r="G99" s="303">
        <f t="shared" si="33"/>
        <v>0</v>
      </c>
      <c r="H99" s="303">
        <f t="shared" si="33"/>
        <v>5642760.9028512407</v>
      </c>
      <c r="I99" s="303">
        <f t="shared" si="33"/>
        <v>-1725924.6082231405</v>
      </c>
      <c r="J99" s="303">
        <f t="shared" si="33"/>
        <v>5172268.6670127325</v>
      </c>
      <c r="K99" s="303">
        <f t="shared" si="33"/>
        <v>-7706420.0699330363</v>
      </c>
      <c r="L99" s="303">
        <f t="shared" si="33"/>
        <v>-1632457.0836577127</v>
      </c>
      <c r="M99" s="304">
        <f t="shared" si="33"/>
        <v>661975.15129821375</v>
      </c>
      <c r="N99" s="303">
        <f t="shared" si="33"/>
        <v>-389666.09671832062</v>
      </c>
      <c r="O99" s="304">
        <f t="shared" si="33"/>
        <v>8686219.5342816804</v>
      </c>
      <c r="P99" s="304">
        <f t="shared" si="33"/>
        <v>-6253565.3033849858</v>
      </c>
      <c r="Q99" s="304">
        <f t="shared" si="33"/>
        <v>239528.38392817799</v>
      </c>
      <c r="R99" s="304">
        <f t="shared" si="33"/>
        <v>86630.702205864014</v>
      </c>
      <c r="S99" s="304">
        <f t="shared" si="33"/>
        <v>27110.393528178043</v>
      </c>
      <c r="T99" s="304" t="e">
        <f t="shared" si="33"/>
        <v>#REF!</v>
      </c>
      <c r="U99" s="303">
        <f t="shared" si="33"/>
        <v>0</v>
      </c>
      <c r="V99" s="303">
        <f t="shared" si="33"/>
        <v>0</v>
      </c>
      <c r="W99" s="303">
        <f t="shared" si="33"/>
        <v>0</v>
      </c>
      <c r="X99" s="304">
        <f t="shared" si="33"/>
        <v>0</v>
      </c>
      <c r="Y99" s="304">
        <f t="shared" si="33"/>
        <v>0</v>
      </c>
      <c r="Z99" s="304">
        <f t="shared" si="33"/>
        <v>0</v>
      </c>
      <c r="AA99" s="304">
        <f t="shared" si="33"/>
        <v>0</v>
      </c>
      <c r="AB99" s="304">
        <f t="shared" si="33"/>
        <v>0</v>
      </c>
      <c r="AC99" s="303">
        <f t="shared" si="33"/>
        <v>0</v>
      </c>
      <c r="AD99" s="304">
        <f t="shared" si="33"/>
        <v>0</v>
      </c>
      <c r="AE99" s="304">
        <f t="shared" si="33"/>
        <v>0</v>
      </c>
      <c r="AF99" s="304">
        <f t="shared" si="33"/>
        <v>0</v>
      </c>
      <c r="AG99" s="304">
        <f t="shared" si="33"/>
        <v>0</v>
      </c>
      <c r="AH99" s="304">
        <f t="shared" si="33"/>
        <v>0</v>
      </c>
      <c r="AI99" s="304">
        <f t="shared" si="33"/>
        <v>0</v>
      </c>
      <c r="AJ99" s="304">
        <f t="shared" si="33"/>
        <v>0</v>
      </c>
      <c r="AK99" s="304">
        <f t="shared" si="33"/>
        <v>0</v>
      </c>
      <c r="AL99" s="304">
        <f t="shared" si="33"/>
        <v>0</v>
      </c>
      <c r="AM99" s="304">
        <f t="shared" si="33"/>
        <v>0</v>
      </c>
      <c r="AN99" s="304">
        <f t="shared" si="33"/>
        <v>0</v>
      </c>
      <c r="AO99" s="303">
        <f t="shared" si="33"/>
        <v>0</v>
      </c>
      <c r="AP99" s="304">
        <f t="shared" si="33"/>
        <v>0</v>
      </c>
      <c r="AQ99" s="304">
        <f t="shared" si="33"/>
        <v>0</v>
      </c>
      <c r="AR99" s="304">
        <f t="shared" si="33"/>
        <v>0</v>
      </c>
      <c r="AS99" s="303">
        <f t="shared" si="33"/>
        <v>0</v>
      </c>
      <c r="AT99" s="303">
        <f t="shared" si="33"/>
        <v>0</v>
      </c>
      <c r="AU99" s="303">
        <f t="shared" si="33"/>
        <v>0</v>
      </c>
      <c r="AV99" s="303">
        <f t="shared" si="33"/>
        <v>0</v>
      </c>
      <c r="AW99" s="303">
        <f t="shared" si="33"/>
        <v>0</v>
      </c>
      <c r="AX99" s="303">
        <f t="shared" si="33"/>
        <v>0</v>
      </c>
      <c r="AY99" s="303">
        <f t="shared" si="33"/>
        <v>0</v>
      </c>
      <c r="AZ99" s="303">
        <f t="shared" si="33"/>
        <v>0</v>
      </c>
      <c r="BA99" s="303">
        <f t="shared" si="33"/>
        <v>0</v>
      </c>
      <c r="BB99" s="303">
        <f t="shared" si="33"/>
        <v>0</v>
      </c>
      <c r="BC99" s="303">
        <f t="shared" si="33"/>
        <v>0</v>
      </c>
      <c r="BD99" s="303">
        <f t="shared" si="33"/>
        <v>0</v>
      </c>
      <c r="BE99" s="303">
        <f t="shared" si="33"/>
        <v>0</v>
      </c>
      <c r="BF99" s="303">
        <f t="shared" si="33"/>
        <v>0</v>
      </c>
      <c r="BG99" s="303">
        <f t="shared" si="33"/>
        <v>0</v>
      </c>
      <c r="BH99" s="303">
        <f t="shared" si="33"/>
        <v>0</v>
      </c>
      <c r="BI99" s="303">
        <f t="shared" si="33"/>
        <v>0</v>
      </c>
      <c r="BJ99" s="303">
        <f t="shared" si="33"/>
        <v>0</v>
      </c>
      <c r="BK99" s="303">
        <f t="shared" si="33"/>
        <v>0</v>
      </c>
      <c r="BL99" s="308">
        <f t="shared" si="33"/>
        <v>0</v>
      </c>
      <c r="BM99" s="308">
        <f t="shared" si="33"/>
        <v>0</v>
      </c>
      <c r="BN99" s="308">
        <f t="shared" si="33"/>
        <v>0</v>
      </c>
      <c r="BO99" s="308">
        <f t="shared" si="33"/>
        <v>0</v>
      </c>
      <c r="BP99" s="308">
        <f t="shared" si="33"/>
        <v>0</v>
      </c>
      <c r="BQ99" s="308">
        <f t="shared" si="33"/>
        <v>0</v>
      </c>
      <c r="BR99" s="308">
        <f t="shared" si="33"/>
        <v>0</v>
      </c>
      <c r="BS99" s="308">
        <f t="shared" si="33"/>
        <v>0</v>
      </c>
      <c r="BT99" s="308">
        <f t="shared" si="33"/>
        <v>0</v>
      </c>
      <c r="BU99" s="308">
        <f t="shared" si="33"/>
        <v>0</v>
      </c>
      <c r="BV99" s="308">
        <f t="shared" si="33"/>
        <v>0</v>
      </c>
      <c r="BW99" s="308">
        <f t="shared" si="33"/>
        <v>0</v>
      </c>
      <c r="BX99" s="308">
        <f t="shared" si="33"/>
        <v>0</v>
      </c>
      <c r="BY99" s="782" t="e">
        <f>BY16+BY90+BY98</f>
        <v>#REF!</v>
      </c>
      <c r="BZ99" s="783"/>
      <c r="CA99" s="226"/>
      <c r="CB99" s="226"/>
      <c r="CC99" s="226"/>
    </row>
    <row r="100" spans="1:81" hidden="1">
      <c r="A100" s="603"/>
      <c r="B100" s="792" t="s">
        <v>336</v>
      </c>
      <c r="C100" s="774"/>
      <c r="D100" s="309"/>
      <c r="E100" s="310">
        <f>E99</f>
        <v>0</v>
      </c>
      <c r="F100" s="310">
        <f>F99+E100</f>
        <v>0</v>
      </c>
      <c r="G100" s="310">
        <f>655760.63+24.98*24.5-16.85*22</f>
        <v>656001.94000000006</v>
      </c>
      <c r="H100" s="310">
        <f>H99+G100-66</f>
        <v>6298696.8428512411</v>
      </c>
      <c r="I100" s="310">
        <f t="shared" ref="I100:BX100" si="34">I99+H100</f>
        <v>4572772.2346281009</v>
      </c>
      <c r="J100" s="310">
        <f t="shared" si="34"/>
        <v>9745040.9016408324</v>
      </c>
      <c r="K100" s="310">
        <f t="shared" si="34"/>
        <v>2038620.8317077961</v>
      </c>
      <c r="L100" s="310">
        <f t="shared" si="34"/>
        <v>406163.74805008341</v>
      </c>
      <c r="M100" s="310">
        <f t="shared" si="34"/>
        <v>1068138.8993482972</v>
      </c>
      <c r="N100" s="310">
        <f t="shared" si="34"/>
        <v>678472.80262997653</v>
      </c>
      <c r="O100" s="310">
        <f t="shared" si="34"/>
        <v>9364692.336911656</v>
      </c>
      <c r="P100" s="310">
        <f t="shared" si="34"/>
        <v>3111127.0335266702</v>
      </c>
      <c r="Q100" s="310">
        <f t="shared" si="34"/>
        <v>3350655.4174548481</v>
      </c>
      <c r="R100" s="310">
        <f t="shared" si="34"/>
        <v>3437286.1196607118</v>
      </c>
      <c r="S100" s="310">
        <f t="shared" si="34"/>
        <v>3464396.5131888897</v>
      </c>
      <c r="T100" s="310" t="e">
        <f t="shared" si="34"/>
        <v>#REF!</v>
      </c>
      <c r="U100" s="310" t="e">
        <f t="shared" si="34"/>
        <v>#REF!</v>
      </c>
      <c r="V100" s="310" t="e">
        <f t="shared" si="34"/>
        <v>#REF!</v>
      </c>
      <c r="W100" s="310" t="e">
        <f t="shared" si="34"/>
        <v>#REF!</v>
      </c>
      <c r="X100" s="310" t="e">
        <f t="shared" si="34"/>
        <v>#REF!</v>
      </c>
      <c r="Y100" s="310" t="e">
        <f t="shared" si="34"/>
        <v>#REF!</v>
      </c>
      <c r="Z100" s="310" t="e">
        <f t="shared" si="34"/>
        <v>#REF!</v>
      </c>
      <c r="AA100" s="310" t="e">
        <f t="shared" si="34"/>
        <v>#REF!</v>
      </c>
      <c r="AB100" s="310" t="e">
        <f t="shared" si="34"/>
        <v>#REF!</v>
      </c>
      <c r="AC100" s="310" t="e">
        <f t="shared" si="34"/>
        <v>#REF!</v>
      </c>
      <c r="AD100" s="310" t="e">
        <f t="shared" si="34"/>
        <v>#REF!</v>
      </c>
      <c r="AE100" s="310" t="e">
        <f t="shared" si="34"/>
        <v>#REF!</v>
      </c>
      <c r="AF100" s="310" t="e">
        <f t="shared" si="34"/>
        <v>#REF!</v>
      </c>
      <c r="AG100" s="310" t="e">
        <f t="shared" si="34"/>
        <v>#REF!</v>
      </c>
      <c r="AH100" s="310" t="e">
        <f t="shared" si="34"/>
        <v>#REF!</v>
      </c>
      <c r="AI100" s="310" t="e">
        <f t="shared" si="34"/>
        <v>#REF!</v>
      </c>
      <c r="AJ100" s="310" t="e">
        <f t="shared" si="34"/>
        <v>#REF!</v>
      </c>
      <c r="AK100" s="310" t="e">
        <f t="shared" si="34"/>
        <v>#REF!</v>
      </c>
      <c r="AL100" s="310" t="e">
        <f t="shared" si="34"/>
        <v>#REF!</v>
      </c>
      <c r="AM100" s="310" t="e">
        <f t="shared" si="34"/>
        <v>#REF!</v>
      </c>
      <c r="AN100" s="310" t="e">
        <f t="shared" si="34"/>
        <v>#REF!</v>
      </c>
      <c r="AO100" s="310" t="e">
        <f t="shared" si="34"/>
        <v>#REF!</v>
      </c>
      <c r="AP100" s="310" t="e">
        <f t="shared" si="34"/>
        <v>#REF!</v>
      </c>
      <c r="AQ100" s="310" t="e">
        <f t="shared" si="34"/>
        <v>#REF!</v>
      </c>
      <c r="AR100" s="310" t="e">
        <f t="shared" si="34"/>
        <v>#REF!</v>
      </c>
      <c r="AS100" s="310" t="e">
        <f t="shared" si="34"/>
        <v>#REF!</v>
      </c>
      <c r="AT100" s="310" t="e">
        <f t="shared" si="34"/>
        <v>#REF!</v>
      </c>
      <c r="AU100" s="310" t="e">
        <f t="shared" si="34"/>
        <v>#REF!</v>
      </c>
      <c r="AV100" s="310" t="e">
        <f t="shared" si="34"/>
        <v>#REF!</v>
      </c>
      <c r="AW100" s="310" t="e">
        <f t="shared" si="34"/>
        <v>#REF!</v>
      </c>
      <c r="AX100" s="310" t="e">
        <f t="shared" si="34"/>
        <v>#REF!</v>
      </c>
      <c r="AY100" s="310" t="e">
        <f t="shared" si="34"/>
        <v>#REF!</v>
      </c>
      <c r="AZ100" s="310" t="e">
        <f t="shared" si="34"/>
        <v>#REF!</v>
      </c>
      <c r="BA100" s="310" t="e">
        <f t="shared" si="34"/>
        <v>#REF!</v>
      </c>
      <c r="BB100" s="310" t="e">
        <f t="shared" si="34"/>
        <v>#REF!</v>
      </c>
      <c r="BC100" s="310" t="e">
        <f t="shared" si="34"/>
        <v>#REF!</v>
      </c>
      <c r="BD100" s="310" t="e">
        <f t="shared" si="34"/>
        <v>#REF!</v>
      </c>
      <c r="BE100" s="310" t="e">
        <f t="shared" si="34"/>
        <v>#REF!</v>
      </c>
      <c r="BF100" s="310" t="e">
        <f t="shared" si="34"/>
        <v>#REF!</v>
      </c>
      <c r="BG100" s="310" t="e">
        <f t="shared" si="34"/>
        <v>#REF!</v>
      </c>
      <c r="BH100" s="310" t="e">
        <f t="shared" si="34"/>
        <v>#REF!</v>
      </c>
      <c r="BI100" s="310" t="e">
        <f t="shared" si="34"/>
        <v>#REF!</v>
      </c>
      <c r="BJ100" s="310" t="e">
        <f t="shared" si="34"/>
        <v>#REF!</v>
      </c>
      <c r="BK100" s="310" t="e">
        <f t="shared" si="34"/>
        <v>#REF!</v>
      </c>
      <c r="BL100" s="310" t="e">
        <f t="shared" si="34"/>
        <v>#REF!</v>
      </c>
      <c r="BM100" s="310" t="e">
        <f t="shared" si="34"/>
        <v>#REF!</v>
      </c>
      <c r="BN100" s="310" t="e">
        <f t="shared" si="34"/>
        <v>#REF!</v>
      </c>
      <c r="BO100" s="310" t="e">
        <f t="shared" si="34"/>
        <v>#REF!</v>
      </c>
      <c r="BP100" s="310" t="e">
        <f t="shared" si="34"/>
        <v>#REF!</v>
      </c>
      <c r="BQ100" s="310" t="e">
        <f t="shared" si="34"/>
        <v>#REF!</v>
      </c>
      <c r="BR100" s="310" t="e">
        <f t="shared" si="34"/>
        <v>#REF!</v>
      </c>
      <c r="BS100" s="310" t="e">
        <f t="shared" si="34"/>
        <v>#REF!</v>
      </c>
      <c r="BT100" s="310" t="e">
        <f t="shared" si="34"/>
        <v>#REF!</v>
      </c>
      <c r="BU100" s="310" t="e">
        <f t="shared" si="34"/>
        <v>#REF!</v>
      </c>
      <c r="BV100" s="310" t="e">
        <f t="shared" si="34"/>
        <v>#REF!</v>
      </c>
      <c r="BW100" s="310" t="e">
        <f t="shared" si="34"/>
        <v>#REF!</v>
      </c>
      <c r="BX100" s="310" t="e">
        <f t="shared" si="34"/>
        <v>#REF!</v>
      </c>
      <c r="BY100" s="226"/>
      <c r="BZ100" s="226"/>
      <c r="CA100" s="226"/>
      <c r="CB100" s="226"/>
      <c r="CC100" s="226"/>
    </row>
    <row r="101" spans="1:81" hidden="1">
      <c r="A101" s="226"/>
      <c r="B101" s="226"/>
      <c r="C101" s="226"/>
      <c r="D101" s="226"/>
      <c r="E101" s="226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6"/>
      <c r="AA101" s="226"/>
      <c r="AB101" s="226"/>
      <c r="AC101" s="226"/>
      <c r="AD101" s="226"/>
      <c r="AE101" s="226"/>
      <c r="AF101" s="226"/>
      <c r="AG101" s="226"/>
      <c r="AH101" s="226"/>
      <c r="AI101" s="226"/>
      <c r="AJ101" s="226"/>
      <c r="AK101" s="226"/>
      <c r="AL101" s="226"/>
      <c r="AM101" s="226"/>
      <c r="AN101" s="226"/>
      <c r="AO101" s="226"/>
      <c r="AP101" s="226"/>
      <c r="AQ101" s="226"/>
      <c r="AR101" s="226"/>
      <c r="AS101" s="226"/>
      <c r="AT101" s="226"/>
      <c r="AU101" s="226"/>
      <c r="AV101" s="226"/>
      <c r="AW101" s="226"/>
      <c r="AX101" s="226"/>
      <c r="AY101" s="226"/>
      <c r="AZ101" s="226"/>
      <c r="BA101" s="226"/>
      <c r="BB101" s="226"/>
      <c r="BC101" s="226"/>
      <c r="BD101" s="226"/>
      <c r="BE101" s="226"/>
      <c r="BF101" s="226"/>
      <c r="BG101" s="226"/>
      <c r="BH101" s="226"/>
      <c r="BI101" s="226"/>
      <c r="BJ101" s="226"/>
      <c r="BK101" s="226"/>
      <c r="BL101" s="226"/>
      <c r="BM101" s="226"/>
      <c r="BN101" s="226"/>
      <c r="BO101" s="226"/>
      <c r="BP101" s="226"/>
      <c r="BQ101" s="226"/>
      <c r="BR101" s="226"/>
      <c r="BS101" s="226"/>
      <c r="BT101" s="226"/>
      <c r="BU101" s="226"/>
      <c r="BV101" s="226"/>
      <c r="BW101" s="226"/>
      <c r="BX101" s="226"/>
      <c r="BY101" s="311"/>
      <c r="BZ101" s="226" t="e">
        <f>T100-8333333</f>
        <v>#REF!</v>
      </c>
      <c r="CA101" s="226"/>
      <c r="CB101" s="226"/>
      <c r="CC101" s="226"/>
    </row>
    <row r="102" spans="1:81" hidden="1">
      <c r="A102" s="226"/>
      <c r="B102" s="226"/>
      <c r="C102" s="226"/>
      <c r="D102" s="312" t="s">
        <v>337</v>
      </c>
      <c r="E102" s="312"/>
      <c r="F102" s="312"/>
      <c r="G102" s="312"/>
      <c r="H102" s="312"/>
      <c r="I102" s="312"/>
      <c r="J102" s="312"/>
      <c r="K102" s="312"/>
      <c r="L102" s="312"/>
      <c r="M102" s="312"/>
      <c r="N102" s="312"/>
      <c r="O102" s="312"/>
      <c r="P102" s="312"/>
      <c r="Q102" s="312"/>
      <c r="R102" s="312"/>
      <c r="S102" s="312"/>
      <c r="T102" s="312"/>
      <c r="U102" s="312"/>
      <c r="V102" s="313"/>
      <c r="W102" s="313"/>
      <c r="X102" s="313"/>
      <c r="Y102" s="313"/>
      <c r="Z102" s="313"/>
      <c r="AA102" s="313"/>
      <c r="AB102" s="313"/>
      <c r="AC102" s="313"/>
      <c r="AD102" s="313"/>
      <c r="AE102" s="313"/>
      <c r="AF102" s="313"/>
      <c r="AG102" s="313"/>
      <c r="AH102" s="313"/>
      <c r="AI102" s="313"/>
      <c r="AJ102" s="313"/>
      <c r="AK102" s="313"/>
      <c r="AL102" s="313"/>
      <c r="AM102" s="313"/>
      <c r="AN102" s="313"/>
      <c r="AO102" s="313"/>
      <c r="AP102" s="313"/>
      <c r="AQ102" s="313"/>
      <c r="AR102" s="313"/>
      <c r="AS102" s="313"/>
      <c r="AT102" s="313"/>
      <c r="AU102" s="313"/>
      <c r="AV102" s="313"/>
      <c r="AW102" s="313"/>
      <c r="AX102" s="313"/>
      <c r="AY102" s="313"/>
      <c r="AZ102" s="313"/>
      <c r="BA102" s="313"/>
      <c r="BB102" s="313"/>
      <c r="BC102" s="313"/>
      <c r="BD102" s="313"/>
      <c r="BE102" s="313"/>
      <c r="BF102" s="313"/>
      <c r="BG102" s="313"/>
      <c r="BH102" s="313"/>
      <c r="BI102" s="313"/>
      <c r="BJ102" s="313"/>
      <c r="BK102" s="313"/>
      <c r="BL102" s="313"/>
      <c r="BM102" s="313"/>
      <c r="BN102" s="313"/>
      <c r="BO102" s="313"/>
      <c r="BP102" s="313"/>
      <c r="BQ102" s="313"/>
      <c r="BR102" s="313"/>
      <c r="BS102" s="313"/>
      <c r="BT102" s="313"/>
      <c r="BU102" s="313"/>
      <c r="BV102" s="313"/>
      <c r="BW102" s="313"/>
      <c r="BX102" s="313"/>
      <c r="BY102" s="311"/>
      <c r="BZ102" s="226"/>
      <c r="CA102" s="226"/>
      <c r="CB102" s="226"/>
      <c r="CC102" s="226"/>
    </row>
    <row r="103" spans="1:81" hidden="1">
      <c r="A103" s="226"/>
      <c r="B103" s="226"/>
      <c r="C103" s="226"/>
      <c r="D103" s="226"/>
      <c r="E103" s="226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26"/>
      <c r="Z103" s="226"/>
      <c r="AA103" s="226"/>
      <c r="AB103" s="226"/>
      <c r="AC103" s="226"/>
      <c r="AD103" s="226"/>
      <c r="AE103" s="226"/>
      <c r="AF103" s="226"/>
      <c r="AG103" s="226"/>
      <c r="AH103" s="226"/>
      <c r="AI103" s="226"/>
      <c r="AJ103" s="226"/>
      <c r="AK103" s="226"/>
      <c r="AL103" s="226"/>
      <c r="AM103" s="226"/>
      <c r="AN103" s="226"/>
      <c r="AO103" s="226"/>
      <c r="AP103" s="226"/>
      <c r="AQ103" s="226"/>
      <c r="AR103" s="226"/>
      <c r="AS103" s="226"/>
      <c r="AT103" s="226"/>
      <c r="AU103" s="226"/>
      <c r="AV103" s="226"/>
      <c r="AW103" s="226"/>
      <c r="AX103" s="226"/>
      <c r="AY103" s="226"/>
      <c r="AZ103" s="226"/>
      <c r="BA103" s="226"/>
      <c r="BB103" s="226"/>
      <c r="BC103" s="226"/>
      <c r="BD103" s="226"/>
      <c r="BE103" s="226"/>
      <c r="BF103" s="226"/>
      <c r="BG103" s="226"/>
      <c r="BH103" s="226"/>
      <c r="BI103" s="226"/>
      <c r="BJ103" s="226"/>
      <c r="BK103" s="226"/>
      <c r="BL103" s="226"/>
      <c r="BM103" s="226"/>
      <c r="BN103" s="226"/>
      <c r="BO103" s="226"/>
      <c r="BP103" s="226"/>
      <c r="BQ103" s="226"/>
      <c r="BR103" s="226"/>
      <c r="BS103" s="226"/>
      <c r="BT103" s="226"/>
      <c r="BU103" s="226"/>
      <c r="BV103" s="226"/>
      <c r="BW103" s="226"/>
      <c r="BX103" s="226"/>
      <c r="BY103" s="311"/>
      <c r="BZ103" s="226"/>
      <c r="CA103" s="226"/>
      <c r="CB103" s="226"/>
      <c r="CC103" s="226"/>
    </row>
    <row r="104" spans="1:81" hidden="1">
      <c r="A104" s="226"/>
      <c r="B104" s="226"/>
      <c r="C104" s="314" t="s">
        <v>338</v>
      </c>
      <c r="D104" s="315"/>
      <c r="E104" s="316">
        <f>E112+E130+E162+E178</f>
        <v>0</v>
      </c>
      <c r="F104" s="316">
        <f t="shared" ref="F104:BW104" si="35">F112+F178</f>
        <v>0</v>
      </c>
      <c r="G104" s="316">
        <f t="shared" si="35"/>
        <v>0</v>
      </c>
      <c r="H104" s="316">
        <f t="shared" si="35"/>
        <v>-21706207.5</v>
      </c>
      <c r="I104" s="316">
        <f t="shared" si="35"/>
        <v>0</v>
      </c>
      <c r="J104" s="316">
        <f t="shared" si="35"/>
        <v>-7870667</v>
      </c>
      <c r="K104" s="316">
        <f t="shared" si="35"/>
        <v>0</v>
      </c>
      <c r="L104" s="316">
        <f t="shared" si="35"/>
        <v>0</v>
      </c>
      <c r="M104" s="316">
        <f t="shared" si="35"/>
        <v>0</v>
      </c>
      <c r="N104" s="316">
        <f t="shared" si="35"/>
        <v>0</v>
      </c>
      <c r="O104" s="316">
        <f t="shared" si="35"/>
        <v>0</v>
      </c>
      <c r="P104" s="316">
        <f t="shared" si="35"/>
        <v>0</v>
      </c>
      <c r="Q104" s="316">
        <f t="shared" si="35"/>
        <v>0</v>
      </c>
      <c r="R104" s="316">
        <f t="shared" si="35"/>
        <v>0</v>
      </c>
      <c r="S104" s="316">
        <f t="shared" si="35"/>
        <v>0</v>
      </c>
      <c r="T104" s="316">
        <f t="shared" si="35"/>
        <v>29576874.5</v>
      </c>
      <c r="U104" s="316">
        <f t="shared" si="35"/>
        <v>0</v>
      </c>
      <c r="V104" s="316">
        <f t="shared" si="35"/>
        <v>0</v>
      </c>
      <c r="W104" s="316">
        <f t="shared" si="35"/>
        <v>0</v>
      </c>
      <c r="X104" s="316">
        <f t="shared" si="35"/>
        <v>0</v>
      </c>
      <c r="Y104" s="316">
        <f t="shared" si="35"/>
        <v>0</v>
      </c>
      <c r="Z104" s="316">
        <f t="shared" si="35"/>
        <v>0</v>
      </c>
      <c r="AA104" s="316">
        <f t="shared" si="35"/>
        <v>0</v>
      </c>
      <c r="AB104" s="316">
        <f t="shared" si="35"/>
        <v>0</v>
      </c>
      <c r="AC104" s="316">
        <f t="shared" si="35"/>
        <v>0</v>
      </c>
      <c r="AD104" s="316">
        <f t="shared" si="35"/>
        <v>0</v>
      </c>
      <c r="AE104" s="316">
        <f t="shared" si="35"/>
        <v>0</v>
      </c>
      <c r="AF104" s="316">
        <f t="shared" si="35"/>
        <v>0</v>
      </c>
      <c r="AG104" s="316">
        <f t="shared" si="35"/>
        <v>0</v>
      </c>
      <c r="AH104" s="316">
        <f t="shared" si="35"/>
        <v>0</v>
      </c>
      <c r="AI104" s="316">
        <f t="shared" si="35"/>
        <v>0</v>
      </c>
      <c r="AJ104" s="316">
        <f t="shared" si="35"/>
        <v>0</v>
      </c>
      <c r="AK104" s="316">
        <f t="shared" si="35"/>
        <v>0</v>
      </c>
      <c r="AL104" s="316">
        <f t="shared" si="35"/>
        <v>0</v>
      </c>
      <c r="AM104" s="316">
        <f t="shared" si="35"/>
        <v>0</v>
      </c>
      <c r="AN104" s="316">
        <f t="shared" si="35"/>
        <v>0</v>
      </c>
      <c r="AO104" s="316">
        <f t="shared" si="35"/>
        <v>0</v>
      </c>
      <c r="AP104" s="316">
        <f t="shared" si="35"/>
        <v>0</v>
      </c>
      <c r="AQ104" s="316">
        <f t="shared" si="35"/>
        <v>0</v>
      </c>
      <c r="AR104" s="316">
        <f t="shared" si="35"/>
        <v>0</v>
      </c>
      <c r="AS104" s="316">
        <f t="shared" si="35"/>
        <v>0</v>
      </c>
      <c r="AT104" s="316">
        <f t="shared" si="35"/>
        <v>0</v>
      </c>
      <c r="AU104" s="316">
        <f t="shared" si="35"/>
        <v>0</v>
      </c>
      <c r="AV104" s="316">
        <f t="shared" si="35"/>
        <v>0</v>
      </c>
      <c r="AW104" s="316">
        <f t="shared" si="35"/>
        <v>0</v>
      </c>
      <c r="AX104" s="316">
        <f t="shared" si="35"/>
        <v>0</v>
      </c>
      <c r="AY104" s="316">
        <f t="shared" si="35"/>
        <v>0</v>
      </c>
      <c r="AZ104" s="316">
        <f t="shared" si="35"/>
        <v>0</v>
      </c>
      <c r="BA104" s="316">
        <f t="shared" si="35"/>
        <v>0</v>
      </c>
      <c r="BB104" s="316">
        <f t="shared" si="35"/>
        <v>0</v>
      </c>
      <c r="BC104" s="316">
        <f t="shared" si="35"/>
        <v>0</v>
      </c>
      <c r="BD104" s="316">
        <f t="shared" si="35"/>
        <v>0</v>
      </c>
      <c r="BE104" s="316">
        <f t="shared" si="35"/>
        <v>0</v>
      </c>
      <c r="BF104" s="316">
        <f t="shared" si="35"/>
        <v>0</v>
      </c>
      <c r="BG104" s="316">
        <f t="shared" si="35"/>
        <v>0</v>
      </c>
      <c r="BH104" s="316">
        <f t="shared" si="35"/>
        <v>0</v>
      </c>
      <c r="BI104" s="316">
        <f t="shared" si="35"/>
        <v>0</v>
      </c>
      <c r="BJ104" s="316">
        <f t="shared" si="35"/>
        <v>0</v>
      </c>
      <c r="BK104" s="316">
        <f t="shared" si="35"/>
        <v>0</v>
      </c>
      <c r="BL104" s="316">
        <f t="shared" si="35"/>
        <v>0</v>
      </c>
      <c r="BM104" s="316">
        <f t="shared" si="35"/>
        <v>0</v>
      </c>
      <c r="BN104" s="316">
        <f t="shared" si="35"/>
        <v>0</v>
      </c>
      <c r="BO104" s="316">
        <f t="shared" si="35"/>
        <v>0</v>
      </c>
      <c r="BP104" s="316">
        <f t="shared" si="35"/>
        <v>0</v>
      </c>
      <c r="BQ104" s="316">
        <f t="shared" si="35"/>
        <v>0</v>
      </c>
      <c r="BR104" s="316">
        <f t="shared" si="35"/>
        <v>0</v>
      </c>
      <c r="BS104" s="316">
        <f t="shared" si="35"/>
        <v>0</v>
      </c>
      <c r="BT104" s="316">
        <f t="shared" si="35"/>
        <v>0</v>
      </c>
      <c r="BU104" s="316">
        <f t="shared" si="35"/>
        <v>0</v>
      </c>
      <c r="BV104" s="316">
        <f t="shared" si="35"/>
        <v>0</v>
      </c>
      <c r="BW104" s="316">
        <f t="shared" si="35"/>
        <v>0</v>
      </c>
      <c r="BX104" s="316" t="e">
        <f>BX112+BX178+BX100</f>
        <v>#REF!</v>
      </c>
      <c r="BY104" s="311"/>
      <c r="BZ104" s="226"/>
      <c r="CA104" s="226"/>
      <c r="CB104" s="226"/>
      <c r="CC104" s="226"/>
    </row>
    <row r="105" spans="1:81" hidden="1">
      <c r="A105" s="226"/>
      <c r="B105" s="226"/>
      <c r="C105" s="317" t="s">
        <v>339</v>
      </c>
      <c r="D105" s="793" t="e">
        <f>IRR(E104:BX104)*12</f>
        <v>#VALUE!</v>
      </c>
      <c r="E105" s="768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  <c r="U105" s="226"/>
      <c r="V105" s="226"/>
      <c r="W105" s="226"/>
      <c r="X105" s="226"/>
      <c r="Y105" s="226"/>
      <c r="Z105" s="226"/>
      <c r="AA105" s="226"/>
      <c r="AB105" s="226"/>
      <c r="AC105" s="226"/>
      <c r="AD105" s="226"/>
      <c r="AE105" s="226"/>
      <c r="AF105" s="226"/>
      <c r="AG105" s="226"/>
      <c r="AH105" s="226"/>
      <c r="AI105" s="226"/>
      <c r="AJ105" s="226"/>
      <c r="AK105" s="226"/>
      <c r="AL105" s="226"/>
      <c r="AM105" s="226"/>
      <c r="AN105" s="226"/>
      <c r="AO105" s="226"/>
      <c r="AP105" s="226"/>
      <c r="AQ105" s="226"/>
      <c r="AR105" s="226"/>
      <c r="AS105" s="226"/>
      <c r="AT105" s="226"/>
      <c r="AU105" s="226"/>
      <c r="AV105" s="226"/>
      <c r="AW105" s="226"/>
      <c r="AX105" s="226"/>
      <c r="AY105" s="226"/>
      <c r="AZ105" s="226"/>
      <c r="BA105" s="226"/>
      <c r="BB105" s="226"/>
      <c r="BC105" s="226"/>
      <c r="BD105" s="226"/>
      <c r="BE105" s="226"/>
      <c r="BF105" s="226"/>
      <c r="BG105" s="226"/>
      <c r="BH105" s="226"/>
      <c r="BI105" s="226"/>
      <c r="BJ105" s="226"/>
      <c r="BK105" s="226"/>
      <c r="BL105" s="226"/>
      <c r="BM105" s="226"/>
      <c r="BN105" s="226"/>
      <c r="BO105" s="226"/>
      <c r="BP105" s="226"/>
      <c r="BQ105" s="226"/>
      <c r="BR105" s="226"/>
      <c r="BS105" s="226"/>
      <c r="BT105" s="226"/>
      <c r="BU105" s="226"/>
      <c r="BV105" s="226"/>
      <c r="BW105" s="226"/>
      <c r="BX105" s="226"/>
      <c r="BY105" s="311"/>
      <c r="BZ105" s="226"/>
      <c r="CA105" s="226"/>
      <c r="CB105" s="226"/>
      <c r="CC105" s="226"/>
    </row>
    <row r="106" spans="1:81" hidden="1">
      <c r="A106" s="226"/>
      <c r="B106" s="226"/>
      <c r="C106" s="226"/>
      <c r="D106" s="226"/>
      <c r="E106" s="226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AY106" s="226"/>
      <c r="AZ106" s="226"/>
      <c r="BA106" s="226"/>
      <c r="BB106" s="226"/>
      <c r="BC106" s="226"/>
      <c r="BD106" s="226"/>
      <c r="BE106" s="226"/>
      <c r="BF106" s="226"/>
      <c r="BG106" s="226"/>
      <c r="BH106" s="226"/>
      <c r="BI106" s="226"/>
      <c r="BJ106" s="226"/>
      <c r="BK106" s="226"/>
      <c r="BL106" s="226"/>
      <c r="BM106" s="226"/>
      <c r="BN106" s="226"/>
      <c r="BO106" s="226"/>
      <c r="BP106" s="226"/>
      <c r="BQ106" s="226"/>
      <c r="BR106" s="226"/>
      <c r="BS106" s="226"/>
      <c r="BT106" s="226"/>
      <c r="BU106" s="226"/>
      <c r="BV106" s="226"/>
      <c r="BW106" s="226"/>
      <c r="BX106" s="226"/>
      <c r="BY106" s="311"/>
      <c r="BZ106" s="226"/>
      <c r="CA106" s="226"/>
      <c r="CB106" s="226"/>
      <c r="CC106" s="226"/>
    </row>
    <row r="107" spans="1:81" hidden="1">
      <c r="A107" s="226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  <c r="CA107" s="226"/>
      <c r="CB107" s="226"/>
      <c r="CC107" s="226"/>
    </row>
    <row r="108" spans="1:81" ht="17" hidden="1">
      <c r="A108" s="226"/>
      <c r="B108" s="226"/>
      <c r="C108" s="314" t="s">
        <v>340</v>
      </c>
      <c r="D108" s="794"/>
      <c r="E108" s="767"/>
      <c r="F108" s="767"/>
      <c r="G108" s="767"/>
      <c r="H108" s="767"/>
      <c r="I108" s="767"/>
      <c r="J108" s="767"/>
      <c r="K108" s="767"/>
      <c r="L108" s="767"/>
      <c r="M108" s="767"/>
      <c r="N108" s="767"/>
      <c r="O108" s="767"/>
      <c r="P108" s="767"/>
      <c r="Q108" s="767"/>
      <c r="R108" s="767"/>
      <c r="S108" s="767"/>
      <c r="T108" s="767"/>
      <c r="U108" s="767"/>
      <c r="V108" s="767"/>
      <c r="W108" s="767"/>
      <c r="X108" s="767"/>
      <c r="Y108" s="767"/>
      <c r="Z108" s="767"/>
      <c r="AA108" s="767"/>
      <c r="AB108" s="767"/>
      <c r="AC108" s="767"/>
      <c r="AD108" s="767"/>
      <c r="AE108" s="767"/>
      <c r="AF108" s="767"/>
      <c r="AG108" s="767"/>
      <c r="AH108" s="767"/>
      <c r="AI108" s="767"/>
      <c r="AJ108" s="767"/>
      <c r="AK108" s="767"/>
      <c r="AL108" s="767"/>
      <c r="AM108" s="767"/>
      <c r="AN108" s="767"/>
      <c r="AO108" s="767"/>
      <c r="AP108" s="767"/>
      <c r="AQ108" s="767"/>
      <c r="AR108" s="767"/>
      <c r="AS108" s="767"/>
      <c r="AT108" s="767"/>
      <c r="AU108" s="767"/>
      <c r="AV108" s="767"/>
      <c r="AW108" s="767"/>
      <c r="AX108" s="767"/>
      <c r="AY108" s="767"/>
      <c r="AZ108" s="767"/>
      <c r="BA108" s="767"/>
      <c r="BB108" s="767"/>
      <c r="BC108" s="767"/>
      <c r="BD108" s="767"/>
      <c r="BE108" s="767"/>
      <c r="BF108" s="767"/>
      <c r="BG108" s="767"/>
      <c r="BH108" s="767"/>
      <c r="BI108" s="767"/>
      <c r="BJ108" s="767"/>
      <c r="BK108" s="767"/>
      <c r="BL108" s="767"/>
      <c r="BM108" s="767"/>
      <c r="BN108" s="767"/>
      <c r="BO108" s="767"/>
      <c r="BP108" s="767"/>
      <c r="BQ108" s="767"/>
      <c r="BR108" s="767"/>
      <c r="BS108" s="767"/>
      <c r="BT108" s="767"/>
      <c r="BU108" s="767"/>
      <c r="BV108" s="767"/>
      <c r="BW108" s="768"/>
      <c r="BX108" s="319" t="e">
        <f>BX100*C109</f>
        <v>#REF!</v>
      </c>
      <c r="BY108" s="311"/>
      <c r="BZ108" s="226"/>
      <c r="CA108" s="226"/>
      <c r="CB108" s="226"/>
      <c r="CC108" s="226"/>
    </row>
    <row r="109" spans="1:81" ht="19" hidden="1">
      <c r="A109" s="226"/>
      <c r="B109" s="226"/>
      <c r="C109" s="320">
        <v>0.2</v>
      </c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26"/>
      <c r="X109" s="226"/>
      <c r="Y109" s="226"/>
      <c r="Z109" s="226"/>
      <c r="AA109" s="226"/>
      <c r="AB109" s="226"/>
      <c r="AC109" s="226"/>
      <c r="AD109" s="226"/>
      <c r="AE109" s="226"/>
      <c r="AF109" s="226"/>
      <c r="AG109" s="226"/>
      <c r="AH109" s="226"/>
      <c r="AI109" s="226"/>
      <c r="AJ109" s="226"/>
      <c r="AK109" s="226"/>
      <c r="AL109" s="226"/>
      <c r="AM109" s="226"/>
      <c r="AN109" s="226"/>
      <c r="AO109" s="226"/>
      <c r="AP109" s="226"/>
      <c r="AQ109" s="226"/>
      <c r="AR109" s="226"/>
      <c r="AS109" s="226"/>
      <c r="AT109" s="226"/>
      <c r="AU109" s="226"/>
      <c r="AV109" s="226"/>
      <c r="AW109" s="226"/>
      <c r="AX109" s="226"/>
      <c r="AY109" s="226"/>
      <c r="AZ109" s="226"/>
      <c r="BA109" s="226"/>
      <c r="BB109" s="226"/>
      <c r="BC109" s="226"/>
      <c r="BD109" s="226"/>
      <c r="BE109" s="226"/>
      <c r="BF109" s="226"/>
      <c r="BG109" s="226"/>
      <c r="BH109" s="226"/>
      <c r="BI109" s="226"/>
      <c r="BJ109" s="226"/>
      <c r="BK109" s="226"/>
      <c r="BL109" s="226"/>
      <c r="BM109" s="226"/>
      <c r="BN109" s="226"/>
      <c r="BO109" s="226"/>
      <c r="BP109" s="226"/>
      <c r="BQ109" s="226"/>
      <c r="BR109" s="226"/>
      <c r="BS109" s="226"/>
      <c r="BT109" s="226"/>
      <c r="BU109" s="226"/>
      <c r="BV109" s="226"/>
      <c r="BW109" s="226"/>
      <c r="BX109" s="226"/>
      <c r="BY109" s="311"/>
      <c r="BZ109" s="226"/>
      <c r="CA109" s="226"/>
      <c r="CB109" s="226"/>
      <c r="CC109" s="226"/>
    </row>
    <row r="110" spans="1:81" hidden="1">
      <c r="A110" s="226"/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6"/>
      <c r="BF110" s="226"/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6"/>
      <c r="BQ110" s="226"/>
      <c r="BR110" s="226"/>
      <c r="BS110" s="226"/>
      <c r="BT110" s="226"/>
      <c r="BU110" s="226"/>
      <c r="BV110" s="226"/>
      <c r="BW110" s="226"/>
      <c r="BX110" s="226"/>
      <c r="BY110" s="311"/>
      <c r="BZ110" s="226"/>
      <c r="CA110" s="226"/>
      <c r="CB110" s="226"/>
      <c r="CC110" s="226"/>
    </row>
    <row r="111" spans="1:81" hidden="1">
      <c r="A111" s="226"/>
      <c r="B111" s="226"/>
      <c r="C111" s="321"/>
      <c r="D111" s="321"/>
      <c r="E111" s="321"/>
      <c r="F111" s="321"/>
      <c r="G111" s="321"/>
      <c r="H111" s="321"/>
      <c r="I111" s="321"/>
      <c r="J111" s="321"/>
      <c r="K111" s="321"/>
      <c r="L111" s="321"/>
      <c r="M111" s="321"/>
      <c r="N111" s="321"/>
      <c r="O111" s="321"/>
      <c r="P111" s="321"/>
      <c r="Q111" s="321"/>
      <c r="R111" s="321"/>
      <c r="S111" s="321"/>
      <c r="T111" s="321"/>
      <c r="U111" s="321"/>
      <c r="V111" s="321"/>
      <c r="W111" s="321"/>
      <c r="X111" s="321"/>
      <c r="Y111" s="321"/>
      <c r="Z111" s="321"/>
      <c r="AA111" s="321"/>
      <c r="AB111" s="321"/>
      <c r="AC111" s="321"/>
      <c r="AD111" s="321"/>
      <c r="AE111" s="321"/>
      <c r="AF111" s="321"/>
      <c r="AG111" s="321"/>
      <c r="AH111" s="321"/>
      <c r="AI111" s="321"/>
      <c r="AJ111" s="321"/>
      <c r="AK111" s="321"/>
      <c r="AL111" s="321"/>
      <c r="AM111" s="321"/>
      <c r="AN111" s="321"/>
      <c r="AO111" s="321"/>
      <c r="AP111" s="321"/>
      <c r="AQ111" s="321"/>
      <c r="AR111" s="321"/>
      <c r="AS111" s="321"/>
      <c r="AT111" s="321"/>
      <c r="AU111" s="321"/>
      <c r="AV111" s="321"/>
      <c r="AW111" s="321"/>
      <c r="AX111" s="321"/>
      <c r="AY111" s="321"/>
      <c r="AZ111" s="321"/>
      <c r="BA111" s="321"/>
      <c r="BB111" s="321"/>
      <c r="BC111" s="321"/>
      <c r="BD111" s="321"/>
      <c r="BE111" s="321"/>
      <c r="BF111" s="321"/>
      <c r="BG111" s="321"/>
      <c r="BH111" s="321"/>
      <c r="BI111" s="321"/>
      <c r="BJ111" s="321"/>
      <c r="BK111" s="321"/>
      <c r="BL111" s="321"/>
      <c r="BM111" s="226"/>
      <c r="BN111" s="226"/>
      <c r="BO111" s="226"/>
      <c r="BP111" s="226"/>
      <c r="BQ111" s="226"/>
      <c r="BR111" s="226"/>
      <c r="BS111" s="226"/>
      <c r="BT111" s="226"/>
      <c r="BU111" s="226"/>
      <c r="BV111" s="226"/>
      <c r="BW111" s="226"/>
      <c r="BX111" s="226"/>
      <c r="BY111" s="226"/>
      <c r="BZ111" s="226"/>
      <c r="CA111" s="226"/>
      <c r="CB111" s="226"/>
      <c r="CC111" s="226"/>
    </row>
    <row r="112" spans="1:81" hidden="1">
      <c r="A112" s="226"/>
      <c r="B112" s="322"/>
      <c r="C112" s="314" t="s">
        <v>341</v>
      </c>
      <c r="D112" s="315"/>
      <c r="E112" s="316">
        <f t="shared" ref="E112:BM112" si="36">-(E5+E6+E91+E92)</f>
        <v>0</v>
      </c>
      <c r="F112" s="316">
        <f t="shared" si="36"/>
        <v>0</v>
      </c>
      <c r="G112" s="316">
        <f t="shared" si="36"/>
        <v>0</v>
      </c>
      <c r="H112" s="316">
        <f t="shared" si="36"/>
        <v>-16365002</v>
      </c>
      <c r="I112" s="316">
        <f t="shared" si="36"/>
        <v>0</v>
      </c>
      <c r="J112" s="316">
        <f t="shared" si="36"/>
        <v>-7870667</v>
      </c>
      <c r="K112" s="316">
        <f t="shared" si="36"/>
        <v>0</v>
      </c>
      <c r="L112" s="316">
        <f t="shared" si="36"/>
        <v>0</v>
      </c>
      <c r="M112" s="316">
        <f t="shared" si="36"/>
        <v>0</v>
      </c>
      <c r="N112" s="316">
        <f t="shared" si="36"/>
        <v>0</v>
      </c>
      <c r="O112" s="316">
        <f t="shared" si="36"/>
        <v>0</v>
      </c>
      <c r="P112" s="316">
        <f t="shared" si="36"/>
        <v>0</v>
      </c>
      <c r="Q112" s="316">
        <f t="shared" si="36"/>
        <v>0</v>
      </c>
      <c r="R112" s="316">
        <f t="shared" si="36"/>
        <v>0</v>
      </c>
      <c r="S112" s="316">
        <f t="shared" si="36"/>
        <v>0</v>
      </c>
      <c r="T112" s="316">
        <f t="shared" si="36"/>
        <v>24235669</v>
      </c>
      <c r="U112" s="316">
        <f t="shared" si="36"/>
        <v>0</v>
      </c>
      <c r="V112" s="316">
        <f t="shared" si="36"/>
        <v>0</v>
      </c>
      <c r="W112" s="316">
        <f t="shared" si="36"/>
        <v>0</v>
      </c>
      <c r="X112" s="316">
        <f t="shared" si="36"/>
        <v>0</v>
      </c>
      <c r="Y112" s="316">
        <f t="shared" si="36"/>
        <v>0</v>
      </c>
      <c r="Z112" s="316">
        <f t="shared" si="36"/>
        <v>0</v>
      </c>
      <c r="AA112" s="316">
        <f t="shared" si="36"/>
        <v>0</v>
      </c>
      <c r="AB112" s="316">
        <f t="shared" si="36"/>
        <v>0</v>
      </c>
      <c r="AC112" s="316">
        <f t="shared" si="36"/>
        <v>0</v>
      </c>
      <c r="AD112" s="316">
        <f t="shared" si="36"/>
        <v>0</v>
      </c>
      <c r="AE112" s="316">
        <f t="shared" si="36"/>
        <v>0</v>
      </c>
      <c r="AF112" s="316">
        <f t="shared" si="36"/>
        <v>0</v>
      </c>
      <c r="AG112" s="316">
        <f t="shared" si="36"/>
        <v>0</v>
      </c>
      <c r="AH112" s="316">
        <f t="shared" si="36"/>
        <v>0</v>
      </c>
      <c r="AI112" s="316">
        <f t="shared" si="36"/>
        <v>0</v>
      </c>
      <c r="AJ112" s="316">
        <f t="shared" si="36"/>
        <v>0</v>
      </c>
      <c r="AK112" s="316">
        <f t="shared" si="36"/>
        <v>0</v>
      </c>
      <c r="AL112" s="316">
        <f t="shared" si="36"/>
        <v>0</v>
      </c>
      <c r="AM112" s="316">
        <f t="shared" si="36"/>
        <v>0</v>
      </c>
      <c r="AN112" s="316">
        <f t="shared" si="36"/>
        <v>0</v>
      </c>
      <c r="AO112" s="316">
        <f t="shared" si="36"/>
        <v>0</v>
      </c>
      <c r="AP112" s="316">
        <f t="shared" si="36"/>
        <v>0</v>
      </c>
      <c r="AQ112" s="316">
        <f t="shared" si="36"/>
        <v>0</v>
      </c>
      <c r="AR112" s="316">
        <f t="shared" si="36"/>
        <v>0</v>
      </c>
      <c r="AS112" s="316">
        <f t="shared" si="36"/>
        <v>0</v>
      </c>
      <c r="AT112" s="316">
        <f t="shared" si="36"/>
        <v>0</v>
      </c>
      <c r="AU112" s="316">
        <f t="shared" si="36"/>
        <v>0</v>
      </c>
      <c r="AV112" s="316">
        <f t="shared" si="36"/>
        <v>0</v>
      </c>
      <c r="AW112" s="316">
        <f t="shared" si="36"/>
        <v>0</v>
      </c>
      <c r="AX112" s="316">
        <f t="shared" si="36"/>
        <v>0</v>
      </c>
      <c r="AY112" s="316">
        <f t="shared" si="36"/>
        <v>0</v>
      </c>
      <c r="AZ112" s="316">
        <f t="shared" si="36"/>
        <v>0</v>
      </c>
      <c r="BA112" s="316">
        <f t="shared" si="36"/>
        <v>0</v>
      </c>
      <c r="BB112" s="316">
        <f t="shared" si="36"/>
        <v>0</v>
      </c>
      <c r="BC112" s="316">
        <f t="shared" si="36"/>
        <v>0</v>
      </c>
      <c r="BD112" s="316">
        <f t="shared" si="36"/>
        <v>0</v>
      </c>
      <c r="BE112" s="316">
        <f t="shared" si="36"/>
        <v>0</v>
      </c>
      <c r="BF112" s="316">
        <f t="shared" si="36"/>
        <v>0</v>
      </c>
      <c r="BG112" s="316">
        <f t="shared" si="36"/>
        <v>0</v>
      </c>
      <c r="BH112" s="316">
        <f t="shared" si="36"/>
        <v>0</v>
      </c>
      <c r="BI112" s="316">
        <f t="shared" si="36"/>
        <v>0</v>
      </c>
      <c r="BJ112" s="316">
        <f t="shared" si="36"/>
        <v>0</v>
      </c>
      <c r="BK112" s="316">
        <f t="shared" si="36"/>
        <v>0</v>
      </c>
      <c r="BL112" s="316">
        <f t="shared" si="36"/>
        <v>0</v>
      </c>
      <c r="BM112" s="316">
        <f t="shared" si="36"/>
        <v>0</v>
      </c>
      <c r="BN112" s="316">
        <f t="shared" ref="BN112:BX112" si="37">-(BN5+BN91)</f>
        <v>0</v>
      </c>
      <c r="BO112" s="316">
        <f t="shared" si="37"/>
        <v>0</v>
      </c>
      <c r="BP112" s="316">
        <f t="shared" si="37"/>
        <v>0</v>
      </c>
      <c r="BQ112" s="316">
        <f t="shared" si="37"/>
        <v>0</v>
      </c>
      <c r="BR112" s="316">
        <f t="shared" si="37"/>
        <v>0</v>
      </c>
      <c r="BS112" s="316">
        <f t="shared" si="37"/>
        <v>0</v>
      </c>
      <c r="BT112" s="316">
        <f t="shared" si="37"/>
        <v>0</v>
      </c>
      <c r="BU112" s="316">
        <f t="shared" si="37"/>
        <v>0</v>
      </c>
      <c r="BV112" s="316">
        <f t="shared" si="37"/>
        <v>0</v>
      </c>
      <c r="BW112" s="316">
        <f t="shared" si="37"/>
        <v>0</v>
      </c>
      <c r="BX112" s="316">
        <f t="shared" si="37"/>
        <v>0</v>
      </c>
      <c r="BY112" s="226"/>
      <c r="BZ112" s="226"/>
      <c r="CA112" s="226"/>
      <c r="CB112" s="226"/>
      <c r="CC112" s="226"/>
    </row>
    <row r="113" spans="3:76" hidden="1">
      <c r="C113" s="314" t="s">
        <v>342</v>
      </c>
      <c r="D113" s="323"/>
      <c r="E113" s="315"/>
      <c r="F113" s="315"/>
      <c r="G113" s="315"/>
      <c r="H113" s="315">
        <f>-8333333</f>
        <v>-8333333</v>
      </c>
      <c r="I113" s="315"/>
      <c r="J113" s="315"/>
      <c r="K113" s="315"/>
      <c r="L113" s="315"/>
      <c r="M113" s="315"/>
      <c r="N113" s="315"/>
      <c r="O113" s="315"/>
      <c r="P113" s="315"/>
      <c r="Q113" s="315"/>
      <c r="R113" s="315"/>
      <c r="S113" s="315"/>
      <c r="T113" s="315"/>
      <c r="U113" s="315"/>
      <c r="V113" s="315"/>
      <c r="W113" s="315"/>
      <c r="X113" s="315"/>
      <c r="Y113" s="315"/>
      <c r="Z113" s="315"/>
      <c r="AA113" s="315"/>
      <c r="AB113" s="315"/>
      <c r="AC113" s="315"/>
      <c r="AD113" s="315"/>
      <c r="AE113" s="315"/>
      <c r="AF113" s="315"/>
      <c r="AG113" s="315"/>
      <c r="AH113" s="315"/>
      <c r="AI113" s="315"/>
      <c r="AJ113" s="315"/>
      <c r="AK113" s="315"/>
      <c r="AL113" s="315"/>
      <c r="AM113" s="315"/>
      <c r="AN113" s="315"/>
      <c r="AO113" s="315"/>
      <c r="AP113" s="315"/>
      <c r="AQ113" s="315"/>
      <c r="AR113" s="315"/>
      <c r="AS113" s="315"/>
      <c r="AT113" s="315"/>
      <c r="AU113" s="315"/>
      <c r="AV113" s="315"/>
      <c r="AW113" s="315"/>
      <c r="AX113" s="315"/>
      <c r="AY113" s="315"/>
      <c r="AZ113" s="315"/>
      <c r="BA113" s="315"/>
      <c r="BB113" s="315"/>
      <c r="BC113" s="315"/>
      <c r="BD113" s="315"/>
      <c r="BE113" s="315"/>
      <c r="BF113" s="315"/>
      <c r="BG113" s="315"/>
      <c r="BH113" s="315"/>
      <c r="BI113" s="315"/>
      <c r="BJ113" s="315"/>
      <c r="BK113" s="315"/>
      <c r="BL113" s="315"/>
      <c r="BM113" s="315"/>
      <c r="BN113" s="315"/>
      <c r="BO113" s="315"/>
      <c r="BP113" s="315"/>
      <c r="BQ113" s="315"/>
      <c r="BR113" s="315"/>
      <c r="BS113" s="315"/>
      <c r="BT113" s="315"/>
      <c r="BU113" s="315"/>
      <c r="BV113" s="315"/>
      <c r="BW113" s="315"/>
      <c r="BX113" s="315"/>
    </row>
    <row r="114" spans="3:76" hidden="1">
      <c r="C114" s="314" t="s">
        <v>343</v>
      </c>
      <c r="D114" s="323"/>
      <c r="E114" s="315">
        <f t="shared" ref="E114:S114" si="38">-E56</f>
        <v>0</v>
      </c>
      <c r="F114" s="315">
        <f t="shared" si="38"/>
        <v>0</v>
      </c>
      <c r="G114" s="315">
        <f t="shared" si="38"/>
        <v>0</v>
      </c>
      <c r="H114" s="315">
        <f t="shared" si="38"/>
        <v>0</v>
      </c>
      <c r="I114" s="315">
        <f t="shared" si="38"/>
        <v>0</v>
      </c>
      <c r="J114" s="315">
        <f t="shared" si="38"/>
        <v>0</v>
      </c>
      <c r="K114" s="315">
        <f t="shared" si="38"/>
        <v>0</v>
      </c>
      <c r="L114" s="315">
        <f t="shared" si="38"/>
        <v>0</v>
      </c>
      <c r="M114" s="315">
        <f t="shared" si="38"/>
        <v>0</v>
      </c>
      <c r="N114" s="315">
        <f t="shared" si="38"/>
        <v>0</v>
      </c>
      <c r="O114" s="315">
        <f t="shared" si="38"/>
        <v>0</v>
      </c>
      <c r="P114" s="315">
        <f t="shared" si="38"/>
        <v>0</v>
      </c>
      <c r="Q114" s="315">
        <f t="shared" si="38"/>
        <v>0</v>
      </c>
      <c r="R114" s="315">
        <f t="shared" si="38"/>
        <v>0</v>
      </c>
      <c r="S114" s="315">
        <f t="shared" si="38"/>
        <v>0</v>
      </c>
      <c r="T114" s="315" t="e">
        <f>-T56-T57</f>
        <v>#REF!</v>
      </c>
      <c r="U114" s="315">
        <f t="shared" ref="U114:BX114" si="39">-U56</f>
        <v>0</v>
      </c>
      <c r="V114" s="315">
        <f t="shared" si="39"/>
        <v>0</v>
      </c>
      <c r="W114" s="315">
        <f t="shared" si="39"/>
        <v>0</v>
      </c>
      <c r="X114" s="315">
        <f t="shared" si="39"/>
        <v>0</v>
      </c>
      <c r="Y114" s="315">
        <f t="shared" si="39"/>
        <v>0</v>
      </c>
      <c r="Z114" s="315">
        <f t="shared" si="39"/>
        <v>0</v>
      </c>
      <c r="AA114" s="315">
        <f t="shared" si="39"/>
        <v>0</v>
      </c>
      <c r="AB114" s="315">
        <f t="shared" si="39"/>
        <v>0</v>
      </c>
      <c r="AC114" s="315">
        <f t="shared" si="39"/>
        <v>0</v>
      </c>
      <c r="AD114" s="315">
        <f t="shared" si="39"/>
        <v>0</v>
      </c>
      <c r="AE114" s="315">
        <f t="shared" si="39"/>
        <v>0</v>
      </c>
      <c r="AF114" s="315">
        <f t="shared" si="39"/>
        <v>0</v>
      </c>
      <c r="AG114" s="315">
        <f t="shared" si="39"/>
        <v>0</v>
      </c>
      <c r="AH114" s="315">
        <f t="shared" si="39"/>
        <v>0</v>
      </c>
      <c r="AI114" s="315">
        <f t="shared" si="39"/>
        <v>0</v>
      </c>
      <c r="AJ114" s="315">
        <f t="shared" si="39"/>
        <v>0</v>
      </c>
      <c r="AK114" s="315">
        <f t="shared" si="39"/>
        <v>0</v>
      </c>
      <c r="AL114" s="315">
        <f t="shared" si="39"/>
        <v>0</v>
      </c>
      <c r="AM114" s="315">
        <f t="shared" si="39"/>
        <v>0</v>
      </c>
      <c r="AN114" s="315">
        <f t="shared" si="39"/>
        <v>0</v>
      </c>
      <c r="AO114" s="315">
        <f t="shared" si="39"/>
        <v>0</v>
      </c>
      <c r="AP114" s="315">
        <f t="shared" si="39"/>
        <v>0</v>
      </c>
      <c r="AQ114" s="315">
        <f t="shared" si="39"/>
        <v>0</v>
      </c>
      <c r="AR114" s="315">
        <f t="shared" si="39"/>
        <v>0</v>
      </c>
      <c r="AS114" s="315">
        <f t="shared" si="39"/>
        <v>0</v>
      </c>
      <c r="AT114" s="315">
        <f t="shared" si="39"/>
        <v>0</v>
      </c>
      <c r="AU114" s="315">
        <f t="shared" si="39"/>
        <v>0</v>
      </c>
      <c r="AV114" s="315">
        <f t="shared" si="39"/>
        <v>0</v>
      </c>
      <c r="AW114" s="315">
        <f t="shared" si="39"/>
        <v>0</v>
      </c>
      <c r="AX114" s="315">
        <f t="shared" si="39"/>
        <v>0</v>
      </c>
      <c r="AY114" s="315">
        <f t="shared" si="39"/>
        <v>0</v>
      </c>
      <c r="AZ114" s="315">
        <f t="shared" si="39"/>
        <v>0</v>
      </c>
      <c r="BA114" s="315">
        <f t="shared" si="39"/>
        <v>0</v>
      </c>
      <c r="BB114" s="315">
        <f t="shared" si="39"/>
        <v>0</v>
      </c>
      <c r="BC114" s="315">
        <f t="shared" si="39"/>
        <v>0</v>
      </c>
      <c r="BD114" s="315">
        <f t="shared" si="39"/>
        <v>0</v>
      </c>
      <c r="BE114" s="315">
        <f t="shared" si="39"/>
        <v>0</v>
      </c>
      <c r="BF114" s="315">
        <f t="shared" si="39"/>
        <v>0</v>
      </c>
      <c r="BG114" s="315">
        <f t="shared" si="39"/>
        <v>0</v>
      </c>
      <c r="BH114" s="315">
        <f t="shared" si="39"/>
        <v>0</v>
      </c>
      <c r="BI114" s="315">
        <f t="shared" si="39"/>
        <v>0</v>
      </c>
      <c r="BJ114" s="315">
        <f t="shared" si="39"/>
        <v>0</v>
      </c>
      <c r="BK114" s="315">
        <f t="shared" si="39"/>
        <v>0</v>
      </c>
      <c r="BL114" s="315">
        <f t="shared" si="39"/>
        <v>0</v>
      </c>
      <c r="BM114" s="315">
        <f t="shared" si="39"/>
        <v>0</v>
      </c>
      <c r="BN114" s="315">
        <f t="shared" si="39"/>
        <v>0</v>
      </c>
      <c r="BO114" s="315">
        <f t="shared" si="39"/>
        <v>0</v>
      </c>
      <c r="BP114" s="315">
        <f t="shared" si="39"/>
        <v>0</v>
      </c>
      <c r="BQ114" s="315">
        <f t="shared" si="39"/>
        <v>0</v>
      </c>
      <c r="BR114" s="315">
        <f t="shared" si="39"/>
        <v>0</v>
      </c>
      <c r="BS114" s="315">
        <f t="shared" si="39"/>
        <v>0</v>
      </c>
      <c r="BT114" s="315">
        <f t="shared" si="39"/>
        <v>0</v>
      </c>
      <c r="BU114" s="315">
        <f t="shared" si="39"/>
        <v>0</v>
      </c>
      <c r="BV114" s="315">
        <f t="shared" si="39"/>
        <v>0</v>
      </c>
      <c r="BW114" s="315">
        <f t="shared" si="39"/>
        <v>0</v>
      </c>
      <c r="BX114" s="315">
        <f t="shared" si="39"/>
        <v>0</v>
      </c>
    </row>
    <row r="115" spans="3:76" hidden="1">
      <c r="C115" s="314" t="s">
        <v>344</v>
      </c>
      <c r="D115" s="323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15"/>
      <c r="AH115" s="315"/>
      <c r="AI115" s="315"/>
      <c r="AJ115" s="315"/>
      <c r="AK115" s="315"/>
      <c r="AL115" s="315"/>
      <c r="AM115" s="315"/>
      <c r="AN115" s="315"/>
      <c r="AO115" s="315"/>
      <c r="AP115" s="315"/>
      <c r="AQ115" s="315"/>
      <c r="AR115" s="315"/>
      <c r="AS115" s="315"/>
      <c r="AT115" s="315"/>
      <c r="AU115" s="315"/>
      <c r="AV115" s="315"/>
      <c r="AW115" s="315"/>
      <c r="AX115" s="315"/>
      <c r="AY115" s="315"/>
      <c r="AZ115" s="315"/>
      <c r="BA115" s="315"/>
      <c r="BB115" s="315"/>
      <c r="BC115" s="315"/>
      <c r="BD115" s="315"/>
      <c r="BE115" s="315"/>
      <c r="BF115" s="315"/>
      <c r="BG115" s="315"/>
      <c r="BH115" s="315"/>
      <c r="BI115" s="315"/>
      <c r="BJ115" s="315"/>
      <c r="BK115" s="315"/>
      <c r="BL115" s="315"/>
      <c r="BM115" s="315"/>
      <c r="BN115" s="315"/>
      <c r="BO115" s="315"/>
      <c r="BP115" s="315"/>
      <c r="BQ115" s="315"/>
      <c r="BR115" s="315"/>
      <c r="BS115" s="315"/>
      <c r="BT115" s="315"/>
      <c r="BU115" s="315"/>
      <c r="BV115" s="315"/>
      <c r="BW115" s="315"/>
      <c r="BX115" s="315" t="e">
        <f>IF(D105&gt;0.25,(BX100-BX108)*D117,BX100*D117)</f>
        <v>#VALUE!</v>
      </c>
    </row>
    <row r="116" spans="3:76" hidden="1">
      <c r="C116" s="314" t="s">
        <v>340</v>
      </c>
      <c r="D116" s="323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15"/>
      <c r="AH116" s="315"/>
      <c r="AI116" s="315"/>
      <c r="AJ116" s="315"/>
      <c r="AK116" s="315"/>
      <c r="AL116" s="315"/>
      <c r="AM116" s="315"/>
      <c r="AN116" s="315"/>
      <c r="AO116" s="315"/>
      <c r="AP116" s="315"/>
      <c r="AQ116" s="315"/>
      <c r="AR116" s="315"/>
      <c r="AS116" s="315"/>
      <c r="AT116" s="315"/>
      <c r="AU116" s="315"/>
      <c r="AV116" s="315"/>
      <c r="AW116" s="315"/>
      <c r="AX116" s="315"/>
      <c r="AY116" s="315"/>
      <c r="AZ116" s="315"/>
      <c r="BA116" s="315"/>
      <c r="BB116" s="315"/>
      <c r="BC116" s="315"/>
      <c r="BD116" s="315"/>
      <c r="BE116" s="315"/>
      <c r="BF116" s="315"/>
      <c r="BG116" s="315"/>
      <c r="BH116" s="315"/>
      <c r="BI116" s="315"/>
      <c r="BJ116" s="315"/>
      <c r="BK116" s="315"/>
      <c r="BL116" s="315"/>
      <c r="BM116" s="315"/>
      <c r="BN116" s="315"/>
      <c r="BO116" s="315"/>
      <c r="BP116" s="315"/>
      <c r="BQ116" s="315"/>
      <c r="BR116" s="315"/>
      <c r="BS116" s="315"/>
      <c r="BT116" s="315"/>
      <c r="BU116" s="315"/>
      <c r="BV116" s="315"/>
      <c r="BW116" s="315"/>
      <c r="BX116" s="315" t="e">
        <f>IF(D105&gt;0.25,BX108,0)</f>
        <v>#VALUE!</v>
      </c>
    </row>
    <row r="117" spans="3:76" hidden="1">
      <c r="C117" s="317" t="s">
        <v>345</v>
      </c>
      <c r="D117" s="323">
        <v>1</v>
      </c>
      <c r="E117" s="246"/>
      <c r="F117" s="246"/>
      <c r="G117" s="246"/>
      <c r="H117" s="246"/>
      <c r="I117" s="246"/>
      <c r="J117" s="246"/>
      <c r="K117" s="246"/>
      <c r="L117" s="246"/>
      <c r="M117" s="246"/>
      <c r="N117" s="246"/>
      <c r="O117" s="246"/>
      <c r="P117" s="246"/>
      <c r="Q117" s="246"/>
      <c r="R117" s="246"/>
      <c r="S117" s="246"/>
      <c r="T117" s="246" t="e">
        <f>T100</f>
        <v>#REF!</v>
      </c>
      <c r="U117" s="246"/>
      <c r="V117" s="246"/>
      <c r="W117" s="246"/>
      <c r="X117" s="246"/>
      <c r="Y117" s="246"/>
      <c r="Z117" s="246"/>
      <c r="AA117" s="246"/>
      <c r="AB117" s="246"/>
      <c r="AC117" s="246"/>
      <c r="AD117" s="246"/>
      <c r="AE117" s="246"/>
      <c r="AF117" s="246"/>
      <c r="AG117" s="246"/>
      <c r="AH117" s="246"/>
      <c r="AI117" s="246"/>
      <c r="AJ117" s="246"/>
      <c r="AK117" s="246"/>
      <c r="AL117" s="246"/>
      <c r="AM117" s="246"/>
      <c r="AN117" s="246"/>
      <c r="AO117" s="246"/>
      <c r="AP117" s="246"/>
      <c r="AQ117" s="246"/>
      <c r="AR117" s="246"/>
      <c r="AS117" s="246"/>
      <c r="AT117" s="246"/>
      <c r="AU117" s="246"/>
      <c r="AV117" s="246"/>
      <c r="AW117" s="246"/>
      <c r="AX117" s="246"/>
      <c r="AY117" s="246"/>
      <c r="AZ117" s="246"/>
      <c r="BA117" s="246"/>
      <c r="BB117" s="246"/>
      <c r="BC117" s="324"/>
      <c r="BD117" s="246"/>
      <c r="BE117" s="246"/>
      <c r="BF117" s="246"/>
      <c r="BG117" s="246"/>
      <c r="BH117" s="246"/>
      <c r="BI117" s="246"/>
      <c r="BJ117" s="246"/>
      <c r="BK117" s="246"/>
      <c r="BL117" s="246"/>
      <c r="BM117" s="246"/>
      <c r="BN117" s="246"/>
      <c r="BO117" s="246"/>
      <c r="BP117" s="246"/>
      <c r="BQ117" s="246"/>
      <c r="BR117" s="246"/>
      <c r="BS117" s="246"/>
      <c r="BT117" s="246"/>
      <c r="BU117" s="246"/>
      <c r="BV117" s="246"/>
      <c r="BW117" s="246"/>
      <c r="BX117" s="246"/>
    </row>
    <row r="118" spans="3:76" hidden="1">
      <c r="C118" s="314" t="s">
        <v>346</v>
      </c>
      <c r="D118" s="318"/>
      <c r="E118" s="325">
        <f t="shared" ref="E118:BW118" si="40">E112+E113+E114+E115+E117</f>
        <v>0</v>
      </c>
      <c r="F118" s="325">
        <f t="shared" si="40"/>
        <v>0</v>
      </c>
      <c r="G118" s="325">
        <f t="shared" si="40"/>
        <v>0</v>
      </c>
      <c r="H118" s="325">
        <f t="shared" si="40"/>
        <v>-24698335</v>
      </c>
      <c r="I118" s="325">
        <f t="shared" si="40"/>
        <v>0</v>
      </c>
      <c r="J118" s="325">
        <f t="shared" si="40"/>
        <v>-7870667</v>
      </c>
      <c r="K118" s="325">
        <f t="shared" si="40"/>
        <v>0</v>
      </c>
      <c r="L118" s="325">
        <f t="shared" si="40"/>
        <v>0</v>
      </c>
      <c r="M118" s="325">
        <f t="shared" si="40"/>
        <v>0</v>
      </c>
      <c r="N118" s="325">
        <f t="shared" si="40"/>
        <v>0</v>
      </c>
      <c r="O118" s="325">
        <f t="shared" si="40"/>
        <v>0</v>
      </c>
      <c r="P118" s="325">
        <f t="shared" si="40"/>
        <v>0</v>
      </c>
      <c r="Q118" s="325">
        <f t="shared" si="40"/>
        <v>0</v>
      </c>
      <c r="R118" s="325">
        <f t="shared" si="40"/>
        <v>0</v>
      </c>
      <c r="S118" s="325">
        <f t="shared" si="40"/>
        <v>0</v>
      </c>
      <c r="T118" s="325" t="e">
        <f t="shared" si="40"/>
        <v>#REF!</v>
      </c>
      <c r="U118" s="325">
        <f t="shared" si="40"/>
        <v>0</v>
      </c>
      <c r="V118" s="325">
        <f t="shared" si="40"/>
        <v>0</v>
      </c>
      <c r="W118" s="325">
        <f t="shared" si="40"/>
        <v>0</v>
      </c>
      <c r="X118" s="325">
        <f t="shared" si="40"/>
        <v>0</v>
      </c>
      <c r="Y118" s="325">
        <f t="shared" si="40"/>
        <v>0</v>
      </c>
      <c r="Z118" s="325">
        <f t="shared" si="40"/>
        <v>0</v>
      </c>
      <c r="AA118" s="325">
        <f t="shared" si="40"/>
        <v>0</v>
      </c>
      <c r="AB118" s="325">
        <f t="shared" si="40"/>
        <v>0</v>
      </c>
      <c r="AC118" s="325">
        <f t="shared" si="40"/>
        <v>0</v>
      </c>
      <c r="AD118" s="325">
        <f t="shared" si="40"/>
        <v>0</v>
      </c>
      <c r="AE118" s="325">
        <f t="shared" si="40"/>
        <v>0</v>
      </c>
      <c r="AF118" s="325">
        <f t="shared" si="40"/>
        <v>0</v>
      </c>
      <c r="AG118" s="325">
        <f t="shared" si="40"/>
        <v>0</v>
      </c>
      <c r="AH118" s="325">
        <f t="shared" si="40"/>
        <v>0</v>
      </c>
      <c r="AI118" s="325">
        <f t="shared" si="40"/>
        <v>0</v>
      </c>
      <c r="AJ118" s="325">
        <f t="shared" si="40"/>
        <v>0</v>
      </c>
      <c r="AK118" s="325">
        <f t="shared" si="40"/>
        <v>0</v>
      </c>
      <c r="AL118" s="325">
        <f t="shared" si="40"/>
        <v>0</v>
      </c>
      <c r="AM118" s="325">
        <f t="shared" si="40"/>
        <v>0</v>
      </c>
      <c r="AN118" s="325">
        <f t="shared" si="40"/>
        <v>0</v>
      </c>
      <c r="AO118" s="325">
        <f t="shared" si="40"/>
        <v>0</v>
      </c>
      <c r="AP118" s="325">
        <f t="shared" si="40"/>
        <v>0</v>
      </c>
      <c r="AQ118" s="325">
        <f t="shared" si="40"/>
        <v>0</v>
      </c>
      <c r="AR118" s="325">
        <f t="shared" si="40"/>
        <v>0</v>
      </c>
      <c r="AS118" s="325">
        <f t="shared" si="40"/>
        <v>0</v>
      </c>
      <c r="AT118" s="325">
        <f t="shared" si="40"/>
        <v>0</v>
      </c>
      <c r="AU118" s="325">
        <f t="shared" si="40"/>
        <v>0</v>
      </c>
      <c r="AV118" s="325">
        <f t="shared" si="40"/>
        <v>0</v>
      </c>
      <c r="AW118" s="325">
        <f t="shared" si="40"/>
        <v>0</v>
      </c>
      <c r="AX118" s="325">
        <f t="shared" si="40"/>
        <v>0</v>
      </c>
      <c r="AY118" s="325">
        <f t="shared" si="40"/>
        <v>0</v>
      </c>
      <c r="AZ118" s="325">
        <f t="shared" si="40"/>
        <v>0</v>
      </c>
      <c r="BA118" s="325">
        <f t="shared" si="40"/>
        <v>0</v>
      </c>
      <c r="BB118" s="325">
        <f t="shared" si="40"/>
        <v>0</v>
      </c>
      <c r="BC118" s="325">
        <f t="shared" si="40"/>
        <v>0</v>
      </c>
      <c r="BD118" s="325">
        <f t="shared" si="40"/>
        <v>0</v>
      </c>
      <c r="BE118" s="325">
        <f t="shared" si="40"/>
        <v>0</v>
      </c>
      <c r="BF118" s="325">
        <f t="shared" si="40"/>
        <v>0</v>
      </c>
      <c r="BG118" s="325">
        <f t="shared" si="40"/>
        <v>0</v>
      </c>
      <c r="BH118" s="325">
        <f t="shared" si="40"/>
        <v>0</v>
      </c>
      <c r="BI118" s="325">
        <f t="shared" si="40"/>
        <v>0</v>
      </c>
      <c r="BJ118" s="325">
        <f t="shared" si="40"/>
        <v>0</v>
      </c>
      <c r="BK118" s="325">
        <f t="shared" si="40"/>
        <v>0</v>
      </c>
      <c r="BL118" s="325">
        <f t="shared" si="40"/>
        <v>0</v>
      </c>
      <c r="BM118" s="325">
        <f t="shared" si="40"/>
        <v>0</v>
      </c>
      <c r="BN118" s="325">
        <f t="shared" si="40"/>
        <v>0</v>
      </c>
      <c r="BO118" s="325">
        <f t="shared" si="40"/>
        <v>0</v>
      </c>
      <c r="BP118" s="325">
        <f t="shared" si="40"/>
        <v>0</v>
      </c>
      <c r="BQ118" s="325">
        <f t="shared" si="40"/>
        <v>0</v>
      </c>
      <c r="BR118" s="325">
        <f t="shared" si="40"/>
        <v>0</v>
      </c>
      <c r="BS118" s="325">
        <f t="shared" si="40"/>
        <v>0</v>
      </c>
      <c r="BT118" s="325">
        <f t="shared" si="40"/>
        <v>0</v>
      </c>
      <c r="BU118" s="325">
        <f t="shared" si="40"/>
        <v>0</v>
      </c>
      <c r="BV118" s="325">
        <f t="shared" si="40"/>
        <v>0</v>
      </c>
      <c r="BW118" s="325">
        <f t="shared" si="40"/>
        <v>0</v>
      </c>
      <c r="BX118" s="325" t="e">
        <f>BX112+BX113+BX114+BX115+BX116+BX117</f>
        <v>#VALUE!</v>
      </c>
    </row>
    <row r="119" spans="3:76" hidden="1">
      <c r="C119" s="317" t="s">
        <v>339</v>
      </c>
      <c r="D119" s="326" t="e">
        <f>IRR(E118:BX118)*12</f>
        <v>#VALUE!</v>
      </c>
      <c r="E119" s="226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  <c r="AI119" s="226"/>
      <c r="AJ119" s="226"/>
      <c r="AK119" s="226"/>
      <c r="AL119" s="226"/>
      <c r="AM119" s="226"/>
      <c r="AN119" s="226"/>
      <c r="AO119" s="226"/>
      <c r="AP119" s="226"/>
      <c r="AQ119" s="226"/>
      <c r="AR119" s="226"/>
      <c r="AS119" s="226"/>
      <c r="AT119" s="226"/>
      <c r="AU119" s="226"/>
      <c r="AV119" s="226"/>
      <c r="AW119" s="226"/>
      <c r="AX119" s="226"/>
      <c r="AY119" s="226"/>
      <c r="AZ119" s="226"/>
      <c r="BA119" s="226"/>
      <c r="BB119" s="226"/>
      <c r="BC119" s="226"/>
      <c r="BD119" s="226"/>
      <c r="BE119" s="226"/>
      <c r="BF119" s="226"/>
      <c r="BG119" s="226"/>
      <c r="BH119" s="226"/>
      <c r="BI119" s="226"/>
      <c r="BJ119" s="226"/>
      <c r="BK119" s="226"/>
      <c r="BL119" s="226"/>
      <c r="BM119" s="226"/>
      <c r="BN119" s="226"/>
      <c r="BO119" s="226"/>
      <c r="BP119" s="226"/>
      <c r="BQ119" s="226"/>
      <c r="BR119" s="226"/>
      <c r="BS119" s="226"/>
      <c r="BT119" s="226"/>
      <c r="BU119" s="226"/>
      <c r="BV119" s="226"/>
      <c r="BW119" s="226"/>
      <c r="BX119" s="226"/>
    </row>
    <row r="120" spans="3:76" hidden="1">
      <c r="C120" s="327" t="s">
        <v>347</v>
      </c>
      <c r="D120" s="328">
        <f>SUM(BY5:BY6)</f>
        <v>24235669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6"/>
      <c r="BQ120" s="226"/>
      <c r="BR120" s="226"/>
      <c r="BS120" s="226"/>
      <c r="BT120" s="226"/>
      <c r="BU120" s="226"/>
      <c r="BV120" s="226"/>
      <c r="BW120" s="226"/>
      <c r="BX120" s="226"/>
    </row>
    <row r="121" spans="3:76" hidden="1">
      <c r="C121" s="327" t="s">
        <v>348</v>
      </c>
      <c r="D121" s="328">
        <f>-SUM(E113:BM113)</f>
        <v>8333333</v>
      </c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  <c r="BX121" s="226"/>
    </row>
    <row r="122" spans="3:76" hidden="1">
      <c r="C122" s="317" t="s">
        <v>349</v>
      </c>
      <c r="D122" s="329">
        <f>D120+D121</f>
        <v>32569002</v>
      </c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784" t="s">
        <v>625</v>
      </c>
      <c r="T122" s="772"/>
      <c r="U122" s="226"/>
      <c r="V122" s="226">
        <f>T112+5000000+3333333</f>
        <v>32569002</v>
      </c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  <c r="BX122" s="226"/>
    </row>
    <row r="123" spans="3:76" hidden="1">
      <c r="C123" s="317" t="s">
        <v>350</v>
      </c>
      <c r="D123" s="329" t="e">
        <f>T118-D120</f>
        <v>#REF!</v>
      </c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784" t="s">
        <v>626</v>
      </c>
      <c r="T123" s="772"/>
      <c r="U123" s="226"/>
      <c r="V123" s="226">
        <f>V122+11000000</f>
        <v>43569002</v>
      </c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Y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  <c r="BX123" s="226"/>
    </row>
    <row r="124" spans="3:76" hidden="1">
      <c r="C124" s="317" t="s">
        <v>351</v>
      </c>
      <c r="D124" s="326" t="e">
        <f>(D123-D121)/D122</f>
        <v>#REF!</v>
      </c>
      <c r="E124" s="226"/>
      <c r="F124" s="242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226" t="s">
        <v>627</v>
      </c>
      <c r="T124" s="226"/>
      <c r="U124" s="226"/>
      <c r="V124" s="226" t="e">
        <f>T118-V123</f>
        <v>#REF!</v>
      </c>
      <c r="W124" s="226"/>
      <c r="X124" s="226"/>
      <c r="Y124" s="226"/>
      <c r="Z124" s="226"/>
      <c r="AA124" s="226"/>
      <c r="AB124" s="226"/>
      <c r="AC124" s="226"/>
      <c r="AD124" s="226"/>
      <c r="AE124" s="226"/>
      <c r="AF124" s="226"/>
      <c r="AG124" s="226"/>
      <c r="AH124" s="226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AY124" s="226"/>
      <c r="AZ124" s="226"/>
      <c r="BA124" s="226"/>
      <c r="BB124" s="226"/>
      <c r="BC124" s="226"/>
      <c r="BD124" s="226"/>
      <c r="BE124" s="226"/>
      <c r="BF124" s="226"/>
      <c r="BG124" s="226"/>
      <c r="BH124" s="226"/>
      <c r="BI124" s="226"/>
      <c r="BJ124" s="226"/>
      <c r="BK124" s="226"/>
      <c r="BL124" s="226"/>
      <c r="BM124" s="226"/>
      <c r="BN124" s="226"/>
      <c r="BO124" s="226"/>
      <c r="BP124" s="226"/>
      <c r="BQ124" s="226"/>
      <c r="BR124" s="226"/>
      <c r="BS124" s="226"/>
      <c r="BT124" s="226"/>
      <c r="BU124" s="226"/>
      <c r="BV124" s="226"/>
      <c r="BW124" s="226"/>
      <c r="BX124" s="226"/>
    </row>
    <row r="125" spans="3:76" hidden="1">
      <c r="E125" s="226"/>
      <c r="F125" s="226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/>
      <c r="T125" s="226"/>
      <c r="U125" s="226"/>
      <c r="V125" s="242" t="e">
        <f>V124/-J112</f>
        <v>#REF!</v>
      </c>
      <c r="W125" s="226"/>
      <c r="X125" s="226"/>
      <c r="Y125" s="226"/>
      <c r="Z125" s="226"/>
      <c r="AA125" s="226"/>
      <c r="AB125" s="226"/>
      <c r="AC125" s="226"/>
      <c r="AD125" s="226"/>
      <c r="AE125" s="226"/>
      <c r="AF125" s="226"/>
      <c r="AG125" s="226"/>
      <c r="AH125" s="226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AY125" s="226"/>
      <c r="AZ125" s="226"/>
      <c r="BA125" s="226"/>
      <c r="BB125" s="226"/>
      <c r="BC125" s="226"/>
      <c r="BD125" s="226"/>
      <c r="BE125" s="226"/>
      <c r="BF125" s="226"/>
      <c r="BG125" s="226"/>
      <c r="BH125" s="226"/>
      <c r="BI125" s="226"/>
      <c r="BJ125" s="226"/>
      <c r="BK125" s="226"/>
      <c r="BL125" s="226"/>
      <c r="BM125" s="226"/>
      <c r="BN125" s="226"/>
      <c r="BO125" s="226"/>
      <c r="BP125" s="226"/>
      <c r="BQ125" s="226"/>
      <c r="BR125" s="226"/>
      <c r="BS125" s="226"/>
      <c r="BT125" s="226"/>
      <c r="BU125" s="226"/>
      <c r="BV125" s="226"/>
      <c r="BW125" s="226"/>
      <c r="BX125" s="226"/>
    </row>
    <row r="130" spans="3:76" hidden="1">
      <c r="C130" s="314" t="s">
        <v>352</v>
      </c>
      <c r="D130" s="315"/>
      <c r="E130" s="315">
        <f t="shared" ref="E130:BX130" si="41">-(E6+E92)</f>
        <v>0</v>
      </c>
      <c r="F130" s="315">
        <f t="shared" si="41"/>
        <v>0</v>
      </c>
      <c r="G130" s="315">
        <f t="shared" si="41"/>
        <v>0</v>
      </c>
      <c r="H130" s="315">
        <f t="shared" si="41"/>
        <v>0</v>
      </c>
      <c r="I130" s="315">
        <f t="shared" si="41"/>
        <v>0</v>
      </c>
      <c r="J130" s="315">
        <f t="shared" si="41"/>
        <v>-7870667</v>
      </c>
      <c r="K130" s="315">
        <f t="shared" si="41"/>
        <v>0</v>
      </c>
      <c r="L130" s="315">
        <f t="shared" si="41"/>
        <v>0</v>
      </c>
      <c r="M130" s="315">
        <f t="shared" si="41"/>
        <v>0</v>
      </c>
      <c r="N130" s="315">
        <f t="shared" si="41"/>
        <v>0</v>
      </c>
      <c r="O130" s="315">
        <f t="shared" si="41"/>
        <v>0</v>
      </c>
      <c r="P130" s="315">
        <f t="shared" si="41"/>
        <v>0</v>
      </c>
      <c r="Q130" s="315">
        <f t="shared" si="41"/>
        <v>0</v>
      </c>
      <c r="R130" s="315">
        <f t="shared" si="41"/>
        <v>0</v>
      </c>
      <c r="S130" s="315">
        <f t="shared" si="41"/>
        <v>0</v>
      </c>
      <c r="T130" s="315">
        <f t="shared" si="41"/>
        <v>7870667</v>
      </c>
      <c r="U130" s="315">
        <f t="shared" si="41"/>
        <v>0</v>
      </c>
      <c r="V130" s="315">
        <f t="shared" si="41"/>
        <v>0</v>
      </c>
      <c r="W130" s="315">
        <f t="shared" si="41"/>
        <v>0</v>
      </c>
      <c r="X130" s="315">
        <f t="shared" si="41"/>
        <v>0</v>
      </c>
      <c r="Y130" s="315">
        <f t="shared" si="41"/>
        <v>0</v>
      </c>
      <c r="Z130" s="315">
        <f t="shared" si="41"/>
        <v>0</v>
      </c>
      <c r="AA130" s="315">
        <f t="shared" si="41"/>
        <v>0</v>
      </c>
      <c r="AB130" s="315">
        <f t="shared" si="41"/>
        <v>0</v>
      </c>
      <c r="AC130" s="315">
        <f t="shared" si="41"/>
        <v>0</v>
      </c>
      <c r="AD130" s="315">
        <f t="shared" si="41"/>
        <v>0</v>
      </c>
      <c r="AE130" s="315">
        <f t="shared" si="41"/>
        <v>0</v>
      </c>
      <c r="AF130" s="315">
        <f t="shared" si="41"/>
        <v>0</v>
      </c>
      <c r="AG130" s="315">
        <f t="shared" si="41"/>
        <v>0</v>
      </c>
      <c r="AH130" s="315">
        <f t="shared" si="41"/>
        <v>0</v>
      </c>
      <c r="AI130" s="315">
        <f t="shared" si="41"/>
        <v>0</v>
      </c>
      <c r="AJ130" s="315">
        <f t="shared" si="41"/>
        <v>0</v>
      </c>
      <c r="AK130" s="315">
        <f t="shared" si="41"/>
        <v>0</v>
      </c>
      <c r="AL130" s="315">
        <f t="shared" si="41"/>
        <v>0</v>
      </c>
      <c r="AM130" s="315">
        <f t="shared" si="41"/>
        <v>0</v>
      </c>
      <c r="AN130" s="315">
        <f t="shared" si="41"/>
        <v>0</v>
      </c>
      <c r="AO130" s="315">
        <f t="shared" si="41"/>
        <v>0</v>
      </c>
      <c r="AP130" s="315">
        <f t="shared" si="41"/>
        <v>0</v>
      </c>
      <c r="AQ130" s="315">
        <f t="shared" si="41"/>
        <v>0</v>
      </c>
      <c r="AR130" s="315">
        <f t="shared" si="41"/>
        <v>0</v>
      </c>
      <c r="AS130" s="315">
        <f t="shared" si="41"/>
        <v>0</v>
      </c>
      <c r="AT130" s="315">
        <f t="shared" si="41"/>
        <v>0</v>
      </c>
      <c r="AU130" s="315">
        <f t="shared" si="41"/>
        <v>0</v>
      </c>
      <c r="AV130" s="315">
        <f t="shared" si="41"/>
        <v>0</v>
      </c>
      <c r="AW130" s="315">
        <f t="shared" si="41"/>
        <v>0</v>
      </c>
      <c r="AX130" s="315">
        <f t="shared" si="41"/>
        <v>0</v>
      </c>
      <c r="AY130" s="315">
        <f t="shared" si="41"/>
        <v>0</v>
      </c>
      <c r="AZ130" s="315">
        <f t="shared" si="41"/>
        <v>0</v>
      </c>
      <c r="BA130" s="315">
        <f t="shared" si="41"/>
        <v>0</v>
      </c>
      <c r="BB130" s="315">
        <f t="shared" si="41"/>
        <v>0</v>
      </c>
      <c r="BC130" s="315">
        <f t="shared" si="41"/>
        <v>0</v>
      </c>
      <c r="BD130" s="315">
        <f t="shared" si="41"/>
        <v>0</v>
      </c>
      <c r="BE130" s="315">
        <f t="shared" si="41"/>
        <v>0</v>
      </c>
      <c r="BF130" s="315">
        <f t="shared" si="41"/>
        <v>0</v>
      </c>
      <c r="BG130" s="315">
        <f t="shared" si="41"/>
        <v>0</v>
      </c>
      <c r="BH130" s="315">
        <f t="shared" si="41"/>
        <v>0</v>
      </c>
      <c r="BI130" s="315">
        <f t="shared" si="41"/>
        <v>0</v>
      </c>
      <c r="BJ130" s="315">
        <f t="shared" si="41"/>
        <v>0</v>
      </c>
      <c r="BK130" s="315">
        <f t="shared" si="41"/>
        <v>0</v>
      </c>
      <c r="BL130" s="315">
        <f t="shared" si="41"/>
        <v>0</v>
      </c>
      <c r="BM130" s="315">
        <f t="shared" si="41"/>
        <v>0</v>
      </c>
      <c r="BN130" s="315">
        <f t="shared" si="41"/>
        <v>0</v>
      </c>
      <c r="BO130" s="315">
        <f t="shared" si="41"/>
        <v>0</v>
      </c>
      <c r="BP130" s="315">
        <f t="shared" si="41"/>
        <v>0</v>
      </c>
      <c r="BQ130" s="315">
        <f t="shared" si="41"/>
        <v>0</v>
      </c>
      <c r="BR130" s="315">
        <f t="shared" si="41"/>
        <v>0</v>
      </c>
      <c r="BS130" s="315">
        <f t="shared" si="41"/>
        <v>0</v>
      </c>
      <c r="BT130" s="315">
        <f t="shared" si="41"/>
        <v>0</v>
      </c>
      <c r="BU130" s="315">
        <f t="shared" si="41"/>
        <v>0</v>
      </c>
      <c r="BV130" s="315">
        <f t="shared" si="41"/>
        <v>0</v>
      </c>
      <c r="BW130" s="315">
        <f t="shared" si="41"/>
        <v>0</v>
      </c>
      <c r="BX130" s="315">
        <f t="shared" si="41"/>
        <v>0</v>
      </c>
    </row>
    <row r="131" spans="3:76" hidden="1">
      <c r="C131" s="314" t="s">
        <v>353</v>
      </c>
      <c r="D131" s="323"/>
      <c r="E131" s="315"/>
      <c r="F131" s="315"/>
      <c r="G131" s="315"/>
      <c r="H131" s="315"/>
      <c r="I131" s="315"/>
      <c r="J131" s="315"/>
      <c r="K131" s="315"/>
      <c r="L131" s="315"/>
      <c r="M131" s="315"/>
      <c r="N131" s="315"/>
      <c r="O131" s="315"/>
      <c r="P131" s="315"/>
      <c r="Q131" s="315"/>
      <c r="R131" s="315"/>
      <c r="S131" s="315"/>
      <c r="T131" s="315"/>
      <c r="U131" s="315"/>
      <c r="V131" s="315"/>
      <c r="W131" s="315"/>
      <c r="X131" s="315"/>
      <c r="Y131" s="315"/>
      <c r="Z131" s="315"/>
      <c r="AA131" s="315"/>
      <c r="AB131" s="315"/>
      <c r="AC131" s="315"/>
      <c r="AD131" s="315"/>
      <c r="AE131" s="315"/>
      <c r="AF131" s="315"/>
      <c r="AG131" s="315"/>
      <c r="AH131" s="315"/>
      <c r="AI131" s="315"/>
      <c r="AJ131" s="315"/>
      <c r="AK131" s="315"/>
      <c r="AL131" s="315"/>
      <c r="AM131" s="315"/>
      <c r="AN131" s="315"/>
      <c r="AO131" s="315"/>
      <c r="AP131" s="315"/>
      <c r="AQ131" s="315"/>
      <c r="AR131" s="315"/>
      <c r="AS131" s="315"/>
      <c r="AT131" s="315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</row>
    <row r="132" spans="3:76" hidden="1">
      <c r="C132" s="314" t="s">
        <v>343</v>
      </c>
      <c r="D132" s="323"/>
      <c r="E132" s="315">
        <f t="shared" ref="E132:BX132" si="42">-E57</f>
        <v>0</v>
      </c>
      <c r="F132" s="315">
        <f t="shared" si="42"/>
        <v>0</v>
      </c>
      <c r="G132" s="315">
        <f t="shared" si="42"/>
        <v>0</v>
      </c>
      <c r="H132" s="315">
        <f t="shared" si="42"/>
        <v>0</v>
      </c>
      <c r="I132" s="315">
        <f t="shared" si="42"/>
        <v>0</v>
      </c>
      <c r="J132" s="315">
        <f t="shared" si="42"/>
        <v>0</v>
      </c>
      <c r="K132" s="315">
        <f t="shared" si="42"/>
        <v>0</v>
      </c>
      <c r="L132" s="315">
        <f t="shared" si="42"/>
        <v>0</v>
      </c>
      <c r="M132" s="315">
        <f t="shared" si="42"/>
        <v>0</v>
      </c>
      <c r="N132" s="315">
        <f t="shared" si="42"/>
        <v>0</v>
      </c>
      <c r="O132" s="315">
        <f t="shared" si="42"/>
        <v>0</v>
      </c>
      <c r="P132" s="315">
        <f t="shared" si="42"/>
        <v>0</v>
      </c>
      <c r="Q132" s="315">
        <f t="shared" si="42"/>
        <v>0</v>
      </c>
      <c r="R132" s="315">
        <f t="shared" si="42"/>
        <v>0</v>
      </c>
      <c r="S132" s="315">
        <f t="shared" si="42"/>
        <v>0</v>
      </c>
      <c r="T132" s="315" t="e">
        <f t="shared" si="42"/>
        <v>#REF!</v>
      </c>
      <c r="U132" s="315">
        <f t="shared" si="42"/>
        <v>0</v>
      </c>
      <c r="V132" s="315">
        <f t="shared" si="42"/>
        <v>0</v>
      </c>
      <c r="W132" s="315">
        <f t="shared" si="42"/>
        <v>0</v>
      </c>
      <c r="X132" s="315">
        <f t="shared" si="42"/>
        <v>0</v>
      </c>
      <c r="Y132" s="315">
        <f t="shared" si="42"/>
        <v>0</v>
      </c>
      <c r="Z132" s="315">
        <f t="shared" si="42"/>
        <v>0</v>
      </c>
      <c r="AA132" s="315">
        <f t="shared" si="42"/>
        <v>0</v>
      </c>
      <c r="AB132" s="315">
        <f t="shared" si="42"/>
        <v>0</v>
      </c>
      <c r="AC132" s="315">
        <f t="shared" si="42"/>
        <v>0</v>
      </c>
      <c r="AD132" s="315">
        <f t="shared" si="42"/>
        <v>0</v>
      </c>
      <c r="AE132" s="315">
        <f t="shared" si="42"/>
        <v>0</v>
      </c>
      <c r="AF132" s="315">
        <f t="shared" si="42"/>
        <v>0</v>
      </c>
      <c r="AG132" s="315">
        <f t="shared" si="42"/>
        <v>0</v>
      </c>
      <c r="AH132" s="315">
        <f t="shared" si="42"/>
        <v>0</v>
      </c>
      <c r="AI132" s="315">
        <f t="shared" si="42"/>
        <v>0</v>
      </c>
      <c r="AJ132" s="315">
        <f t="shared" si="42"/>
        <v>0</v>
      </c>
      <c r="AK132" s="315">
        <f t="shared" si="42"/>
        <v>0</v>
      </c>
      <c r="AL132" s="315">
        <f t="shared" si="42"/>
        <v>0</v>
      </c>
      <c r="AM132" s="315">
        <f t="shared" si="42"/>
        <v>0</v>
      </c>
      <c r="AN132" s="315">
        <f t="shared" si="42"/>
        <v>0</v>
      </c>
      <c r="AO132" s="315">
        <f t="shared" si="42"/>
        <v>0</v>
      </c>
      <c r="AP132" s="315">
        <f t="shared" si="42"/>
        <v>0</v>
      </c>
      <c r="AQ132" s="315">
        <f t="shared" si="42"/>
        <v>0</v>
      </c>
      <c r="AR132" s="315">
        <f t="shared" si="42"/>
        <v>0</v>
      </c>
      <c r="AS132" s="315">
        <f t="shared" si="42"/>
        <v>0</v>
      </c>
      <c r="AT132" s="315">
        <f t="shared" si="42"/>
        <v>0</v>
      </c>
      <c r="AU132" s="315">
        <f t="shared" si="42"/>
        <v>0</v>
      </c>
      <c r="AV132" s="315">
        <f t="shared" si="42"/>
        <v>0</v>
      </c>
      <c r="AW132" s="315">
        <f t="shared" si="42"/>
        <v>0</v>
      </c>
      <c r="AX132" s="315">
        <f t="shared" si="42"/>
        <v>0</v>
      </c>
      <c r="AY132" s="315">
        <f t="shared" si="42"/>
        <v>0</v>
      </c>
      <c r="AZ132" s="315">
        <f t="shared" si="42"/>
        <v>0</v>
      </c>
      <c r="BA132" s="315">
        <f t="shared" si="42"/>
        <v>0</v>
      </c>
      <c r="BB132" s="315">
        <f t="shared" si="42"/>
        <v>0</v>
      </c>
      <c r="BC132" s="315">
        <f t="shared" si="42"/>
        <v>0</v>
      </c>
      <c r="BD132" s="315">
        <f t="shared" si="42"/>
        <v>0</v>
      </c>
      <c r="BE132" s="315">
        <f t="shared" si="42"/>
        <v>0</v>
      </c>
      <c r="BF132" s="315">
        <f t="shared" si="42"/>
        <v>0</v>
      </c>
      <c r="BG132" s="315">
        <f t="shared" si="42"/>
        <v>0</v>
      </c>
      <c r="BH132" s="315">
        <f t="shared" si="42"/>
        <v>0</v>
      </c>
      <c r="BI132" s="315">
        <f t="shared" si="42"/>
        <v>0</v>
      </c>
      <c r="BJ132" s="315">
        <f t="shared" si="42"/>
        <v>0</v>
      </c>
      <c r="BK132" s="315">
        <f t="shared" si="42"/>
        <v>0</v>
      </c>
      <c r="BL132" s="315">
        <f t="shared" si="42"/>
        <v>0</v>
      </c>
      <c r="BM132" s="315">
        <f t="shared" si="42"/>
        <v>0</v>
      </c>
      <c r="BN132" s="315">
        <f t="shared" si="42"/>
        <v>0</v>
      </c>
      <c r="BO132" s="315">
        <f t="shared" si="42"/>
        <v>0</v>
      </c>
      <c r="BP132" s="315">
        <f t="shared" si="42"/>
        <v>0</v>
      </c>
      <c r="BQ132" s="315">
        <f t="shared" si="42"/>
        <v>0</v>
      </c>
      <c r="BR132" s="315">
        <f t="shared" si="42"/>
        <v>0</v>
      </c>
      <c r="BS132" s="315">
        <f t="shared" si="42"/>
        <v>0</v>
      </c>
      <c r="BT132" s="315">
        <f t="shared" si="42"/>
        <v>0</v>
      </c>
      <c r="BU132" s="315">
        <f t="shared" si="42"/>
        <v>0</v>
      </c>
      <c r="BV132" s="315">
        <f t="shared" si="42"/>
        <v>0</v>
      </c>
      <c r="BW132" s="315">
        <f t="shared" si="42"/>
        <v>0</v>
      </c>
      <c r="BX132" s="315">
        <f t="shared" si="42"/>
        <v>0</v>
      </c>
    </row>
    <row r="133" spans="3:76" hidden="1">
      <c r="C133" s="314" t="s">
        <v>344</v>
      </c>
      <c r="D133" s="323"/>
      <c r="E133" s="315"/>
      <c r="F133" s="315"/>
      <c r="G133" s="315"/>
      <c r="H133" s="315"/>
      <c r="I133" s="315"/>
      <c r="J133" s="315"/>
      <c r="K133" s="315"/>
      <c r="L133" s="315"/>
      <c r="M133" s="315"/>
      <c r="N133" s="315"/>
      <c r="O133" s="315"/>
      <c r="P133" s="315"/>
      <c r="Q133" s="315"/>
      <c r="R133" s="315"/>
      <c r="S133" s="315"/>
      <c r="T133" s="315" t="e">
        <f>T100-T149-T165-T181</f>
        <v>#REF!</v>
      </c>
      <c r="U133" s="315"/>
      <c r="V133" s="315"/>
      <c r="W133" s="315"/>
      <c r="X133" s="315"/>
      <c r="Y133" s="315"/>
      <c r="Z133" s="315"/>
      <c r="AA133" s="315"/>
      <c r="AB133" s="315"/>
      <c r="AC133" s="315"/>
      <c r="AD133" s="315"/>
      <c r="AE133" s="315"/>
      <c r="AF133" s="315"/>
      <c r="AG133" s="315"/>
      <c r="AH133" s="315"/>
      <c r="AI133" s="315"/>
      <c r="AJ133" s="315"/>
      <c r="AK133" s="315"/>
      <c r="AL133" s="315"/>
      <c r="AM133" s="315"/>
      <c r="AN133" s="315"/>
      <c r="AO133" s="315"/>
      <c r="AP133" s="315"/>
      <c r="AQ133" s="315"/>
      <c r="AR133" s="315"/>
      <c r="AS133" s="315"/>
      <c r="AT133" s="315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 t="e">
        <f>IF(D105&gt;0.25,(BX100-BX108)*D134,BX100*D134)</f>
        <v>#VALUE!</v>
      </c>
    </row>
    <row r="134" spans="3:76" hidden="1">
      <c r="C134" s="317" t="s">
        <v>345</v>
      </c>
      <c r="D134" s="323">
        <v>0</v>
      </c>
      <c r="E134" s="246"/>
      <c r="F134" s="246"/>
      <c r="G134" s="246"/>
      <c r="H134" s="246"/>
      <c r="I134" s="246"/>
      <c r="J134" s="246"/>
      <c r="K134" s="246"/>
      <c r="L134" s="246"/>
      <c r="M134" s="246"/>
      <c r="N134" s="246"/>
      <c r="O134" s="246"/>
      <c r="P134" s="246"/>
      <c r="Q134" s="246"/>
      <c r="R134" s="246"/>
      <c r="S134" s="246"/>
      <c r="T134" s="246"/>
      <c r="U134" s="246"/>
      <c r="V134" s="246"/>
      <c r="W134" s="246"/>
      <c r="X134" s="246"/>
      <c r="Y134" s="246"/>
      <c r="Z134" s="246"/>
      <c r="AA134" s="246"/>
      <c r="AB134" s="246"/>
      <c r="AC134" s="246"/>
      <c r="AD134" s="246"/>
      <c r="AE134" s="246"/>
      <c r="AF134" s="246"/>
      <c r="AG134" s="246"/>
      <c r="AH134" s="246"/>
      <c r="AI134" s="246"/>
      <c r="AJ134" s="246"/>
      <c r="AK134" s="246"/>
      <c r="AL134" s="246"/>
      <c r="AM134" s="246"/>
      <c r="AN134" s="246"/>
      <c r="AO134" s="246"/>
      <c r="AP134" s="246"/>
      <c r="AQ134" s="246"/>
      <c r="AR134" s="246"/>
      <c r="AS134" s="246"/>
      <c r="AT134" s="246"/>
      <c r="AU134" s="246"/>
      <c r="AV134" s="246"/>
      <c r="AW134" s="246"/>
      <c r="AX134" s="246"/>
      <c r="AY134" s="246"/>
      <c r="AZ134" s="246"/>
      <c r="BA134" s="246"/>
      <c r="BB134" s="246"/>
      <c r="BC134" s="246"/>
      <c r="BD134" s="246"/>
      <c r="BE134" s="246"/>
      <c r="BF134" s="246"/>
      <c r="BG134" s="246"/>
      <c r="BH134" s="246"/>
      <c r="BI134" s="246"/>
      <c r="BJ134" s="246"/>
      <c r="BK134" s="246"/>
      <c r="BL134" s="246"/>
      <c r="BM134" s="246"/>
      <c r="BN134" s="246"/>
      <c r="BO134" s="246"/>
      <c r="BP134" s="246"/>
      <c r="BQ134" s="246"/>
      <c r="BR134" s="246"/>
      <c r="BS134" s="246"/>
      <c r="BT134" s="246"/>
      <c r="BU134" s="246"/>
      <c r="BV134" s="246"/>
      <c r="BW134" s="246"/>
      <c r="BX134" s="246"/>
    </row>
    <row r="135" spans="3:76" hidden="1">
      <c r="C135" s="314" t="s">
        <v>346</v>
      </c>
      <c r="D135" s="315"/>
      <c r="E135" s="325">
        <f t="shared" ref="E135:BX135" si="43">E130+E131+E132+E133+E134</f>
        <v>0</v>
      </c>
      <c r="F135" s="325">
        <f t="shared" si="43"/>
        <v>0</v>
      </c>
      <c r="G135" s="325">
        <f t="shared" si="43"/>
        <v>0</v>
      </c>
      <c r="H135" s="325">
        <f t="shared" si="43"/>
        <v>0</v>
      </c>
      <c r="I135" s="325">
        <f t="shared" si="43"/>
        <v>0</v>
      </c>
      <c r="J135" s="325">
        <f t="shared" si="43"/>
        <v>-7870667</v>
      </c>
      <c r="K135" s="325">
        <f t="shared" si="43"/>
        <v>0</v>
      </c>
      <c r="L135" s="325">
        <f t="shared" si="43"/>
        <v>0</v>
      </c>
      <c r="M135" s="325">
        <f t="shared" si="43"/>
        <v>0</v>
      </c>
      <c r="N135" s="325">
        <f t="shared" si="43"/>
        <v>0</v>
      </c>
      <c r="O135" s="325">
        <f t="shared" si="43"/>
        <v>0</v>
      </c>
      <c r="P135" s="325">
        <f t="shared" si="43"/>
        <v>0</v>
      </c>
      <c r="Q135" s="325">
        <f t="shared" si="43"/>
        <v>0</v>
      </c>
      <c r="R135" s="325">
        <f t="shared" si="43"/>
        <v>0</v>
      </c>
      <c r="S135" s="325">
        <f t="shared" si="43"/>
        <v>0</v>
      </c>
      <c r="T135" s="325" t="e">
        <f t="shared" si="43"/>
        <v>#REF!</v>
      </c>
      <c r="U135" s="325">
        <f t="shared" si="43"/>
        <v>0</v>
      </c>
      <c r="V135" s="325">
        <f t="shared" si="43"/>
        <v>0</v>
      </c>
      <c r="W135" s="325">
        <f t="shared" si="43"/>
        <v>0</v>
      </c>
      <c r="X135" s="325">
        <f t="shared" si="43"/>
        <v>0</v>
      </c>
      <c r="Y135" s="325">
        <f t="shared" si="43"/>
        <v>0</v>
      </c>
      <c r="Z135" s="325">
        <f t="shared" si="43"/>
        <v>0</v>
      </c>
      <c r="AA135" s="325">
        <f t="shared" si="43"/>
        <v>0</v>
      </c>
      <c r="AB135" s="325">
        <f t="shared" si="43"/>
        <v>0</v>
      </c>
      <c r="AC135" s="325">
        <f t="shared" si="43"/>
        <v>0</v>
      </c>
      <c r="AD135" s="325">
        <f t="shared" si="43"/>
        <v>0</v>
      </c>
      <c r="AE135" s="325">
        <f t="shared" si="43"/>
        <v>0</v>
      </c>
      <c r="AF135" s="325">
        <f t="shared" si="43"/>
        <v>0</v>
      </c>
      <c r="AG135" s="325">
        <f t="shared" si="43"/>
        <v>0</v>
      </c>
      <c r="AH135" s="325">
        <f t="shared" si="43"/>
        <v>0</v>
      </c>
      <c r="AI135" s="325">
        <f t="shared" si="43"/>
        <v>0</v>
      </c>
      <c r="AJ135" s="325">
        <f t="shared" si="43"/>
        <v>0</v>
      </c>
      <c r="AK135" s="325">
        <f t="shared" si="43"/>
        <v>0</v>
      </c>
      <c r="AL135" s="325">
        <f t="shared" si="43"/>
        <v>0</v>
      </c>
      <c r="AM135" s="325">
        <f t="shared" si="43"/>
        <v>0</v>
      </c>
      <c r="AN135" s="325">
        <f t="shared" si="43"/>
        <v>0</v>
      </c>
      <c r="AO135" s="325">
        <f t="shared" si="43"/>
        <v>0</v>
      </c>
      <c r="AP135" s="325">
        <f t="shared" si="43"/>
        <v>0</v>
      </c>
      <c r="AQ135" s="325">
        <f t="shared" si="43"/>
        <v>0</v>
      </c>
      <c r="AR135" s="325">
        <f t="shared" si="43"/>
        <v>0</v>
      </c>
      <c r="AS135" s="325">
        <f t="shared" si="43"/>
        <v>0</v>
      </c>
      <c r="AT135" s="325">
        <f t="shared" si="43"/>
        <v>0</v>
      </c>
      <c r="AU135" s="325">
        <f t="shared" si="43"/>
        <v>0</v>
      </c>
      <c r="AV135" s="325">
        <f t="shared" si="43"/>
        <v>0</v>
      </c>
      <c r="AW135" s="325">
        <f t="shared" si="43"/>
        <v>0</v>
      </c>
      <c r="AX135" s="325">
        <f t="shared" si="43"/>
        <v>0</v>
      </c>
      <c r="AY135" s="325">
        <f t="shared" si="43"/>
        <v>0</v>
      </c>
      <c r="AZ135" s="325">
        <f t="shared" si="43"/>
        <v>0</v>
      </c>
      <c r="BA135" s="325">
        <f t="shared" si="43"/>
        <v>0</v>
      </c>
      <c r="BB135" s="325">
        <f t="shared" si="43"/>
        <v>0</v>
      </c>
      <c r="BC135" s="325">
        <f t="shared" si="43"/>
        <v>0</v>
      </c>
      <c r="BD135" s="325">
        <f t="shared" si="43"/>
        <v>0</v>
      </c>
      <c r="BE135" s="325">
        <f t="shared" si="43"/>
        <v>0</v>
      </c>
      <c r="BF135" s="325">
        <f t="shared" si="43"/>
        <v>0</v>
      </c>
      <c r="BG135" s="325">
        <f t="shared" si="43"/>
        <v>0</v>
      </c>
      <c r="BH135" s="325">
        <f t="shared" si="43"/>
        <v>0</v>
      </c>
      <c r="BI135" s="325">
        <f t="shared" si="43"/>
        <v>0</v>
      </c>
      <c r="BJ135" s="325">
        <f t="shared" si="43"/>
        <v>0</v>
      </c>
      <c r="BK135" s="325">
        <f t="shared" si="43"/>
        <v>0</v>
      </c>
      <c r="BL135" s="325">
        <f t="shared" si="43"/>
        <v>0</v>
      </c>
      <c r="BM135" s="325">
        <f t="shared" si="43"/>
        <v>0</v>
      </c>
      <c r="BN135" s="325">
        <f t="shared" si="43"/>
        <v>0</v>
      </c>
      <c r="BO135" s="325">
        <f t="shared" si="43"/>
        <v>0</v>
      </c>
      <c r="BP135" s="325">
        <f t="shared" si="43"/>
        <v>0</v>
      </c>
      <c r="BQ135" s="325">
        <f t="shared" si="43"/>
        <v>0</v>
      </c>
      <c r="BR135" s="325">
        <f t="shared" si="43"/>
        <v>0</v>
      </c>
      <c r="BS135" s="325">
        <f t="shared" si="43"/>
        <v>0</v>
      </c>
      <c r="BT135" s="325">
        <f t="shared" si="43"/>
        <v>0</v>
      </c>
      <c r="BU135" s="325">
        <f t="shared" si="43"/>
        <v>0</v>
      </c>
      <c r="BV135" s="325">
        <f t="shared" si="43"/>
        <v>0</v>
      </c>
      <c r="BW135" s="325">
        <f t="shared" si="43"/>
        <v>0</v>
      </c>
      <c r="BX135" s="325" t="e">
        <f t="shared" si="43"/>
        <v>#VALUE!</v>
      </c>
    </row>
    <row r="136" spans="3:76" hidden="1">
      <c r="C136" s="318"/>
      <c r="D136" s="326" t="s">
        <v>354</v>
      </c>
      <c r="E136" s="330">
        <f>E135</f>
        <v>0</v>
      </c>
      <c r="F136" s="330">
        <f t="shared" ref="F136:BX136" si="44">E136+F135</f>
        <v>0</v>
      </c>
      <c r="G136" s="330">
        <f t="shared" si="44"/>
        <v>0</v>
      </c>
      <c r="H136" s="330">
        <f t="shared" si="44"/>
        <v>0</v>
      </c>
      <c r="I136" s="330">
        <f t="shared" si="44"/>
        <v>0</v>
      </c>
      <c r="J136" s="330">
        <f t="shared" si="44"/>
        <v>-7870667</v>
      </c>
      <c r="K136" s="330">
        <f t="shared" si="44"/>
        <v>-7870667</v>
      </c>
      <c r="L136" s="330">
        <f t="shared" si="44"/>
        <v>-7870667</v>
      </c>
      <c r="M136" s="330">
        <f t="shared" si="44"/>
        <v>-7870667</v>
      </c>
      <c r="N136" s="330">
        <f t="shared" si="44"/>
        <v>-7870667</v>
      </c>
      <c r="O136" s="330">
        <f t="shared" si="44"/>
        <v>-7870667</v>
      </c>
      <c r="P136" s="330">
        <f t="shared" si="44"/>
        <v>-7870667</v>
      </c>
      <c r="Q136" s="330">
        <f t="shared" si="44"/>
        <v>-7870667</v>
      </c>
      <c r="R136" s="330">
        <f t="shared" si="44"/>
        <v>-7870667</v>
      </c>
      <c r="S136" s="330">
        <f t="shared" si="44"/>
        <v>-7870667</v>
      </c>
      <c r="T136" s="330" t="e">
        <f t="shared" si="44"/>
        <v>#REF!</v>
      </c>
      <c r="U136" s="330" t="e">
        <f t="shared" si="44"/>
        <v>#REF!</v>
      </c>
      <c r="V136" s="330" t="e">
        <f t="shared" si="44"/>
        <v>#REF!</v>
      </c>
      <c r="W136" s="330" t="e">
        <f t="shared" si="44"/>
        <v>#REF!</v>
      </c>
      <c r="X136" s="330" t="e">
        <f t="shared" si="44"/>
        <v>#REF!</v>
      </c>
      <c r="Y136" s="330" t="e">
        <f t="shared" si="44"/>
        <v>#REF!</v>
      </c>
      <c r="Z136" s="330" t="e">
        <f t="shared" si="44"/>
        <v>#REF!</v>
      </c>
      <c r="AA136" s="330" t="e">
        <f t="shared" si="44"/>
        <v>#REF!</v>
      </c>
      <c r="AB136" s="330" t="e">
        <f t="shared" si="44"/>
        <v>#REF!</v>
      </c>
      <c r="AC136" s="330" t="e">
        <f t="shared" si="44"/>
        <v>#REF!</v>
      </c>
      <c r="AD136" s="330" t="e">
        <f t="shared" si="44"/>
        <v>#REF!</v>
      </c>
      <c r="AE136" s="330" t="e">
        <f t="shared" si="44"/>
        <v>#REF!</v>
      </c>
      <c r="AF136" s="330" t="e">
        <f t="shared" si="44"/>
        <v>#REF!</v>
      </c>
      <c r="AG136" s="330" t="e">
        <f t="shared" si="44"/>
        <v>#REF!</v>
      </c>
      <c r="AH136" s="330" t="e">
        <f t="shared" si="44"/>
        <v>#REF!</v>
      </c>
      <c r="AI136" s="330" t="e">
        <f t="shared" si="44"/>
        <v>#REF!</v>
      </c>
      <c r="AJ136" s="330" t="e">
        <f t="shared" si="44"/>
        <v>#REF!</v>
      </c>
      <c r="AK136" s="330" t="e">
        <f t="shared" si="44"/>
        <v>#REF!</v>
      </c>
      <c r="AL136" s="330" t="e">
        <f t="shared" si="44"/>
        <v>#REF!</v>
      </c>
      <c r="AM136" s="330" t="e">
        <f t="shared" si="44"/>
        <v>#REF!</v>
      </c>
      <c r="AN136" s="330" t="e">
        <f t="shared" si="44"/>
        <v>#REF!</v>
      </c>
      <c r="AO136" s="330" t="e">
        <f t="shared" si="44"/>
        <v>#REF!</v>
      </c>
      <c r="AP136" s="330" t="e">
        <f t="shared" si="44"/>
        <v>#REF!</v>
      </c>
      <c r="AQ136" s="330" t="e">
        <f t="shared" si="44"/>
        <v>#REF!</v>
      </c>
      <c r="AR136" s="330" t="e">
        <f t="shared" si="44"/>
        <v>#REF!</v>
      </c>
      <c r="AS136" s="330" t="e">
        <f t="shared" si="44"/>
        <v>#REF!</v>
      </c>
      <c r="AT136" s="330" t="e">
        <f t="shared" si="44"/>
        <v>#REF!</v>
      </c>
      <c r="AU136" s="330" t="e">
        <f t="shared" si="44"/>
        <v>#REF!</v>
      </c>
      <c r="AV136" s="330" t="e">
        <f t="shared" si="44"/>
        <v>#REF!</v>
      </c>
      <c r="AW136" s="330" t="e">
        <f t="shared" si="44"/>
        <v>#REF!</v>
      </c>
      <c r="AX136" s="330" t="e">
        <f t="shared" si="44"/>
        <v>#REF!</v>
      </c>
      <c r="AY136" s="330" t="e">
        <f t="shared" si="44"/>
        <v>#REF!</v>
      </c>
      <c r="AZ136" s="330" t="e">
        <f t="shared" si="44"/>
        <v>#REF!</v>
      </c>
      <c r="BA136" s="330" t="e">
        <f t="shared" si="44"/>
        <v>#REF!</v>
      </c>
      <c r="BB136" s="330" t="e">
        <f t="shared" si="44"/>
        <v>#REF!</v>
      </c>
      <c r="BC136" s="330" t="e">
        <f t="shared" si="44"/>
        <v>#REF!</v>
      </c>
      <c r="BD136" s="330" t="e">
        <f t="shared" si="44"/>
        <v>#REF!</v>
      </c>
      <c r="BE136" s="330" t="e">
        <f t="shared" si="44"/>
        <v>#REF!</v>
      </c>
      <c r="BF136" s="330" t="e">
        <f t="shared" si="44"/>
        <v>#REF!</v>
      </c>
      <c r="BG136" s="330" t="e">
        <f t="shared" si="44"/>
        <v>#REF!</v>
      </c>
      <c r="BH136" s="330" t="e">
        <f t="shared" si="44"/>
        <v>#REF!</v>
      </c>
      <c r="BI136" s="330" t="e">
        <f t="shared" si="44"/>
        <v>#REF!</v>
      </c>
      <c r="BJ136" s="330" t="e">
        <f t="shared" si="44"/>
        <v>#REF!</v>
      </c>
      <c r="BK136" s="330" t="e">
        <f t="shared" si="44"/>
        <v>#REF!</v>
      </c>
      <c r="BL136" s="330" t="e">
        <f t="shared" si="44"/>
        <v>#REF!</v>
      </c>
      <c r="BM136" s="330" t="e">
        <f t="shared" si="44"/>
        <v>#REF!</v>
      </c>
      <c r="BN136" s="330" t="e">
        <f t="shared" si="44"/>
        <v>#REF!</v>
      </c>
      <c r="BO136" s="330" t="e">
        <f t="shared" si="44"/>
        <v>#REF!</v>
      </c>
      <c r="BP136" s="330" t="e">
        <f t="shared" si="44"/>
        <v>#REF!</v>
      </c>
      <c r="BQ136" s="330" t="e">
        <f t="shared" si="44"/>
        <v>#REF!</v>
      </c>
      <c r="BR136" s="330" t="e">
        <f t="shared" si="44"/>
        <v>#REF!</v>
      </c>
      <c r="BS136" s="330" t="e">
        <f t="shared" si="44"/>
        <v>#REF!</v>
      </c>
      <c r="BT136" s="330" t="e">
        <f t="shared" si="44"/>
        <v>#REF!</v>
      </c>
      <c r="BU136" s="330" t="e">
        <f t="shared" si="44"/>
        <v>#REF!</v>
      </c>
      <c r="BV136" s="330" t="e">
        <f t="shared" si="44"/>
        <v>#REF!</v>
      </c>
      <c r="BW136" s="330" t="e">
        <f t="shared" si="44"/>
        <v>#REF!</v>
      </c>
      <c r="BX136" s="330" t="e">
        <f t="shared" si="44"/>
        <v>#REF!</v>
      </c>
    </row>
    <row r="137" spans="3:76" hidden="1">
      <c r="C137" s="317" t="s">
        <v>339</v>
      </c>
      <c r="D137" s="326" t="e">
        <f>IRR(E135:BX135)*12</f>
        <v>#VALUE!</v>
      </c>
      <c r="E137" s="226"/>
      <c r="F137" s="226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  <c r="AD137" s="226"/>
      <c r="AE137" s="226"/>
      <c r="AF137" s="226"/>
      <c r="AG137" s="226"/>
      <c r="AH137" s="226"/>
      <c r="AI137" s="226"/>
      <c r="AJ137" s="226"/>
      <c r="AK137" s="226"/>
      <c r="AL137" s="226"/>
      <c r="AM137" s="226"/>
      <c r="AN137" s="226"/>
      <c r="AO137" s="226"/>
      <c r="AP137" s="226"/>
      <c r="AQ137" s="226"/>
      <c r="AR137" s="226"/>
      <c r="AS137" s="226"/>
      <c r="AT137" s="226"/>
      <c r="AU137" s="226"/>
      <c r="AV137" s="226"/>
      <c r="AW137" s="226"/>
      <c r="AX137" s="226"/>
      <c r="AY137" s="226"/>
      <c r="AZ137" s="226"/>
      <c r="BA137" s="226"/>
      <c r="BB137" s="226"/>
      <c r="BC137" s="226"/>
      <c r="BD137" s="226"/>
      <c r="BE137" s="226"/>
      <c r="BF137" s="226"/>
      <c r="BG137" s="226"/>
      <c r="BH137" s="226"/>
      <c r="BI137" s="226"/>
      <c r="BJ137" s="226"/>
      <c r="BK137" s="226"/>
      <c r="BL137" s="226"/>
      <c r="BM137" s="226"/>
      <c r="BN137" s="226"/>
      <c r="BO137" s="226"/>
      <c r="BP137" s="226"/>
      <c r="BQ137" s="226"/>
      <c r="BR137" s="226"/>
      <c r="BS137" s="226"/>
      <c r="BT137" s="226"/>
      <c r="BU137" s="226"/>
      <c r="BV137" s="226"/>
      <c r="BW137" s="226"/>
      <c r="BX137" s="226"/>
    </row>
    <row r="138" spans="3:76" hidden="1">
      <c r="C138" s="327" t="s">
        <v>347</v>
      </c>
      <c r="D138" s="328">
        <f>-MIN(E130:BL130)</f>
        <v>7870667</v>
      </c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  <c r="BU138" s="226"/>
      <c r="BV138" s="226"/>
      <c r="BW138" s="226"/>
      <c r="BX138" s="226"/>
    </row>
    <row r="139" spans="3:76" hidden="1">
      <c r="C139" s="327" t="s">
        <v>348</v>
      </c>
      <c r="D139" s="328">
        <f>-SUM(M134:BB134)</f>
        <v>0</v>
      </c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6"/>
      <c r="BN139" s="226"/>
      <c r="BO139" s="226"/>
      <c r="BP139" s="226"/>
      <c r="BQ139" s="226"/>
      <c r="BR139" s="226"/>
      <c r="BS139" s="226"/>
      <c r="BT139" s="226"/>
      <c r="BU139" s="226"/>
      <c r="BV139" s="226"/>
      <c r="BW139" s="226"/>
      <c r="BX139" s="226"/>
    </row>
    <row r="140" spans="3:76" hidden="1">
      <c r="C140" s="317" t="s">
        <v>349</v>
      </c>
      <c r="D140" s="329">
        <f>D139+D138</f>
        <v>7870667</v>
      </c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  <c r="BU140" s="226"/>
      <c r="BV140" s="226"/>
      <c r="BW140" s="226"/>
      <c r="BX140" s="226"/>
    </row>
    <row r="141" spans="3:76" hidden="1">
      <c r="C141" s="317" t="s">
        <v>350</v>
      </c>
      <c r="D141" s="329" t="e">
        <f>BX132+BX133</f>
        <v>#VALUE!</v>
      </c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AY141" s="226"/>
      <c r="AZ141" s="226"/>
      <c r="BA141" s="226"/>
      <c r="BB141" s="226"/>
      <c r="BC141" s="226"/>
      <c r="BD141" s="226"/>
      <c r="BE141" s="226"/>
      <c r="BF141" s="226"/>
      <c r="BG141" s="226"/>
      <c r="BH141" s="226"/>
      <c r="BI141" s="226"/>
      <c r="BJ141" s="226"/>
      <c r="BK141" s="226"/>
      <c r="BL141" s="226"/>
      <c r="BM141" s="226"/>
      <c r="BN141" s="226"/>
      <c r="BO141" s="226"/>
      <c r="BP141" s="226"/>
      <c r="BQ141" s="226"/>
      <c r="BR141" s="226"/>
      <c r="BS141" s="226"/>
      <c r="BT141" s="226"/>
      <c r="BU141" s="226"/>
      <c r="BV141" s="226"/>
      <c r="BW141" s="226"/>
      <c r="BX141" s="226"/>
    </row>
    <row r="142" spans="3:76" hidden="1">
      <c r="C142" s="317" t="s">
        <v>351</v>
      </c>
      <c r="D142" s="326" t="e">
        <f>(D141-D139)/D140</f>
        <v>#VALUE!</v>
      </c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  <c r="AY142" s="226"/>
      <c r="AZ142" s="226"/>
      <c r="BA142" s="226"/>
      <c r="BB142" s="226"/>
      <c r="BC142" s="226"/>
      <c r="BD142" s="226"/>
      <c r="BE142" s="226"/>
      <c r="BF142" s="226"/>
      <c r="BG142" s="226"/>
      <c r="BH142" s="226"/>
      <c r="BI142" s="226"/>
      <c r="BJ142" s="226"/>
      <c r="BK142" s="226"/>
      <c r="BL142" s="226"/>
      <c r="BM142" s="226"/>
      <c r="BN142" s="226"/>
      <c r="BO142" s="226"/>
      <c r="BP142" s="226"/>
      <c r="BQ142" s="226"/>
      <c r="BR142" s="226"/>
      <c r="BS142" s="226"/>
      <c r="BT142" s="226"/>
      <c r="BU142" s="226"/>
      <c r="BV142" s="226"/>
      <c r="BW142" s="226"/>
      <c r="BX142" s="226"/>
    </row>
    <row r="146" spans="3:76" hidden="1">
      <c r="C146" s="314" t="s">
        <v>355</v>
      </c>
      <c r="D146" s="315"/>
      <c r="E146" s="316">
        <f t="shared" ref="E146:G146" si="45">-(E24+E110)</f>
        <v>0</v>
      </c>
      <c r="F146" s="316">
        <f t="shared" si="45"/>
        <v>0</v>
      </c>
      <c r="G146" s="316">
        <f t="shared" si="45"/>
        <v>0</v>
      </c>
      <c r="H146" s="316">
        <f>-10682501</f>
        <v>-10682501</v>
      </c>
      <c r="I146" s="316">
        <v>0</v>
      </c>
      <c r="J146" s="316">
        <f>-(J24+J110)</f>
        <v>0</v>
      </c>
      <c r="K146" s="316">
        <v>0</v>
      </c>
      <c r="L146" s="316">
        <f t="shared" ref="L146:S146" si="46">-(L24+L110)</f>
        <v>0</v>
      </c>
      <c r="M146" s="316">
        <f t="shared" si="46"/>
        <v>0</v>
      </c>
      <c r="N146" s="316">
        <f t="shared" si="46"/>
        <v>0</v>
      </c>
      <c r="O146" s="316">
        <f t="shared" si="46"/>
        <v>0</v>
      </c>
      <c r="P146" s="316">
        <f t="shared" si="46"/>
        <v>0</v>
      </c>
      <c r="Q146" s="316">
        <f t="shared" si="46"/>
        <v>0</v>
      </c>
      <c r="R146" s="316">
        <f t="shared" si="46"/>
        <v>0</v>
      </c>
      <c r="S146" s="316">
        <f t="shared" si="46"/>
        <v>0</v>
      </c>
      <c r="T146" s="316">
        <f>-H146</f>
        <v>10682501</v>
      </c>
      <c r="U146" s="316">
        <f t="shared" ref="U146:BX146" si="47">-(U24+U110)</f>
        <v>0</v>
      </c>
      <c r="V146" s="316">
        <f t="shared" si="47"/>
        <v>0</v>
      </c>
      <c r="W146" s="316">
        <f t="shared" si="47"/>
        <v>0</v>
      </c>
      <c r="X146" s="316">
        <f t="shared" si="47"/>
        <v>0</v>
      </c>
      <c r="Y146" s="316">
        <f t="shared" si="47"/>
        <v>0</v>
      </c>
      <c r="Z146" s="316">
        <f t="shared" si="47"/>
        <v>0</v>
      </c>
      <c r="AA146" s="316">
        <f t="shared" si="47"/>
        <v>0</v>
      </c>
      <c r="AB146" s="316">
        <f t="shared" si="47"/>
        <v>0</v>
      </c>
      <c r="AC146" s="316">
        <f t="shared" si="47"/>
        <v>0</v>
      </c>
      <c r="AD146" s="316">
        <f t="shared" si="47"/>
        <v>0</v>
      </c>
      <c r="AE146" s="316">
        <f t="shared" si="47"/>
        <v>0</v>
      </c>
      <c r="AF146" s="316">
        <f t="shared" si="47"/>
        <v>0</v>
      </c>
      <c r="AG146" s="316">
        <f t="shared" si="47"/>
        <v>0</v>
      </c>
      <c r="AH146" s="316">
        <f t="shared" si="47"/>
        <v>0</v>
      </c>
      <c r="AI146" s="316">
        <f t="shared" si="47"/>
        <v>0</v>
      </c>
      <c r="AJ146" s="316">
        <f t="shared" si="47"/>
        <v>0</v>
      </c>
      <c r="AK146" s="316">
        <f t="shared" si="47"/>
        <v>0</v>
      </c>
      <c r="AL146" s="316">
        <f t="shared" si="47"/>
        <v>0</v>
      </c>
      <c r="AM146" s="316">
        <f t="shared" si="47"/>
        <v>0</v>
      </c>
      <c r="AN146" s="316">
        <f t="shared" si="47"/>
        <v>0</v>
      </c>
      <c r="AO146" s="316">
        <f t="shared" si="47"/>
        <v>0</v>
      </c>
      <c r="AP146" s="316">
        <f t="shared" si="47"/>
        <v>0</v>
      </c>
      <c r="AQ146" s="316">
        <f t="shared" si="47"/>
        <v>0</v>
      </c>
      <c r="AR146" s="316">
        <f t="shared" si="47"/>
        <v>0</v>
      </c>
      <c r="AS146" s="316">
        <f t="shared" si="47"/>
        <v>0</v>
      </c>
      <c r="AT146" s="316">
        <f t="shared" si="47"/>
        <v>0</v>
      </c>
      <c r="AU146" s="316">
        <f t="shared" si="47"/>
        <v>0</v>
      </c>
      <c r="AV146" s="316">
        <f t="shared" si="47"/>
        <v>0</v>
      </c>
      <c r="AW146" s="316">
        <f t="shared" si="47"/>
        <v>0</v>
      </c>
      <c r="AX146" s="316">
        <f t="shared" si="47"/>
        <v>0</v>
      </c>
      <c r="AY146" s="316">
        <f t="shared" si="47"/>
        <v>0</v>
      </c>
      <c r="AZ146" s="316">
        <f t="shared" si="47"/>
        <v>0</v>
      </c>
      <c r="BA146" s="316">
        <f t="shared" si="47"/>
        <v>0</v>
      </c>
      <c r="BB146" s="316">
        <f t="shared" si="47"/>
        <v>0</v>
      </c>
      <c r="BC146" s="316">
        <f t="shared" si="47"/>
        <v>0</v>
      </c>
      <c r="BD146" s="316">
        <f t="shared" si="47"/>
        <v>0</v>
      </c>
      <c r="BE146" s="316">
        <f t="shared" si="47"/>
        <v>0</v>
      </c>
      <c r="BF146" s="316">
        <f t="shared" si="47"/>
        <v>0</v>
      </c>
      <c r="BG146" s="316">
        <f t="shared" si="47"/>
        <v>0</v>
      </c>
      <c r="BH146" s="316">
        <f t="shared" si="47"/>
        <v>0</v>
      </c>
      <c r="BI146" s="316">
        <f t="shared" si="47"/>
        <v>0</v>
      </c>
      <c r="BJ146" s="316">
        <f t="shared" si="47"/>
        <v>0</v>
      </c>
      <c r="BK146" s="316">
        <f t="shared" si="47"/>
        <v>0</v>
      </c>
      <c r="BL146" s="316">
        <f t="shared" si="47"/>
        <v>0</v>
      </c>
      <c r="BM146" s="316">
        <f t="shared" si="47"/>
        <v>0</v>
      </c>
      <c r="BN146" s="316">
        <f t="shared" si="47"/>
        <v>0</v>
      </c>
      <c r="BO146" s="316">
        <f t="shared" si="47"/>
        <v>0</v>
      </c>
      <c r="BP146" s="316">
        <f t="shared" si="47"/>
        <v>0</v>
      </c>
      <c r="BQ146" s="316">
        <f t="shared" si="47"/>
        <v>0</v>
      </c>
      <c r="BR146" s="316">
        <f t="shared" si="47"/>
        <v>0</v>
      </c>
      <c r="BS146" s="316">
        <f t="shared" si="47"/>
        <v>0</v>
      </c>
      <c r="BT146" s="316">
        <f t="shared" si="47"/>
        <v>0</v>
      </c>
      <c r="BU146" s="316">
        <f t="shared" si="47"/>
        <v>0</v>
      </c>
      <c r="BV146" s="316">
        <f t="shared" si="47"/>
        <v>0</v>
      </c>
      <c r="BW146" s="316">
        <f t="shared" si="47"/>
        <v>0</v>
      </c>
      <c r="BX146" s="316">
        <f t="shared" si="47"/>
        <v>0</v>
      </c>
    </row>
    <row r="147" spans="3:76" hidden="1">
      <c r="C147" s="314" t="s">
        <v>353</v>
      </c>
      <c r="D147" s="323"/>
      <c r="E147" s="315"/>
      <c r="F147" s="315"/>
      <c r="G147" s="315"/>
      <c r="H147" s="315"/>
      <c r="I147" s="315"/>
      <c r="J147" s="315"/>
      <c r="K147" s="315"/>
      <c r="L147" s="315"/>
      <c r="M147" s="315"/>
      <c r="N147" s="315"/>
      <c r="O147" s="315"/>
      <c r="P147" s="315"/>
      <c r="Q147" s="315"/>
      <c r="R147" s="315"/>
      <c r="S147" s="315"/>
      <c r="T147" s="315"/>
      <c r="U147" s="315"/>
      <c r="V147" s="315"/>
      <c r="W147" s="315"/>
      <c r="X147" s="315"/>
      <c r="Y147" s="315"/>
      <c r="Z147" s="315"/>
      <c r="AA147" s="315"/>
      <c r="AB147" s="315"/>
      <c r="AC147" s="315"/>
      <c r="AD147" s="315"/>
      <c r="AE147" s="315"/>
      <c r="AF147" s="315"/>
      <c r="AG147" s="315"/>
      <c r="AH147" s="315"/>
      <c r="AI147" s="315"/>
      <c r="AJ147" s="315"/>
      <c r="AK147" s="315"/>
      <c r="AL147" s="315"/>
      <c r="AM147" s="315"/>
      <c r="AN147" s="315"/>
      <c r="AO147" s="315"/>
      <c r="AP147" s="315"/>
      <c r="AQ147" s="315"/>
      <c r="AR147" s="315"/>
      <c r="AS147" s="315"/>
      <c r="AT147" s="315"/>
      <c r="AU147" s="315"/>
      <c r="AV147" s="315"/>
      <c r="AW147" s="315"/>
      <c r="AX147" s="315"/>
      <c r="AY147" s="315"/>
      <c r="AZ147" s="315"/>
      <c r="BA147" s="315"/>
      <c r="BB147" s="315"/>
      <c r="BC147" s="316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</row>
    <row r="148" spans="3:76" hidden="1">
      <c r="C148" s="314" t="s">
        <v>343</v>
      </c>
      <c r="D148" s="323"/>
      <c r="E148" s="315">
        <f t="shared" ref="E148:BX148" si="48">-E75</f>
        <v>0</v>
      </c>
      <c r="F148" s="315">
        <f t="shared" si="48"/>
        <v>0</v>
      </c>
      <c r="G148" s="315">
        <f t="shared" si="48"/>
        <v>0</v>
      </c>
      <c r="H148" s="315">
        <f t="shared" si="48"/>
        <v>0</v>
      </c>
      <c r="I148" s="315">
        <f t="shared" si="48"/>
        <v>0</v>
      </c>
      <c r="J148" s="315">
        <f t="shared" si="48"/>
        <v>0</v>
      </c>
      <c r="K148" s="315">
        <f t="shared" si="48"/>
        <v>0</v>
      </c>
      <c r="L148" s="315">
        <f t="shared" si="48"/>
        <v>0</v>
      </c>
      <c r="M148" s="315">
        <f t="shared" si="48"/>
        <v>0</v>
      </c>
      <c r="N148" s="315">
        <f t="shared" si="48"/>
        <v>0</v>
      </c>
      <c r="O148" s="315">
        <f t="shared" si="48"/>
        <v>0</v>
      </c>
      <c r="P148" s="315">
        <f t="shared" si="48"/>
        <v>0</v>
      </c>
      <c r="Q148" s="315">
        <f t="shared" si="48"/>
        <v>0</v>
      </c>
      <c r="R148" s="315">
        <f t="shared" si="48"/>
        <v>0</v>
      </c>
      <c r="S148" s="315">
        <f t="shared" si="48"/>
        <v>0</v>
      </c>
      <c r="T148" s="315">
        <f t="shared" si="48"/>
        <v>0</v>
      </c>
      <c r="U148" s="315">
        <f t="shared" si="48"/>
        <v>0</v>
      </c>
      <c r="V148" s="315">
        <f t="shared" si="48"/>
        <v>0</v>
      </c>
      <c r="W148" s="315">
        <f t="shared" si="48"/>
        <v>0</v>
      </c>
      <c r="X148" s="315">
        <f t="shared" si="48"/>
        <v>0</v>
      </c>
      <c r="Y148" s="315">
        <f t="shared" si="48"/>
        <v>0</v>
      </c>
      <c r="Z148" s="315">
        <f t="shared" si="48"/>
        <v>0</v>
      </c>
      <c r="AA148" s="315">
        <f t="shared" si="48"/>
        <v>0</v>
      </c>
      <c r="AB148" s="315">
        <f t="shared" si="48"/>
        <v>0</v>
      </c>
      <c r="AC148" s="315">
        <f t="shared" si="48"/>
        <v>0</v>
      </c>
      <c r="AD148" s="315">
        <f t="shared" si="48"/>
        <v>0</v>
      </c>
      <c r="AE148" s="315">
        <f t="shared" si="48"/>
        <v>0</v>
      </c>
      <c r="AF148" s="315">
        <f t="shared" si="48"/>
        <v>0</v>
      </c>
      <c r="AG148" s="315">
        <f t="shared" si="48"/>
        <v>0</v>
      </c>
      <c r="AH148" s="315">
        <f t="shared" si="48"/>
        <v>0</v>
      </c>
      <c r="AI148" s="315">
        <f t="shared" si="48"/>
        <v>0</v>
      </c>
      <c r="AJ148" s="315">
        <f t="shared" si="48"/>
        <v>0</v>
      </c>
      <c r="AK148" s="315">
        <f t="shared" si="48"/>
        <v>0</v>
      </c>
      <c r="AL148" s="315">
        <f t="shared" si="48"/>
        <v>0</v>
      </c>
      <c r="AM148" s="315">
        <f t="shared" si="48"/>
        <v>0</v>
      </c>
      <c r="AN148" s="315">
        <f t="shared" si="48"/>
        <v>0</v>
      </c>
      <c r="AO148" s="315">
        <f t="shared" si="48"/>
        <v>0</v>
      </c>
      <c r="AP148" s="315">
        <f t="shared" si="48"/>
        <v>0</v>
      </c>
      <c r="AQ148" s="315">
        <f t="shared" si="48"/>
        <v>0</v>
      </c>
      <c r="AR148" s="315">
        <f t="shared" si="48"/>
        <v>0</v>
      </c>
      <c r="AS148" s="315">
        <f t="shared" si="48"/>
        <v>0</v>
      </c>
      <c r="AT148" s="315">
        <f t="shared" si="48"/>
        <v>0</v>
      </c>
      <c r="AU148" s="315">
        <f t="shared" si="48"/>
        <v>0</v>
      </c>
      <c r="AV148" s="315">
        <f t="shared" si="48"/>
        <v>0</v>
      </c>
      <c r="AW148" s="315">
        <f t="shared" si="48"/>
        <v>0</v>
      </c>
      <c r="AX148" s="315">
        <f t="shared" si="48"/>
        <v>0</v>
      </c>
      <c r="AY148" s="315">
        <f t="shared" si="48"/>
        <v>0</v>
      </c>
      <c r="AZ148" s="315">
        <f t="shared" si="48"/>
        <v>0</v>
      </c>
      <c r="BA148" s="315">
        <f t="shared" si="48"/>
        <v>0</v>
      </c>
      <c r="BB148" s="315">
        <f t="shared" si="48"/>
        <v>0</v>
      </c>
      <c r="BC148" s="315">
        <f t="shared" si="48"/>
        <v>0</v>
      </c>
      <c r="BD148" s="315">
        <f t="shared" si="48"/>
        <v>0</v>
      </c>
      <c r="BE148" s="315">
        <f t="shared" si="48"/>
        <v>0</v>
      </c>
      <c r="BF148" s="315">
        <f t="shared" si="48"/>
        <v>0</v>
      </c>
      <c r="BG148" s="315">
        <f t="shared" si="48"/>
        <v>0</v>
      </c>
      <c r="BH148" s="315">
        <f t="shared" si="48"/>
        <v>0</v>
      </c>
      <c r="BI148" s="315">
        <f t="shared" si="48"/>
        <v>0</v>
      </c>
      <c r="BJ148" s="315">
        <f t="shared" si="48"/>
        <v>0</v>
      </c>
      <c r="BK148" s="315">
        <f t="shared" si="48"/>
        <v>0</v>
      </c>
      <c r="BL148" s="315">
        <f t="shared" si="48"/>
        <v>0</v>
      </c>
      <c r="BM148" s="315">
        <f t="shared" si="48"/>
        <v>0</v>
      </c>
      <c r="BN148" s="315">
        <f t="shared" si="48"/>
        <v>0</v>
      </c>
      <c r="BO148" s="315">
        <f t="shared" si="48"/>
        <v>0</v>
      </c>
      <c r="BP148" s="315">
        <f t="shared" si="48"/>
        <v>0</v>
      </c>
      <c r="BQ148" s="315">
        <f t="shared" si="48"/>
        <v>0</v>
      </c>
      <c r="BR148" s="315">
        <f t="shared" si="48"/>
        <v>0</v>
      </c>
      <c r="BS148" s="315">
        <f t="shared" si="48"/>
        <v>0</v>
      </c>
      <c r="BT148" s="315">
        <f t="shared" si="48"/>
        <v>0</v>
      </c>
      <c r="BU148" s="315">
        <f t="shared" si="48"/>
        <v>0</v>
      </c>
      <c r="BV148" s="315">
        <f t="shared" si="48"/>
        <v>0</v>
      </c>
      <c r="BW148" s="315">
        <f t="shared" si="48"/>
        <v>0</v>
      </c>
      <c r="BX148" s="315">
        <f t="shared" si="48"/>
        <v>0</v>
      </c>
    </row>
    <row r="149" spans="3:76" hidden="1">
      <c r="C149" s="314" t="s">
        <v>344</v>
      </c>
      <c r="D149" s="323"/>
      <c r="E149" s="315"/>
      <c r="F149" s="315"/>
      <c r="G149" s="315"/>
      <c r="H149" s="315"/>
      <c r="I149" s="315"/>
      <c r="J149" s="315"/>
      <c r="K149" s="315"/>
      <c r="L149" s="315"/>
      <c r="M149" s="315"/>
      <c r="N149" s="315"/>
      <c r="O149" s="315"/>
      <c r="P149" s="315"/>
      <c r="Q149" s="315"/>
      <c r="R149" s="315"/>
      <c r="S149" s="315"/>
      <c r="T149" s="315">
        <f>5500000</f>
        <v>5500000</v>
      </c>
      <c r="U149" s="315"/>
      <c r="V149" s="315"/>
      <c r="W149" s="315"/>
      <c r="X149" s="315"/>
      <c r="Y149" s="315"/>
      <c r="Z149" s="315"/>
      <c r="AA149" s="315"/>
      <c r="AB149" s="315"/>
      <c r="AC149" s="315"/>
      <c r="AD149" s="315"/>
      <c r="AE149" s="315"/>
      <c r="AF149" s="315"/>
      <c r="AG149" s="315"/>
      <c r="AH149" s="315"/>
      <c r="AI149" s="315"/>
      <c r="AJ149" s="315"/>
      <c r="AK149" s="315"/>
      <c r="AL149" s="315"/>
      <c r="AM149" s="315"/>
      <c r="AN149" s="315"/>
      <c r="AO149" s="315"/>
      <c r="AP149" s="315"/>
      <c r="AQ149" s="315"/>
      <c r="AR149" s="315"/>
      <c r="AS149" s="315"/>
      <c r="AT149" s="315"/>
      <c r="AU149" s="315"/>
      <c r="AV149" s="315"/>
      <c r="AW149" s="315"/>
      <c r="AX149" s="315"/>
      <c r="AY149" s="315"/>
      <c r="AZ149" s="315"/>
      <c r="BA149" s="315"/>
      <c r="BB149" s="315"/>
      <c r="BC149" s="316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 t="e">
        <f>IF(D121&gt;0.25,(BX116-BX124)*D150,BX116*D150)</f>
        <v>#VALUE!</v>
      </c>
    </row>
    <row r="150" spans="3:76" hidden="1">
      <c r="C150" s="317" t="s">
        <v>345</v>
      </c>
      <c r="D150" s="323">
        <v>0</v>
      </c>
      <c r="E150" s="315"/>
      <c r="F150" s="315"/>
      <c r="G150" s="315"/>
      <c r="H150" s="315"/>
      <c r="I150" s="315"/>
      <c r="J150" s="315"/>
      <c r="K150" s="315"/>
      <c r="L150" s="315"/>
      <c r="M150" s="315"/>
      <c r="N150" s="315"/>
      <c r="O150" s="315"/>
      <c r="P150" s="315"/>
      <c r="Q150" s="315"/>
      <c r="R150" s="315"/>
      <c r="S150" s="315"/>
      <c r="T150" s="315"/>
      <c r="U150" s="315"/>
      <c r="V150" s="315"/>
      <c r="W150" s="315"/>
      <c r="X150" s="315"/>
      <c r="Y150" s="315"/>
      <c r="Z150" s="315"/>
      <c r="AA150" s="315"/>
      <c r="AB150" s="315"/>
      <c r="AC150" s="315"/>
      <c r="AD150" s="315"/>
      <c r="AE150" s="315"/>
      <c r="AF150" s="315"/>
      <c r="AG150" s="315"/>
      <c r="AH150" s="315"/>
      <c r="AI150" s="315"/>
      <c r="AJ150" s="315"/>
      <c r="AK150" s="315"/>
      <c r="AL150" s="315"/>
      <c r="AM150" s="315"/>
      <c r="AN150" s="315"/>
      <c r="AO150" s="315"/>
      <c r="AP150" s="315"/>
      <c r="AQ150" s="315"/>
      <c r="AR150" s="315"/>
      <c r="AS150" s="315"/>
      <c r="AT150" s="315"/>
      <c r="AU150" s="315"/>
      <c r="AV150" s="315"/>
      <c r="AW150" s="315"/>
      <c r="AX150" s="315"/>
      <c r="AY150" s="315"/>
      <c r="AZ150" s="315"/>
      <c r="BA150" s="315"/>
      <c r="BB150" s="315"/>
      <c r="BC150" s="316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</row>
    <row r="151" spans="3:76" hidden="1">
      <c r="C151" s="314" t="s">
        <v>346</v>
      </c>
      <c r="D151" s="315"/>
      <c r="E151" s="325">
        <f t="shared" ref="E151:BX151" si="49">E146+E147+E148+E149+E150</f>
        <v>0</v>
      </c>
      <c r="F151" s="325">
        <f t="shared" si="49"/>
        <v>0</v>
      </c>
      <c r="G151" s="325">
        <f t="shared" si="49"/>
        <v>0</v>
      </c>
      <c r="H151" s="325">
        <f t="shared" si="49"/>
        <v>-10682501</v>
      </c>
      <c r="I151" s="325">
        <f t="shared" si="49"/>
        <v>0</v>
      </c>
      <c r="J151" s="325">
        <f t="shared" si="49"/>
        <v>0</v>
      </c>
      <c r="K151" s="325">
        <f t="shared" si="49"/>
        <v>0</v>
      </c>
      <c r="L151" s="325">
        <f t="shared" si="49"/>
        <v>0</v>
      </c>
      <c r="M151" s="325">
        <f t="shared" si="49"/>
        <v>0</v>
      </c>
      <c r="N151" s="325">
        <f t="shared" si="49"/>
        <v>0</v>
      </c>
      <c r="O151" s="325">
        <f t="shared" si="49"/>
        <v>0</v>
      </c>
      <c r="P151" s="325">
        <f t="shared" si="49"/>
        <v>0</v>
      </c>
      <c r="Q151" s="325">
        <f t="shared" si="49"/>
        <v>0</v>
      </c>
      <c r="R151" s="325">
        <f t="shared" si="49"/>
        <v>0</v>
      </c>
      <c r="S151" s="325">
        <f t="shared" si="49"/>
        <v>0</v>
      </c>
      <c r="T151" s="325">
        <f t="shared" si="49"/>
        <v>16182501</v>
      </c>
      <c r="U151" s="325">
        <f t="shared" si="49"/>
        <v>0</v>
      </c>
      <c r="V151" s="325">
        <f t="shared" si="49"/>
        <v>0</v>
      </c>
      <c r="W151" s="325">
        <f t="shared" si="49"/>
        <v>0</v>
      </c>
      <c r="X151" s="325">
        <f t="shared" si="49"/>
        <v>0</v>
      </c>
      <c r="Y151" s="325">
        <f t="shared" si="49"/>
        <v>0</v>
      </c>
      <c r="Z151" s="325">
        <f t="shared" si="49"/>
        <v>0</v>
      </c>
      <c r="AA151" s="325">
        <f t="shared" si="49"/>
        <v>0</v>
      </c>
      <c r="AB151" s="325">
        <f t="shared" si="49"/>
        <v>0</v>
      </c>
      <c r="AC151" s="325">
        <f t="shared" si="49"/>
        <v>0</v>
      </c>
      <c r="AD151" s="325">
        <f t="shared" si="49"/>
        <v>0</v>
      </c>
      <c r="AE151" s="325">
        <f t="shared" si="49"/>
        <v>0</v>
      </c>
      <c r="AF151" s="325">
        <f t="shared" si="49"/>
        <v>0</v>
      </c>
      <c r="AG151" s="325">
        <f t="shared" si="49"/>
        <v>0</v>
      </c>
      <c r="AH151" s="325">
        <f t="shared" si="49"/>
        <v>0</v>
      </c>
      <c r="AI151" s="325">
        <f t="shared" si="49"/>
        <v>0</v>
      </c>
      <c r="AJ151" s="325">
        <f t="shared" si="49"/>
        <v>0</v>
      </c>
      <c r="AK151" s="325">
        <f t="shared" si="49"/>
        <v>0</v>
      </c>
      <c r="AL151" s="325">
        <f t="shared" si="49"/>
        <v>0</v>
      </c>
      <c r="AM151" s="325">
        <f t="shared" si="49"/>
        <v>0</v>
      </c>
      <c r="AN151" s="325">
        <f t="shared" si="49"/>
        <v>0</v>
      </c>
      <c r="AO151" s="325">
        <f t="shared" si="49"/>
        <v>0</v>
      </c>
      <c r="AP151" s="325">
        <f t="shared" si="49"/>
        <v>0</v>
      </c>
      <c r="AQ151" s="325">
        <f t="shared" si="49"/>
        <v>0</v>
      </c>
      <c r="AR151" s="325">
        <f t="shared" si="49"/>
        <v>0</v>
      </c>
      <c r="AS151" s="325">
        <f t="shared" si="49"/>
        <v>0</v>
      </c>
      <c r="AT151" s="325">
        <f t="shared" si="49"/>
        <v>0</v>
      </c>
      <c r="AU151" s="325">
        <f t="shared" si="49"/>
        <v>0</v>
      </c>
      <c r="AV151" s="325">
        <f t="shared" si="49"/>
        <v>0</v>
      </c>
      <c r="AW151" s="325">
        <f t="shared" si="49"/>
        <v>0</v>
      </c>
      <c r="AX151" s="325">
        <f t="shared" si="49"/>
        <v>0</v>
      </c>
      <c r="AY151" s="325">
        <f t="shared" si="49"/>
        <v>0</v>
      </c>
      <c r="AZ151" s="325">
        <f t="shared" si="49"/>
        <v>0</v>
      </c>
      <c r="BA151" s="325">
        <f t="shared" si="49"/>
        <v>0</v>
      </c>
      <c r="BB151" s="325">
        <f t="shared" si="49"/>
        <v>0</v>
      </c>
      <c r="BC151" s="325">
        <f t="shared" si="49"/>
        <v>0</v>
      </c>
      <c r="BD151" s="325">
        <f t="shared" si="49"/>
        <v>0</v>
      </c>
      <c r="BE151" s="325">
        <f t="shared" si="49"/>
        <v>0</v>
      </c>
      <c r="BF151" s="325">
        <f t="shared" si="49"/>
        <v>0</v>
      </c>
      <c r="BG151" s="325">
        <f t="shared" si="49"/>
        <v>0</v>
      </c>
      <c r="BH151" s="325">
        <f t="shared" si="49"/>
        <v>0</v>
      </c>
      <c r="BI151" s="325">
        <f t="shared" si="49"/>
        <v>0</v>
      </c>
      <c r="BJ151" s="325">
        <f t="shared" si="49"/>
        <v>0</v>
      </c>
      <c r="BK151" s="325">
        <f t="shared" si="49"/>
        <v>0</v>
      </c>
      <c r="BL151" s="325">
        <f t="shared" si="49"/>
        <v>0</v>
      </c>
      <c r="BM151" s="325">
        <f t="shared" si="49"/>
        <v>0</v>
      </c>
      <c r="BN151" s="325">
        <f t="shared" si="49"/>
        <v>0</v>
      </c>
      <c r="BO151" s="325">
        <f t="shared" si="49"/>
        <v>0</v>
      </c>
      <c r="BP151" s="325">
        <f t="shared" si="49"/>
        <v>0</v>
      </c>
      <c r="BQ151" s="325">
        <f t="shared" si="49"/>
        <v>0</v>
      </c>
      <c r="BR151" s="325">
        <f t="shared" si="49"/>
        <v>0</v>
      </c>
      <c r="BS151" s="325">
        <f t="shared" si="49"/>
        <v>0</v>
      </c>
      <c r="BT151" s="325">
        <f t="shared" si="49"/>
        <v>0</v>
      </c>
      <c r="BU151" s="325">
        <f t="shared" si="49"/>
        <v>0</v>
      </c>
      <c r="BV151" s="325">
        <f t="shared" si="49"/>
        <v>0</v>
      </c>
      <c r="BW151" s="325">
        <f t="shared" si="49"/>
        <v>0</v>
      </c>
      <c r="BX151" s="325" t="e">
        <f t="shared" si="49"/>
        <v>#VALUE!</v>
      </c>
    </row>
    <row r="152" spans="3:76" hidden="1">
      <c r="C152" s="318"/>
      <c r="D152" s="326" t="s">
        <v>354</v>
      </c>
      <c r="E152" s="330">
        <f>E151</f>
        <v>0</v>
      </c>
      <c r="F152" s="330">
        <f t="shared" ref="F152:BX152" si="50">E152+F151</f>
        <v>0</v>
      </c>
      <c r="G152" s="330">
        <f t="shared" si="50"/>
        <v>0</v>
      </c>
      <c r="H152" s="330">
        <f t="shared" si="50"/>
        <v>-10682501</v>
      </c>
      <c r="I152" s="330">
        <f t="shared" si="50"/>
        <v>-10682501</v>
      </c>
      <c r="J152" s="330">
        <f t="shared" si="50"/>
        <v>-10682501</v>
      </c>
      <c r="K152" s="330">
        <f t="shared" si="50"/>
        <v>-10682501</v>
      </c>
      <c r="L152" s="330">
        <f t="shared" si="50"/>
        <v>-10682501</v>
      </c>
      <c r="M152" s="330">
        <f t="shared" si="50"/>
        <v>-10682501</v>
      </c>
      <c r="N152" s="330">
        <f t="shared" si="50"/>
        <v>-10682501</v>
      </c>
      <c r="O152" s="330">
        <f t="shared" si="50"/>
        <v>-10682501</v>
      </c>
      <c r="P152" s="330">
        <f t="shared" si="50"/>
        <v>-10682501</v>
      </c>
      <c r="Q152" s="330">
        <f t="shared" si="50"/>
        <v>-10682501</v>
      </c>
      <c r="R152" s="330">
        <f t="shared" si="50"/>
        <v>-10682501</v>
      </c>
      <c r="S152" s="330">
        <f t="shared" si="50"/>
        <v>-10682501</v>
      </c>
      <c r="T152" s="330">
        <f t="shared" si="50"/>
        <v>5500000</v>
      </c>
      <c r="U152" s="330">
        <f t="shared" si="50"/>
        <v>5500000</v>
      </c>
      <c r="V152" s="331">
        <f t="shared" si="50"/>
        <v>5500000</v>
      </c>
      <c r="W152" s="331">
        <f t="shared" si="50"/>
        <v>5500000</v>
      </c>
      <c r="X152" s="331">
        <f t="shared" si="50"/>
        <v>5500000</v>
      </c>
      <c r="Y152" s="331">
        <f t="shared" si="50"/>
        <v>5500000</v>
      </c>
      <c r="Z152" s="331">
        <f t="shared" si="50"/>
        <v>5500000</v>
      </c>
      <c r="AA152" s="331">
        <f t="shared" si="50"/>
        <v>5500000</v>
      </c>
      <c r="AB152" s="331">
        <f t="shared" si="50"/>
        <v>5500000</v>
      </c>
      <c r="AC152" s="331">
        <f t="shared" si="50"/>
        <v>5500000</v>
      </c>
      <c r="AD152" s="331">
        <f t="shared" si="50"/>
        <v>5500000</v>
      </c>
      <c r="AE152" s="331">
        <f t="shared" si="50"/>
        <v>5500000</v>
      </c>
      <c r="AF152" s="331">
        <f t="shared" si="50"/>
        <v>5500000</v>
      </c>
      <c r="AG152" s="331">
        <f t="shared" si="50"/>
        <v>5500000</v>
      </c>
      <c r="AH152" s="331">
        <f t="shared" si="50"/>
        <v>5500000</v>
      </c>
      <c r="AI152" s="331">
        <f t="shared" si="50"/>
        <v>5500000</v>
      </c>
      <c r="AJ152" s="331">
        <f t="shared" si="50"/>
        <v>5500000</v>
      </c>
      <c r="AK152" s="331">
        <f t="shared" si="50"/>
        <v>5500000</v>
      </c>
      <c r="AL152" s="331">
        <f t="shared" si="50"/>
        <v>5500000</v>
      </c>
      <c r="AM152" s="331">
        <f t="shared" si="50"/>
        <v>5500000</v>
      </c>
      <c r="AN152" s="331">
        <f t="shared" si="50"/>
        <v>5500000</v>
      </c>
      <c r="AO152" s="331">
        <f t="shared" si="50"/>
        <v>5500000</v>
      </c>
      <c r="AP152" s="331">
        <f t="shared" si="50"/>
        <v>5500000</v>
      </c>
      <c r="AQ152" s="331">
        <f t="shared" si="50"/>
        <v>5500000</v>
      </c>
      <c r="AR152" s="331">
        <f t="shared" si="50"/>
        <v>5500000</v>
      </c>
      <c r="AS152" s="331">
        <f t="shared" si="50"/>
        <v>5500000</v>
      </c>
      <c r="AT152" s="331">
        <f t="shared" si="50"/>
        <v>5500000</v>
      </c>
      <c r="AU152" s="331">
        <f t="shared" si="50"/>
        <v>5500000</v>
      </c>
      <c r="AV152" s="331">
        <f t="shared" si="50"/>
        <v>5500000</v>
      </c>
      <c r="AW152" s="331">
        <f t="shared" si="50"/>
        <v>5500000</v>
      </c>
      <c r="AX152" s="331">
        <f t="shared" si="50"/>
        <v>5500000</v>
      </c>
      <c r="AY152" s="331">
        <f t="shared" si="50"/>
        <v>5500000</v>
      </c>
      <c r="AZ152" s="331">
        <f t="shared" si="50"/>
        <v>5500000</v>
      </c>
      <c r="BA152" s="331">
        <f t="shared" si="50"/>
        <v>5500000</v>
      </c>
      <c r="BB152" s="331">
        <f t="shared" si="50"/>
        <v>5500000</v>
      </c>
      <c r="BC152" s="330">
        <f t="shared" si="50"/>
        <v>5500000</v>
      </c>
      <c r="BD152" s="330">
        <f t="shared" si="50"/>
        <v>5500000</v>
      </c>
      <c r="BE152" s="330">
        <f t="shared" si="50"/>
        <v>5500000</v>
      </c>
      <c r="BF152" s="330">
        <f t="shared" si="50"/>
        <v>5500000</v>
      </c>
      <c r="BG152" s="330">
        <f t="shared" si="50"/>
        <v>5500000</v>
      </c>
      <c r="BH152" s="330">
        <f t="shared" si="50"/>
        <v>5500000</v>
      </c>
      <c r="BI152" s="330">
        <f t="shared" si="50"/>
        <v>5500000</v>
      </c>
      <c r="BJ152" s="330">
        <f t="shared" si="50"/>
        <v>5500000</v>
      </c>
      <c r="BK152" s="330">
        <f t="shared" si="50"/>
        <v>5500000</v>
      </c>
      <c r="BL152" s="330">
        <f t="shared" si="50"/>
        <v>5500000</v>
      </c>
      <c r="BM152" s="330">
        <f t="shared" si="50"/>
        <v>5500000</v>
      </c>
      <c r="BN152" s="330">
        <f t="shared" si="50"/>
        <v>5500000</v>
      </c>
      <c r="BO152" s="330">
        <f t="shared" si="50"/>
        <v>5500000</v>
      </c>
      <c r="BP152" s="330">
        <f t="shared" si="50"/>
        <v>5500000</v>
      </c>
      <c r="BQ152" s="330">
        <f t="shared" si="50"/>
        <v>5500000</v>
      </c>
      <c r="BR152" s="330">
        <f t="shared" si="50"/>
        <v>5500000</v>
      </c>
      <c r="BS152" s="330">
        <f t="shared" si="50"/>
        <v>5500000</v>
      </c>
      <c r="BT152" s="330">
        <f t="shared" si="50"/>
        <v>5500000</v>
      </c>
      <c r="BU152" s="330">
        <f t="shared" si="50"/>
        <v>5500000</v>
      </c>
      <c r="BV152" s="330">
        <f t="shared" si="50"/>
        <v>5500000</v>
      </c>
      <c r="BW152" s="330">
        <f t="shared" si="50"/>
        <v>5500000</v>
      </c>
      <c r="BX152" s="330" t="e">
        <f t="shared" si="50"/>
        <v>#VALUE!</v>
      </c>
    </row>
    <row r="153" spans="3:76" hidden="1">
      <c r="C153" s="317" t="s">
        <v>339</v>
      </c>
      <c r="D153" s="326">
        <f>IRR(H151:T151)*12</f>
        <v>0.4225943643698109</v>
      </c>
      <c r="E153" s="226"/>
      <c r="F153" s="226"/>
      <c r="G153" s="226"/>
      <c r="H153" s="226"/>
      <c r="I153" s="226"/>
      <c r="J153" s="226"/>
      <c r="K153" s="226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6"/>
      <c r="AA153" s="226"/>
      <c r="AB153" s="226"/>
      <c r="AC153" s="226"/>
      <c r="AD153" s="226"/>
      <c r="AE153" s="226"/>
      <c r="AF153" s="226"/>
      <c r="AG153" s="226"/>
      <c r="AH153" s="226"/>
      <c r="AI153" s="226"/>
      <c r="AJ153" s="226"/>
      <c r="AK153" s="226"/>
      <c r="AL153" s="226"/>
      <c r="AM153" s="226"/>
      <c r="AN153" s="226"/>
      <c r="AO153" s="226"/>
      <c r="AP153" s="226"/>
      <c r="AQ153" s="226"/>
      <c r="AR153" s="226"/>
      <c r="AS153" s="226"/>
      <c r="AT153" s="226"/>
      <c r="AU153" s="226"/>
      <c r="AV153" s="226"/>
      <c r="AW153" s="226"/>
      <c r="AX153" s="226"/>
      <c r="AY153" s="226"/>
      <c r="AZ153" s="226"/>
      <c r="BA153" s="226"/>
      <c r="BB153" s="226"/>
      <c r="BC153" s="226"/>
      <c r="BD153" s="226"/>
      <c r="BE153" s="226"/>
      <c r="BF153" s="226"/>
      <c r="BG153" s="226"/>
      <c r="BH153" s="226"/>
      <c r="BI153" s="226"/>
      <c r="BJ153" s="226"/>
      <c r="BK153" s="226"/>
      <c r="BL153" s="226"/>
      <c r="BM153" s="226"/>
      <c r="BN153" s="226"/>
      <c r="BO153" s="226"/>
      <c r="BP153" s="226"/>
      <c r="BQ153" s="226"/>
      <c r="BR153" s="226"/>
      <c r="BS153" s="226"/>
      <c r="BT153" s="226"/>
      <c r="BU153" s="226"/>
      <c r="BV153" s="226"/>
      <c r="BW153" s="226"/>
      <c r="BX153" s="226"/>
    </row>
    <row r="154" spans="3:76" hidden="1">
      <c r="C154" s="327" t="s">
        <v>347</v>
      </c>
      <c r="D154" s="328">
        <f>-MIN(M152:BL152)-D155</f>
        <v>10682501</v>
      </c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  <c r="AG154" s="226"/>
      <c r="AH154" s="226"/>
      <c r="AI154" s="226"/>
      <c r="AJ154" s="226"/>
      <c r="AK154" s="226"/>
      <c r="AL154" s="226"/>
      <c r="AM154" s="226"/>
      <c r="AN154" s="226"/>
      <c r="AO154" s="226"/>
      <c r="AP154" s="226"/>
      <c r="AQ154" s="226"/>
      <c r="AR154" s="226"/>
      <c r="AS154" s="226"/>
      <c r="AT154" s="226"/>
      <c r="AU154" s="226"/>
      <c r="AV154" s="226"/>
      <c r="AW154" s="226"/>
      <c r="AX154" s="226"/>
      <c r="AY154" s="226"/>
      <c r="AZ154" s="226"/>
      <c r="BA154" s="226"/>
      <c r="BB154" s="226"/>
      <c r="BC154" s="226"/>
      <c r="BD154" s="226"/>
      <c r="BE154" s="226"/>
      <c r="BF154" s="226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6"/>
      <c r="BQ154" s="226"/>
      <c r="BR154" s="226"/>
      <c r="BS154" s="226"/>
      <c r="BT154" s="226"/>
      <c r="BU154" s="226"/>
      <c r="BV154" s="226"/>
      <c r="BW154" s="226"/>
      <c r="BX154" s="226"/>
    </row>
    <row r="155" spans="3:76" hidden="1">
      <c r="C155" s="327" t="s">
        <v>348</v>
      </c>
      <c r="D155" s="328">
        <f>-SUM(M150:BB150)</f>
        <v>0</v>
      </c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  <c r="BX155" s="226"/>
    </row>
    <row r="156" spans="3:76" hidden="1">
      <c r="C156" s="317" t="s">
        <v>349</v>
      </c>
      <c r="D156" s="329">
        <f>D155+D154</f>
        <v>10682501</v>
      </c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  <c r="BX156" s="226"/>
    </row>
    <row r="157" spans="3:76" hidden="1">
      <c r="C157" s="317" t="s">
        <v>350</v>
      </c>
      <c r="D157" s="329" t="e">
        <f>BX148+BX149</f>
        <v>#VALUE!</v>
      </c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  <c r="BX157" s="226"/>
    </row>
    <row r="158" spans="3:76" hidden="1">
      <c r="C158" s="317" t="s">
        <v>351</v>
      </c>
      <c r="D158" s="326">
        <f>T149/T146</f>
        <v>0.51486070537227191</v>
      </c>
      <c r="E158" s="226"/>
      <c r="F158" s="226"/>
      <c r="G158" s="226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226"/>
      <c r="AG158" s="226"/>
      <c r="AH158" s="226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AY158" s="226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  <c r="BX158" s="226"/>
    </row>
    <row r="162" spans="3:76" hidden="1">
      <c r="C162" s="314" t="s">
        <v>356</v>
      </c>
      <c r="D162" s="315"/>
      <c r="E162" s="315">
        <f t="shared" ref="E162:G162" si="51">-(E7+E93)</f>
        <v>0</v>
      </c>
      <c r="F162" s="315">
        <f t="shared" si="51"/>
        <v>0</v>
      </c>
      <c r="G162" s="315">
        <f t="shared" si="51"/>
        <v>0</v>
      </c>
      <c r="H162" s="315">
        <f>-5341205.5</f>
        <v>-5341205.5</v>
      </c>
      <c r="I162" s="315">
        <f t="shared" ref="I162:S162" si="52">-(I7+I93)</f>
        <v>0</v>
      </c>
      <c r="J162" s="315">
        <f t="shared" si="52"/>
        <v>0</v>
      </c>
      <c r="K162" s="315">
        <f t="shared" si="52"/>
        <v>0</v>
      </c>
      <c r="L162" s="315">
        <f t="shared" si="52"/>
        <v>0</v>
      </c>
      <c r="M162" s="315">
        <f t="shared" si="52"/>
        <v>0</v>
      </c>
      <c r="N162" s="315">
        <f t="shared" si="52"/>
        <v>0</v>
      </c>
      <c r="O162" s="315">
        <f t="shared" si="52"/>
        <v>0</v>
      </c>
      <c r="P162" s="315">
        <f t="shared" si="52"/>
        <v>0</v>
      </c>
      <c r="Q162" s="315">
        <f t="shared" si="52"/>
        <v>0</v>
      </c>
      <c r="R162" s="315">
        <f t="shared" si="52"/>
        <v>0</v>
      </c>
      <c r="S162" s="315">
        <f t="shared" si="52"/>
        <v>0</v>
      </c>
      <c r="T162" s="315">
        <f>5341205.5</f>
        <v>5341205.5</v>
      </c>
      <c r="U162" s="315">
        <f t="shared" ref="U162:BX162" si="53">-(U7+U93)</f>
        <v>0</v>
      </c>
      <c r="V162" s="315">
        <f t="shared" si="53"/>
        <v>0</v>
      </c>
      <c r="W162" s="315">
        <f t="shared" si="53"/>
        <v>0</v>
      </c>
      <c r="X162" s="315">
        <f t="shared" si="53"/>
        <v>0</v>
      </c>
      <c r="Y162" s="315">
        <f t="shared" si="53"/>
        <v>0</v>
      </c>
      <c r="Z162" s="315">
        <f t="shared" si="53"/>
        <v>0</v>
      </c>
      <c r="AA162" s="315">
        <f t="shared" si="53"/>
        <v>0</v>
      </c>
      <c r="AB162" s="315">
        <f t="shared" si="53"/>
        <v>0</v>
      </c>
      <c r="AC162" s="315">
        <f t="shared" si="53"/>
        <v>0</v>
      </c>
      <c r="AD162" s="315">
        <f t="shared" si="53"/>
        <v>0</v>
      </c>
      <c r="AE162" s="315">
        <f t="shared" si="53"/>
        <v>0</v>
      </c>
      <c r="AF162" s="315">
        <f t="shared" si="53"/>
        <v>0</v>
      </c>
      <c r="AG162" s="315">
        <f t="shared" si="53"/>
        <v>0</v>
      </c>
      <c r="AH162" s="315">
        <f t="shared" si="53"/>
        <v>0</v>
      </c>
      <c r="AI162" s="315">
        <f t="shared" si="53"/>
        <v>0</v>
      </c>
      <c r="AJ162" s="315">
        <f t="shared" si="53"/>
        <v>0</v>
      </c>
      <c r="AK162" s="315">
        <f t="shared" si="53"/>
        <v>0</v>
      </c>
      <c r="AL162" s="315">
        <f t="shared" si="53"/>
        <v>0</v>
      </c>
      <c r="AM162" s="315">
        <f t="shared" si="53"/>
        <v>0</v>
      </c>
      <c r="AN162" s="315">
        <f t="shared" si="53"/>
        <v>0</v>
      </c>
      <c r="AO162" s="315">
        <f t="shared" si="53"/>
        <v>0</v>
      </c>
      <c r="AP162" s="315">
        <f t="shared" si="53"/>
        <v>0</v>
      </c>
      <c r="AQ162" s="315">
        <f t="shared" si="53"/>
        <v>0</v>
      </c>
      <c r="AR162" s="315">
        <f t="shared" si="53"/>
        <v>0</v>
      </c>
      <c r="AS162" s="315">
        <f t="shared" si="53"/>
        <v>0</v>
      </c>
      <c r="AT162" s="315">
        <f t="shared" si="53"/>
        <v>0</v>
      </c>
      <c r="AU162" s="315">
        <f t="shared" si="53"/>
        <v>0</v>
      </c>
      <c r="AV162" s="315">
        <f t="shared" si="53"/>
        <v>0</v>
      </c>
      <c r="AW162" s="315">
        <f t="shared" si="53"/>
        <v>0</v>
      </c>
      <c r="AX162" s="315">
        <f t="shared" si="53"/>
        <v>0</v>
      </c>
      <c r="AY162" s="315">
        <f t="shared" si="53"/>
        <v>0</v>
      </c>
      <c r="AZ162" s="315">
        <f t="shared" si="53"/>
        <v>0</v>
      </c>
      <c r="BA162" s="315">
        <f t="shared" si="53"/>
        <v>0</v>
      </c>
      <c r="BB162" s="315">
        <f t="shared" si="53"/>
        <v>0</v>
      </c>
      <c r="BC162" s="315">
        <f t="shared" si="53"/>
        <v>0</v>
      </c>
      <c r="BD162" s="315">
        <f t="shared" si="53"/>
        <v>0</v>
      </c>
      <c r="BE162" s="315">
        <f t="shared" si="53"/>
        <v>0</v>
      </c>
      <c r="BF162" s="315">
        <f t="shared" si="53"/>
        <v>0</v>
      </c>
      <c r="BG162" s="315">
        <f t="shared" si="53"/>
        <v>0</v>
      </c>
      <c r="BH162" s="315">
        <f t="shared" si="53"/>
        <v>0</v>
      </c>
      <c r="BI162" s="315">
        <f t="shared" si="53"/>
        <v>0</v>
      </c>
      <c r="BJ162" s="315">
        <f t="shared" si="53"/>
        <v>0</v>
      </c>
      <c r="BK162" s="315">
        <f t="shared" si="53"/>
        <v>0</v>
      </c>
      <c r="BL162" s="315">
        <f t="shared" si="53"/>
        <v>0</v>
      </c>
      <c r="BM162" s="315">
        <f t="shared" si="53"/>
        <v>0</v>
      </c>
      <c r="BN162" s="315">
        <f t="shared" si="53"/>
        <v>0</v>
      </c>
      <c r="BO162" s="315">
        <f t="shared" si="53"/>
        <v>0</v>
      </c>
      <c r="BP162" s="315">
        <f t="shared" si="53"/>
        <v>0</v>
      </c>
      <c r="BQ162" s="315">
        <f t="shared" si="53"/>
        <v>0</v>
      </c>
      <c r="BR162" s="315">
        <f t="shared" si="53"/>
        <v>0</v>
      </c>
      <c r="BS162" s="315">
        <f t="shared" si="53"/>
        <v>0</v>
      </c>
      <c r="BT162" s="315">
        <f t="shared" si="53"/>
        <v>0</v>
      </c>
      <c r="BU162" s="315">
        <f t="shared" si="53"/>
        <v>0</v>
      </c>
      <c r="BV162" s="315">
        <f t="shared" si="53"/>
        <v>0</v>
      </c>
      <c r="BW162" s="315">
        <f t="shared" si="53"/>
        <v>0</v>
      </c>
      <c r="BX162" s="315">
        <f t="shared" si="53"/>
        <v>0</v>
      </c>
    </row>
    <row r="163" spans="3:76" hidden="1">
      <c r="C163" s="314" t="s">
        <v>353</v>
      </c>
      <c r="D163" s="323"/>
      <c r="E163" s="315"/>
      <c r="F163" s="315"/>
      <c r="G163" s="315"/>
      <c r="H163" s="315"/>
      <c r="I163" s="315"/>
      <c r="J163" s="315"/>
      <c r="K163" s="315"/>
      <c r="L163" s="315"/>
      <c r="M163" s="315"/>
      <c r="N163" s="315"/>
      <c r="O163" s="315"/>
      <c r="P163" s="315"/>
      <c r="Q163" s="315"/>
      <c r="R163" s="315"/>
      <c r="S163" s="315"/>
      <c r="T163" s="315"/>
      <c r="U163" s="315"/>
      <c r="V163" s="315"/>
      <c r="W163" s="315"/>
      <c r="X163" s="315"/>
      <c r="Y163" s="315"/>
      <c r="Z163" s="315"/>
      <c r="AA163" s="315"/>
      <c r="AB163" s="315"/>
      <c r="AC163" s="315"/>
      <c r="AD163" s="315"/>
      <c r="AE163" s="315"/>
      <c r="AF163" s="315"/>
      <c r="AG163" s="315"/>
      <c r="AH163" s="315"/>
      <c r="AI163" s="315"/>
      <c r="AJ163" s="315"/>
      <c r="AK163" s="315"/>
      <c r="AL163" s="315"/>
      <c r="AM163" s="315"/>
      <c r="AN163" s="315"/>
      <c r="AO163" s="315"/>
      <c r="AP163" s="315"/>
      <c r="AQ163" s="315"/>
      <c r="AR163" s="315"/>
      <c r="AS163" s="315"/>
      <c r="AT163" s="315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</row>
    <row r="164" spans="3:76" hidden="1">
      <c r="C164" s="314" t="s">
        <v>343</v>
      </c>
      <c r="D164" s="323"/>
      <c r="E164" s="315">
        <f t="shared" ref="E164:BX164" si="54">-E58</f>
        <v>0</v>
      </c>
      <c r="F164" s="315">
        <f t="shared" si="54"/>
        <v>0</v>
      </c>
      <c r="G164" s="315">
        <f t="shared" si="54"/>
        <v>0</v>
      </c>
      <c r="H164" s="315">
        <f t="shared" si="54"/>
        <v>0</v>
      </c>
      <c r="I164" s="315">
        <f t="shared" si="54"/>
        <v>0</v>
      </c>
      <c r="J164" s="315">
        <f t="shared" si="54"/>
        <v>0</v>
      </c>
      <c r="K164" s="315">
        <f t="shared" si="54"/>
        <v>0</v>
      </c>
      <c r="L164" s="315">
        <f t="shared" si="54"/>
        <v>0</v>
      </c>
      <c r="M164" s="315">
        <f t="shared" si="54"/>
        <v>0</v>
      </c>
      <c r="N164" s="315">
        <f t="shared" si="54"/>
        <v>0</v>
      </c>
      <c r="O164" s="315">
        <f t="shared" si="54"/>
        <v>0</v>
      </c>
      <c r="P164" s="315">
        <f t="shared" si="54"/>
        <v>0</v>
      </c>
      <c r="Q164" s="315">
        <f t="shared" si="54"/>
        <v>0</v>
      </c>
      <c r="R164" s="315">
        <f t="shared" si="54"/>
        <v>0</v>
      </c>
      <c r="S164" s="315">
        <f t="shared" si="54"/>
        <v>0</v>
      </c>
      <c r="T164" s="315">
        <f t="shared" si="54"/>
        <v>0</v>
      </c>
      <c r="U164" s="315">
        <f t="shared" si="54"/>
        <v>0</v>
      </c>
      <c r="V164" s="315">
        <f t="shared" si="54"/>
        <v>0</v>
      </c>
      <c r="W164" s="315">
        <f t="shared" si="54"/>
        <v>0</v>
      </c>
      <c r="X164" s="315">
        <f t="shared" si="54"/>
        <v>0</v>
      </c>
      <c r="Y164" s="315">
        <f t="shared" si="54"/>
        <v>0</v>
      </c>
      <c r="Z164" s="315">
        <f t="shared" si="54"/>
        <v>0</v>
      </c>
      <c r="AA164" s="315">
        <f t="shared" si="54"/>
        <v>0</v>
      </c>
      <c r="AB164" s="315">
        <f t="shared" si="54"/>
        <v>0</v>
      </c>
      <c r="AC164" s="315">
        <f t="shared" si="54"/>
        <v>0</v>
      </c>
      <c r="AD164" s="315">
        <f t="shared" si="54"/>
        <v>0</v>
      </c>
      <c r="AE164" s="315">
        <f t="shared" si="54"/>
        <v>0</v>
      </c>
      <c r="AF164" s="315">
        <f t="shared" si="54"/>
        <v>0</v>
      </c>
      <c r="AG164" s="315">
        <f t="shared" si="54"/>
        <v>0</v>
      </c>
      <c r="AH164" s="315">
        <f t="shared" si="54"/>
        <v>0</v>
      </c>
      <c r="AI164" s="315">
        <f t="shared" si="54"/>
        <v>0</v>
      </c>
      <c r="AJ164" s="315">
        <f t="shared" si="54"/>
        <v>0</v>
      </c>
      <c r="AK164" s="315">
        <f t="shared" si="54"/>
        <v>0</v>
      </c>
      <c r="AL164" s="315">
        <f t="shared" si="54"/>
        <v>0</v>
      </c>
      <c r="AM164" s="315">
        <f t="shared" si="54"/>
        <v>0</v>
      </c>
      <c r="AN164" s="315">
        <f t="shared" si="54"/>
        <v>0</v>
      </c>
      <c r="AO164" s="315">
        <f t="shared" si="54"/>
        <v>0</v>
      </c>
      <c r="AP164" s="315">
        <f t="shared" si="54"/>
        <v>0</v>
      </c>
      <c r="AQ164" s="315">
        <f t="shared" si="54"/>
        <v>0</v>
      </c>
      <c r="AR164" s="315">
        <f t="shared" si="54"/>
        <v>0</v>
      </c>
      <c r="AS164" s="315">
        <f t="shared" si="54"/>
        <v>0</v>
      </c>
      <c r="AT164" s="315">
        <f t="shared" si="54"/>
        <v>0</v>
      </c>
      <c r="AU164" s="315">
        <f t="shared" si="54"/>
        <v>0</v>
      </c>
      <c r="AV164" s="315">
        <f t="shared" si="54"/>
        <v>0</v>
      </c>
      <c r="AW164" s="315">
        <f t="shared" si="54"/>
        <v>0</v>
      </c>
      <c r="AX164" s="315">
        <f t="shared" si="54"/>
        <v>0</v>
      </c>
      <c r="AY164" s="315">
        <f t="shared" si="54"/>
        <v>0</v>
      </c>
      <c r="AZ164" s="315">
        <f t="shared" si="54"/>
        <v>0</v>
      </c>
      <c r="BA164" s="315">
        <f t="shared" si="54"/>
        <v>0</v>
      </c>
      <c r="BB164" s="315">
        <f t="shared" si="54"/>
        <v>0</v>
      </c>
      <c r="BC164" s="315">
        <f t="shared" si="54"/>
        <v>0</v>
      </c>
      <c r="BD164" s="315">
        <f t="shared" si="54"/>
        <v>0</v>
      </c>
      <c r="BE164" s="315">
        <f t="shared" si="54"/>
        <v>0</v>
      </c>
      <c r="BF164" s="315">
        <f t="shared" si="54"/>
        <v>0</v>
      </c>
      <c r="BG164" s="315">
        <f t="shared" si="54"/>
        <v>0</v>
      </c>
      <c r="BH164" s="315">
        <f t="shared" si="54"/>
        <v>0</v>
      </c>
      <c r="BI164" s="315">
        <f t="shared" si="54"/>
        <v>0</v>
      </c>
      <c r="BJ164" s="315">
        <f t="shared" si="54"/>
        <v>0</v>
      </c>
      <c r="BK164" s="315">
        <f t="shared" si="54"/>
        <v>0</v>
      </c>
      <c r="BL164" s="315">
        <f t="shared" si="54"/>
        <v>0</v>
      </c>
      <c r="BM164" s="315">
        <f t="shared" si="54"/>
        <v>0</v>
      </c>
      <c r="BN164" s="315">
        <f t="shared" si="54"/>
        <v>0</v>
      </c>
      <c r="BO164" s="315">
        <f t="shared" si="54"/>
        <v>0</v>
      </c>
      <c r="BP164" s="315">
        <f t="shared" si="54"/>
        <v>0</v>
      </c>
      <c r="BQ164" s="315">
        <f t="shared" si="54"/>
        <v>0</v>
      </c>
      <c r="BR164" s="315">
        <f t="shared" si="54"/>
        <v>0</v>
      </c>
      <c r="BS164" s="315">
        <f t="shared" si="54"/>
        <v>0</v>
      </c>
      <c r="BT164" s="315">
        <f t="shared" si="54"/>
        <v>0</v>
      </c>
      <c r="BU164" s="315">
        <f t="shared" si="54"/>
        <v>0</v>
      </c>
      <c r="BV164" s="315">
        <f t="shared" si="54"/>
        <v>0</v>
      </c>
      <c r="BW164" s="315">
        <f t="shared" si="54"/>
        <v>0</v>
      </c>
      <c r="BX164" s="315">
        <f t="shared" si="54"/>
        <v>0</v>
      </c>
    </row>
    <row r="165" spans="3:76" hidden="1">
      <c r="C165" s="314" t="s">
        <v>344</v>
      </c>
      <c r="D165" s="323"/>
      <c r="E165" s="315"/>
      <c r="F165" s="315"/>
      <c r="G165" s="315"/>
      <c r="H165" s="315"/>
      <c r="I165" s="315"/>
      <c r="J165" s="315"/>
      <c r="K165" s="315"/>
      <c r="L165" s="315"/>
      <c r="M165" s="315"/>
      <c r="N165" s="315"/>
      <c r="O165" s="315"/>
      <c r="P165" s="315"/>
      <c r="Q165" s="315"/>
      <c r="R165" s="315"/>
      <c r="S165" s="315"/>
      <c r="T165" s="315">
        <v>2750000</v>
      </c>
      <c r="U165" s="315"/>
      <c r="V165" s="315"/>
      <c r="W165" s="315"/>
      <c r="X165" s="315"/>
      <c r="Y165" s="315"/>
      <c r="Z165" s="315"/>
      <c r="AA165" s="315"/>
      <c r="AB165" s="315"/>
      <c r="AC165" s="315"/>
      <c r="AD165" s="315"/>
      <c r="AE165" s="315"/>
      <c r="AF165" s="315"/>
      <c r="AG165" s="315"/>
      <c r="AH165" s="315"/>
      <c r="AI165" s="315"/>
      <c r="AJ165" s="315"/>
      <c r="AK165" s="315"/>
      <c r="AL165" s="315"/>
      <c r="AM165" s="315"/>
      <c r="AN165" s="315"/>
      <c r="AO165" s="315"/>
      <c r="AP165" s="315"/>
      <c r="AQ165" s="315"/>
      <c r="AR165" s="315"/>
      <c r="AS165" s="315"/>
      <c r="AT165" s="315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 t="e">
        <f>IF(D105&gt;0.25,(BX100-BX108)*D166,BX100*D166)</f>
        <v>#VALUE!</v>
      </c>
    </row>
    <row r="166" spans="3:76" hidden="1">
      <c r="C166" s="317" t="s">
        <v>345</v>
      </c>
      <c r="D166" s="323">
        <v>0</v>
      </c>
      <c r="E166" s="246"/>
      <c r="F166" s="246"/>
      <c r="G166" s="246"/>
      <c r="H166" s="246"/>
      <c r="I166" s="246"/>
      <c r="J166" s="246"/>
      <c r="K166" s="246"/>
      <c r="L166" s="246"/>
      <c r="M166" s="246"/>
      <c r="N166" s="246"/>
      <c r="O166" s="246"/>
      <c r="P166" s="246"/>
      <c r="Q166" s="246"/>
      <c r="R166" s="246"/>
      <c r="S166" s="246"/>
      <c r="T166" s="246"/>
      <c r="U166" s="246"/>
      <c r="V166" s="246"/>
      <c r="W166" s="246"/>
      <c r="X166" s="246"/>
      <c r="Y166" s="246"/>
      <c r="Z166" s="246"/>
      <c r="AA166" s="246"/>
      <c r="AB166" s="246"/>
      <c r="AC166" s="246"/>
      <c r="AD166" s="246"/>
      <c r="AE166" s="246"/>
      <c r="AF166" s="246"/>
      <c r="AG166" s="246"/>
      <c r="AH166" s="246"/>
      <c r="AI166" s="246"/>
      <c r="AJ166" s="246"/>
      <c r="AK166" s="246"/>
      <c r="AL166" s="246"/>
      <c r="AM166" s="246"/>
      <c r="AN166" s="246"/>
      <c r="AO166" s="246"/>
      <c r="AP166" s="246"/>
      <c r="AQ166" s="246"/>
      <c r="AR166" s="246"/>
      <c r="AS166" s="246"/>
      <c r="AT166" s="246"/>
      <c r="AU166" s="246"/>
      <c r="AV166" s="246"/>
      <c r="AW166" s="246"/>
      <c r="AX166" s="246"/>
      <c r="AY166" s="246"/>
      <c r="AZ166" s="246"/>
      <c r="BA166" s="246"/>
      <c r="BB166" s="246"/>
      <c r="BC166" s="246"/>
      <c r="BD166" s="246"/>
      <c r="BE166" s="246"/>
      <c r="BF166" s="246"/>
      <c r="BG166" s="246"/>
      <c r="BH166" s="246"/>
      <c r="BI166" s="246"/>
      <c r="BJ166" s="246"/>
      <c r="BK166" s="246"/>
      <c r="BL166" s="246"/>
      <c r="BM166" s="246"/>
      <c r="BN166" s="246"/>
      <c r="BO166" s="246"/>
      <c r="BP166" s="246"/>
      <c r="BQ166" s="246"/>
      <c r="BR166" s="246"/>
      <c r="BS166" s="246"/>
      <c r="BT166" s="246"/>
      <c r="BU166" s="246"/>
      <c r="BV166" s="246"/>
      <c r="BW166" s="246"/>
      <c r="BX166" s="246"/>
    </row>
    <row r="167" spans="3:76" hidden="1">
      <c r="C167" s="314" t="s">
        <v>346</v>
      </c>
      <c r="D167" s="315"/>
      <c r="E167" s="325">
        <f t="shared" ref="E167:BX167" si="55">E162+E163+E164+E165+E166</f>
        <v>0</v>
      </c>
      <c r="F167" s="325">
        <f t="shared" si="55"/>
        <v>0</v>
      </c>
      <c r="G167" s="325">
        <f t="shared" si="55"/>
        <v>0</v>
      </c>
      <c r="H167" s="325">
        <f t="shared" si="55"/>
        <v>-5341205.5</v>
      </c>
      <c r="I167" s="325">
        <f t="shared" si="55"/>
        <v>0</v>
      </c>
      <c r="J167" s="325">
        <f t="shared" si="55"/>
        <v>0</v>
      </c>
      <c r="K167" s="325">
        <f t="shared" si="55"/>
        <v>0</v>
      </c>
      <c r="L167" s="325">
        <f t="shared" si="55"/>
        <v>0</v>
      </c>
      <c r="M167" s="325">
        <f t="shared" si="55"/>
        <v>0</v>
      </c>
      <c r="N167" s="325">
        <f t="shared" si="55"/>
        <v>0</v>
      </c>
      <c r="O167" s="325">
        <f t="shared" si="55"/>
        <v>0</v>
      </c>
      <c r="P167" s="325">
        <f t="shared" si="55"/>
        <v>0</v>
      </c>
      <c r="Q167" s="325">
        <f t="shared" si="55"/>
        <v>0</v>
      </c>
      <c r="R167" s="325">
        <f t="shared" si="55"/>
        <v>0</v>
      </c>
      <c r="S167" s="325">
        <f t="shared" si="55"/>
        <v>0</v>
      </c>
      <c r="T167" s="325">
        <f t="shared" si="55"/>
        <v>8091205.5</v>
      </c>
      <c r="U167" s="325">
        <f t="shared" si="55"/>
        <v>0</v>
      </c>
      <c r="V167" s="325">
        <f t="shared" si="55"/>
        <v>0</v>
      </c>
      <c r="W167" s="325">
        <f t="shared" si="55"/>
        <v>0</v>
      </c>
      <c r="X167" s="325">
        <f t="shared" si="55"/>
        <v>0</v>
      </c>
      <c r="Y167" s="325">
        <f t="shared" si="55"/>
        <v>0</v>
      </c>
      <c r="Z167" s="325">
        <f t="shared" si="55"/>
        <v>0</v>
      </c>
      <c r="AA167" s="325">
        <f t="shared" si="55"/>
        <v>0</v>
      </c>
      <c r="AB167" s="325">
        <f t="shared" si="55"/>
        <v>0</v>
      </c>
      <c r="AC167" s="325">
        <f t="shared" si="55"/>
        <v>0</v>
      </c>
      <c r="AD167" s="325">
        <f t="shared" si="55"/>
        <v>0</v>
      </c>
      <c r="AE167" s="325">
        <f t="shared" si="55"/>
        <v>0</v>
      </c>
      <c r="AF167" s="325">
        <f t="shared" si="55"/>
        <v>0</v>
      </c>
      <c r="AG167" s="325">
        <f t="shared" si="55"/>
        <v>0</v>
      </c>
      <c r="AH167" s="325">
        <f t="shared" si="55"/>
        <v>0</v>
      </c>
      <c r="AI167" s="325">
        <f t="shared" si="55"/>
        <v>0</v>
      </c>
      <c r="AJ167" s="325">
        <f t="shared" si="55"/>
        <v>0</v>
      </c>
      <c r="AK167" s="325">
        <f t="shared" si="55"/>
        <v>0</v>
      </c>
      <c r="AL167" s="325">
        <f t="shared" si="55"/>
        <v>0</v>
      </c>
      <c r="AM167" s="325">
        <f t="shared" si="55"/>
        <v>0</v>
      </c>
      <c r="AN167" s="325">
        <f t="shared" si="55"/>
        <v>0</v>
      </c>
      <c r="AO167" s="325">
        <f t="shared" si="55"/>
        <v>0</v>
      </c>
      <c r="AP167" s="325">
        <f t="shared" si="55"/>
        <v>0</v>
      </c>
      <c r="AQ167" s="325">
        <f t="shared" si="55"/>
        <v>0</v>
      </c>
      <c r="AR167" s="325">
        <f t="shared" si="55"/>
        <v>0</v>
      </c>
      <c r="AS167" s="325">
        <f t="shared" si="55"/>
        <v>0</v>
      </c>
      <c r="AT167" s="325">
        <f t="shared" si="55"/>
        <v>0</v>
      </c>
      <c r="AU167" s="325">
        <f t="shared" si="55"/>
        <v>0</v>
      </c>
      <c r="AV167" s="325">
        <f t="shared" si="55"/>
        <v>0</v>
      </c>
      <c r="AW167" s="325">
        <f t="shared" si="55"/>
        <v>0</v>
      </c>
      <c r="AX167" s="325">
        <f t="shared" si="55"/>
        <v>0</v>
      </c>
      <c r="AY167" s="325">
        <f t="shared" si="55"/>
        <v>0</v>
      </c>
      <c r="AZ167" s="325">
        <f t="shared" si="55"/>
        <v>0</v>
      </c>
      <c r="BA167" s="325">
        <f t="shared" si="55"/>
        <v>0</v>
      </c>
      <c r="BB167" s="325">
        <f t="shared" si="55"/>
        <v>0</v>
      </c>
      <c r="BC167" s="325">
        <f t="shared" si="55"/>
        <v>0</v>
      </c>
      <c r="BD167" s="325">
        <f t="shared" si="55"/>
        <v>0</v>
      </c>
      <c r="BE167" s="325">
        <f t="shared" si="55"/>
        <v>0</v>
      </c>
      <c r="BF167" s="325">
        <f t="shared" si="55"/>
        <v>0</v>
      </c>
      <c r="BG167" s="325">
        <f t="shared" si="55"/>
        <v>0</v>
      </c>
      <c r="BH167" s="325">
        <f t="shared" si="55"/>
        <v>0</v>
      </c>
      <c r="BI167" s="325">
        <f t="shared" si="55"/>
        <v>0</v>
      </c>
      <c r="BJ167" s="325">
        <f t="shared" si="55"/>
        <v>0</v>
      </c>
      <c r="BK167" s="325">
        <f t="shared" si="55"/>
        <v>0</v>
      </c>
      <c r="BL167" s="325">
        <f t="shared" si="55"/>
        <v>0</v>
      </c>
      <c r="BM167" s="325">
        <f t="shared" si="55"/>
        <v>0</v>
      </c>
      <c r="BN167" s="325">
        <f t="shared" si="55"/>
        <v>0</v>
      </c>
      <c r="BO167" s="325">
        <f t="shared" si="55"/>
        <v>0</v>
      </c>
      <c r="BP167" s="325">
        <f t="shared" si="55"/>
        <v>0</v>
      </c>
      <c r="BQ167" s="325">
        <f t="shared" si="55"/>
        <v>0</v>
      </c>
      <c r="BR167" s="325">
        <f t="shared" si="55"/>
        <v>0</v>
      </c>
      <c r="BS167" s="325">
        <f t="shared" si="55"/>
        <v>0</v>
      </c>
      <c r="BT167" s="325">
        <f t="shared" si="55"/>
        <v>0</v>
      </c>
      <c r="BU167" s="325">
        <f t="shared" si="55"/>
        <v>0</v>
      </c>
      <c r="BV167" s="325">
        <f t="shared" si="55"/>
        <v>0</v>
      </c>
      <c r="BW167" s="325">
        <f t="shared" si="55"/>
        <v>0</v>
      </c>
      <c r="BX167" s="325" t="e">
        <f t="shared" si="55"/>
        <v>#VALUE!</v>
      </c>
    </row>
    <row r="168" spans="3:76" hidden="1">
      <c r="C168" s="318"/>
      <c r="D168" s="326" t="s">
        <v>354</v>
      </c>
      <c r="E168" s="330">
        <f>E167</f>
        <v>0</v>
      </c>
      <c r="F168" s="330">
        <f t="shared" ref="F168:BX168" si="56">E168+F167</f>
        <v>0</v>
      </c>
      <c r="G168" s="330">
        <f t="shared" si="56"/>
        <v>0</v>
      </c>
      <c r="H168" s="330">
        <f t="shared" si="56"/>
        <v>-5341205.5</v>
      </c>
      <c r="I168" s="330">
        <f t="shared" si="56"/>
        <v>-5341205.5</v>
      </c>
      <c r="J168" s="330">
        <f t="shared" si="56"/>
        <v>-5341205.5</v>
      </c>
      <c r="K168" s="330">
        <f t="shared" si="56"/>
        <v>-5341205.5</v>
      </c>
      <c r="L168" s="330">
        <f t="shared" si="56"/>
        <v>-5341205.5</v>
      </c>
      <c r="M168" s="330">
        <f t="shared" si="56"/>
        <v>-5341205.5</v>
      </c>
      <c r="N168" s="330">
        <f t="shared" si="56"/>
        <v>-5341205.5</v>
      </c>
      <c r="O168" s="330">
        <f t="shared" si="56"/>
        <v>-5341205.5</v>
      </c>
      <c r="P168" s="330">
        <f t="shared" si="56"/>
        <v>-5341205.5</v>
      </c>
      <c r="Q168" s="330">
        <f t="shared" si="56"/>
        <v>-5341205.5</v>
      </c>
      <c r="R168" s="330">
        <f t="shared" si="56"/>
        <v>-5341205.5</v>
      </c>
      <c r="S168" s="330">
        <f t="shared" si="56"/>
        <v>-5341205.5</v>
      </c>
      <c r="T168" s="330">
        <f t="shared" si="56"/>
        <v>2750000</v>
      </c>
      <c r="U168" s="330">
        <f t="shared" si="56"/>
        <v>2750000</v>
      </c>
      <c r="V168" s="330">
        <f t="shared" si="56"/>
        <v>2750000</v>
      </c>
      <c r="W168" s="330">
        <f t="shared" si="56"/>
        <v>2750000</v>
      </c>
      <c r="X168" s="330">
        <f t="shared" si="56"/>
        <v>2750000</v>
      </c>
      <c r="Y168" s="330">
        <f t="shared" si="56"/>
        <v>2750000</v>
      </c>
      <c r="Z168" s="330">
        <f t="shared" si="56"/>
        <v>2750000</v>
      </c>
      <c r="AA168" s="330">
        <f t="shared" si="56"/>
        <v>2750000</v>
      </c>
      <c r="AB168" s="330">
        <f t="shared" si="56"/>
        <v>2750000</v>
      </c>
      <c r="AC168" s="330">
        <f t="shared" si="56"/>
        <v>2750000</v>
      </c>
      <c r="AD168" s="330">
        <f t="shared" si="56"/>
        <v>2750000</v>
      </c>
      <c r="AE168" s="330">
        <f t="shared" si="56"/>
        <v>2750000</v>
      </c>
      <c r="AF168" s="330">
        <f t="shared" si="56"/>
        <v>2750000</v>
      </c>
      <c r="AG168" s="330">
        <f t="shared" si="56"/>
        <v>2750000</v>
      </c>
      <c r="AH168" s="330">
        <f t="shared" si="56"/>
        <v>2750000</v>
      </c>
      <c r="AI168" s="330">
        <f t="shared" si="56"/>
        <v>2750000</v>
      </c>
      <c r="AJ168" s="330">
        <f t="shared" si="56"/>
        <v>2750000</v>
      </c>
      <c r="AK168" s="330">
        <f t="shared" si="56"/>
        <v>2750000</v>
      </c>
      <c r="AL168" s="330">
        <f t="shared" si="56"/>
        <v>2750000</v>
      </c>
      <c r="AM168" s="330">
        <f t="shared" si="56"/>
        <v>2750000</v>
      </c>
      <c r="AN168" s="330">
        <f t="shared" si="56"/>
        <v>2750000</v>
      </c>
      <c r="AO168" s="330">
        <f t="shared" si="56"/>
        <v>2750000</v>
      </c>
      <c r="AP168" s="330">
        <f t="shared" si="56"/>
        <v>2750000</v>
      </c>
      <c r="AQ168" s="330">
        <f t="shared" si="56"/>
        <v>2750000</v>
      </c>
      <c r="AR168" s="330">
        <f t="shared" si="56"/>
        <v>2750000</v>
      </c>
      <c r="AS168" s="330">
        <f t="shared" si="56"/>
        <v>2750000</v>
      </c>
      <c r="AT168" s="330">
        <f t="shared" si="56"/>
        <v>2750000</v>
      </c>
      <c r="AU168" s="330">
        <f t="shared" si="56"/>
        <v>2750000</v>
      </c>
      <c r="AV168" s="330">
        <f t="shared" si="56"/>
        <v>2750000</v>
      </c>
      <c r="AW168" s="330">
        <f t="shared" si="56"/>
        <v>2750000</v>
      </c>
      <c r="AX168" s="330">
        <f t="shared" si="56"/>
        <v>2750000</v>
      </c>
      <c r="AY168" s="330">
        <f t="shared" si="56"/>
        <v>2750000</v>
      </c>
      <c r="AZ168" s="330">
        <f t="shared" si="56"/>
        <v>2750000</v>
      </c>
      <c r="BA168" s="330">
        <f t="shared" si="56"/>
        <v>2750000</v>
      </c>
      <c r="BB168" s="330">
        <f t="shared" si="56"/>
        <v>2750000</v>
      </c>
      <c r="BC168" s="330">
        <f t="shared" si="56"/>
        <v>2750000</v>
      </c>
      <c r="BD168" s="330">
        <f t="shared" si="56"/>
        <v>2750000</v>
      </c>
      <c r="BE168" s="330">
        <f t="shared" si="56"/>
        <v>2750000</v>
      </c>
      <c r="BF168" s="330">
        <f t="shared" si="56"/>
        <v>2750000</v>
      </c>
      <c r="BG168" s="330">
        <f t="shared" si="56"/>
        <v>2750000</v>
      </c>
      <c r="BH168" s="330">
        <f t="shared" si="56"/>
        <v>2750000</v>
      </c>
      <c r="BI168" s="330">
        <f t="shared" si="56"/>
        <v>2750000</v>
      </c>
      <c r="BJ168" s="330">
        <f t="shared" si="56"/>
        <v>2750000</v>
      </c>
      <c r="BK168" s="330">
        <f t="shared" si="56"/>
        <v>2750000</v>
      </c>
      <c r="BL168" s="330">
        <f t="shared" si="56"/>
        <v>2750000</v>
      </c>
      <c r="BM168" s="330">
        <f t="shared" si="56"/>
        <v>2750000</v>
      </c>
      <c r="BN168" s="330">
        <f t="shared" si="56"/>
        <v>2750000</v>
      </c>
      <c r="BO168" s="330">
        <f t="shared" si="56"/>
        <v>2750000</v>
      </c>
      <c r="BP168" s="330">
        <f t="shared" si="56"/>
        <v>2750000</v>
      </c>
      <c r="BQ168" s="330">
        <f t="shared" si="56"/>
        <v>2750000</v>
      </c>
      <c r="BR168" s="330">
        <f t="shared" si="56"/>
        <v>2750000</v>
      </c>
      <c r="BS168" s="330">
        <f t="shared" si="56"/>
        <v>2750000</v>
      </c>
      <c r="BT168" s="330">
        <f t="shared" si="56"/>
        <v>2750000</v>
      </c>
      <c r="BU168" s="330">
        <f t="shared" si="56"/>
        <v>2750000</v>
      </c>
      <c r="BV168" s="330">
        <f t="shared" si="56"/>
        <v>2750000</v>
      </c>
      <c r="BW168" s="330">
        <f t="shared" si="56"/>
        <v>2750000</v>
      </c>
      <c r="BX168" s="330" t="e">
        <f t="shared" si="56"/>
        <v>#VALUE!</v>
      </c>
    </row>
    <row r="169" spans="3:76" hidden="1">
      <c r="C169" s="317" t="s">
        <v>339</v>
      </c>
      <c r="D169" s="326" t="e">
        <f>IRR(E167:BX167)*12</f>
        <v>#VALUE!</v>
      </c>
      <c r="E169" s="226"/>
      <c r="F169" s="226"/>
      <c r="G169" s="226"/>
      <c r="H169" s="226"/>
      <c r="I169" s="226"/>
      <c r="J169" s="226"/>
      <c r="K169" s="226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6"/>
      <c r="AA169" s="226"/>
      <c r="AB169" s="226"/>
      <c r="AC169" s="226"/>
      <c r="AD169" s="226"/>
      <c r="AE169" s="226"/>
      <c r="AF169" s="226"/>
      <c r="AG169" s="226"/>
      <c r="AH169" s="226"/>
      <c r="AI169" s="226"/>
      <c r="AJ169" s="226"/>
      <c r="AK169" s="226"/>
      <c r="AL169" s="226"/>
      <c r="AM169" s="226"/>
      <c r="AN169" s="226"/>
      <c r="AO169" s="226"/>
      <c r="AP169" s="226"/>
      <c r="AQ169" s="226"/>
      <c r="AR169" s="226"/>
      <c r="AS169" s="226"/>
      <c r="AT169" s="226"/>
      <c r="AU169" s="226"/>
      <c r="AV169" s="226"/>
      <c r="AW169" s="226"/>
      <c r="AX169" s="226"/>
      <c r="AY169" s="226"/>
      <c r="AZ169" s="226"/>
      <c r="BA169" s="226"/>
      <c r="BB169" s="226"/>
      <c r="BC169" s="226"/>
      <c r="BD169" s="226"/>
      <c r="BE169" s="226"/>
      <c r="BF169" s="226"/>
      <c r="BG169" s="226"/>
      <c r="BH169" s="226"/>
      <c r="BI169" s="226"/>
      <c r="BJ169" s="226"/>
      <c r="BK169" s="226"/>
      <c r="BL169" s="226"/>
      <c r="BM169" s="226"/>
      <c r="BN169" s="226"/>
      <c r="BO169" s="226"/>
      <c r="BP169" s="226"/>
      <c r="BQ169" s="226"/>
      <c r="BR169" s="226"/>
      <c r="BS169" s="226"/>
      <c r="BT169" s="226"/>
      <c r="BU169" s="226"/>
      <c r="BV169" s="226"/>
      <c r="BW169" s="226"/>
      <c r="BX169" s="226"/>
    </row>
    <row r="170" spans="3:76" hidden="1">
      <c r="C170" s="327" t="s">
        <v>347</v>
      </c>
      <c r="D170" s="328">
        <f>-MIN(M168:BL168)-D171</f>
        <v>5341205.5</v>
      </c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6"/>
      <c r="AZ170" s="226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6"/>
      <c r="BM170" s="226"/>
      <c r="BN170" s="226"/>
      <c r="BO170" s="226"/>
      <c r="BP170" s="226"/>
      <c r="BQ170" s="226"/>
      <c r="BR170" s="226"/>
      <c r="BS170" s="226"/>
      <c r="BT170" s="226"/>
      <c r="BU170" s="226"/>
      <c r="BV170" s="226"/>
      <c r="BW170" s="226"/>
      <c r="BX170" s="226"/>
    </row>
    <row r="171" spans="3:76" hidden="1">
      <c r="C171" s="327" t="s">
        <v>348</v>
      </c>
      <c r="D171" s="328">
        <f>-SUM(M166:BB166)</f>
        <v>0</v>
      </c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6"/>
      <c r="AZ171" s="226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6"/>
      <c r="BM171" s="226"/>
      <c r="BN171" s="226"/>
      <c r="BO171" s="226"/>
      <c r="BP171" s="226"/>
      <c r="BQ171" s="226"/>
      <c r="BR171" s="226"/>
      <c r="BS171" s="226"/>
      <c r="BT171" s="226"/>
      <c r="BU171" s="226"/>
      <c r="BV171" s="226"/>
      <c r="BW171" s="226"/>
      <c r="BX171" s="226"/>
    </row>
    <row r="172" spans="3:76" hidden="1">
      <c r="C172" s="317" t="s">
        <v>349</v>
      </c>
      <c r="D172" s="329">
        <f>D171+D170</f>
        <v>5341205.5</v>
      </c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6"/>
      <c r="BN172" s="226"/>
      <c r="BO172" s="226"/>
      <c r="BP172" s="226"/>
      <c r="BQ172" s="226"/>
      <c r="BR172" s="226"/>
      <c r="BS172" s="226"/>
      <c r="BT172" s="226"/>
      <c r="BU172" s="226"/>
      <c r="BV172" s="226"/>
      <c r="BW172" s="226"/>
      <c r="BX172" s="226"/>
    </row>
    <row r="173" spans="3:76" hidden="1">
      <c r="C173" s="317" t="s">
        <v>350</v>
      </c>
      <c r="D173" s="329" t="e">
        <f>BX164+BX165</f>
        <v>#VALUE!</v>
      </c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6"/>
      <c r="BN173" s="226"/>
      <c r="BO173" s="226"/>
      <c r="BP173" s="226"/>
      <c r="BQ173" s="226"/>
      <c r="BR173" s="226"/>
      <c r="BS173" s="226"/>
      <c r="BT173" s="226"/>
      <c r="BU173" s="226"/>
      <c r="BV173" s="226"/>
      <c r="BW173" s="226"/>
      <c r="BX173" s="226"/>
    </row>
    <row r="174" spans="3:76" hidden="1">
      <c r="C174" s="317" t="s">
        <v>351</v>
      </c>
      <c r="D174" s="326">
        <f>T165/T162</f>
        <v>0.51486504310684167</v>
      </c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26"/>
      <c r="BN174" s="226"/>
      <c r="BO174" s="226"/>
      <c r="BP174" s="226"/>
      <c r="BQ174" s="226"/>
      <c r="BR174" s="226"/>
      <c r="BS174" s="226"/>
      <c r="BT174" s="226"/>
      <c r="BU174" s="226"/>
      <c r="BV174" s="226"/>
      <c r="BW174" s="226"/>
      <c r="BX174" s="226"/>
    </row>
    <row r="178" spans="3:76" hidden="1">
      <c r="C178" s="314" t="s">
        <v>357</v>
      </c>
      <c r="D178" s="315"/>
      <c r="E178" s="316">
        <f t="shared" ref="E178:G178" si="57">-(E8+E94)</f>
        <v>0</v>
      </c>
      <c r="F178" s="316">
        <f t="shared" si="57"/>
        <v>0</v>
      </c>
      <c r="G178" s="316">
        <f t="shared" si="57"/>
        <v>0</v>
      </c>
      <c r="H178" s="315">
        <f>-5341205.5</f>
        <v>-5341205.5</v>
      </c>
      <c r="I178" s="315">
        <v>0</v>
      </c>
      <c r="J178" s="315">
        <v>0</v>
      </c>
      <c r="K178" s="315">
        <v>0</v>
      </c>
      <c r="L178" s="315">
        <v>0</v>
      </c>
      <c r="M178" s="315">
        <v>0</v>
      </c>
      <c r="N178" s="315">
        <v>0</v>
      </c>
      <c r="O178" s="315">
        <v>0</v>
      </c>
      <c r="P178" s="315">
        <v>0</v>
      </c>
      <c r="Q178" s="315">
        <v>0</v>
      </c>
      <c r="R178" s="315">
        <v>0</v>
      </c>
      <c r="S178" s="315">
        <v>0</v>
      </c>
      <c r="T178" s="315">
        <f>5341205.5</f>
        <v>5341205.5</v>
      </c>
      <c r="U178" s="316">
        <f t="shared" ref="U178:BX178" si="58">-(U8+U94)</f>
        <v>0</v>
      </c>
      <c r="V178" s="316">
        <f t="shared" si="58"/>
        <v>0</v>
      </c>
      <c r="W178" s="316">
        <f t="shared" si="58"/>
        <v>0</v>
      </c>
      <c r="X178" s="316">
        <f t="shared" si="58"/>
        <v>0</v>
      </c>
      <c r="Y178" s="316">
        <f t="shared" si="58"/>
        <v>0</v>
      </c>
      <c r="Z178" s="316">
        <f t="shared" si="58"/>
        <v>0</v>
      </c>
      <c r="AA178" s="316">
        <f t="shared" si="58"/>
        <v>0</v>
      </c>
      <c r="AB178" s="316">
        <f t="shared" si="58"/>
        <v>0</v>
      </c>
      <c r="AC178" s="316">
        <f t="shared" si="58"/>
        <v>0</v>
      </c>
      <c r="AD178" s="316">
        <f t="shared" si="58"/>
        <v>0</v>
      </c>
      <c r="AE178" s="316">
        <f t="shared" si="58"/>
        <v>0</v>
      </c>
      <c r="AF178" s="316">
        <f t="shared" si="58"/>
        <v>0</v>
      </c>
      <c r="AG178" s="316">
        <f t="shared" si="58"/>
        <v>0</v>
      </c>
      <c r="AH178" s="316">
        <f t="shared" si="58"/>
        <v>0</v>
      </c>
      <c r="AI178" s="316">
        <f t="shared" si="58"/>
        <v>0</v>
      </c>
      <c r="AJ178" s="316">
        <f t="shared" si="58"/>
        <v>0</v>
      </c>
      <c r="AK178" s="316">
        <f t="shared" si="58"/>
        <v>0</v>
      </c>
      <c r="AL178" s="316">
        <f t="shared" si="58"/>
        <v>0</v>
      </c>
      <c r="AM178" s="316">
        <f t="shared" si="58"/>
        <v>0</v>
      </c>
      <c r="AN178" s="316">
        <f t="shared" si="58"/>
        <v>0</v>
      </c>
      <c r="AO178" s="316">
        <f t="shared" si="58"/>
        <v>0</v>
      </c>
      <c r="AP178" s="316">
        <f t="shared" si="58"/>
        <v>0</v>
      </c>
      <c r="AQ178" s="316">
        <f t="shared" si="58"/>
        <v>0</v>
      </c>
      <c r="AR178" s="316">
        <f t="shared" si="58"/>
        <v>0</v>
      </c>
      <c r="AS178" s="316">
        <f t="shared" si="58"/>
        <v>0</v>
      </c>
      <c r="AT178" s="316">
        <f t="shared" si="58"/>
        <v>0</v>
      </c>
      <c r="AU178" s="316">
        <f t="shared" si="58"/>
        <v>0</v>
      </c>
      <c r="AV178" s="316">
        <f t="shared" si="58"/>
        <v>0</v>
      </c>
      <c r="AW178" s="316">
        <f t="shared" si="58"/>
        <v>0</v>
      </c>
      <c r="AX178" s="316">
        <f t="shared" si="58"/>
        <v>0</v>
      </c>
      <c r="AY178" s="316">
        <f t="shared" si="58"/>
        <v>0</v>
      </c>
      <c r="AZ178" s="316">
        <f t="shared" si="58"/>
        <v>0</v>
      </c>
      <c r="BA178" s="316">
        <f t="shared" si="58"/>
        <v>0</v>
      </c>
      <c r="BB178" s="316">
        <f t="shared" si="58"/>
        <v>0</v>
      </c>
      <c r="BC178" s="316">
        <f t="shared" si="58"/>
        <v>0</v>
      </c>
      <c r="BD178" s="316">
        <f t="shared" si="58"/>
        <v>0</v>
      </c>
      <c r="BE178" s="316">
        <f t="shared" si="58"/>
        <v>0</v>
      </c>
      <c r="BF178" s="316">
        <f t="shared" si="58"/>
        <v>0</v>
      </c>
      <c r="BG178" s="316">
        <f t="shared" si="58"/>
        <v>0</v>
      </c>
      <c r="BH178" s="316">
        <f t="shared" si="58"/>
        <v>0</v>
      </c>
      <c r="BI178" s="316">
        <f t="shared" si="58"/>
        <v>0</v>
      </c>
      <c r="BJ178" s="316">
        <f t="shared" si="58"/>
        <v>0</v>
      </c>
      <c r="BK178" s="316">
        <f t="shared" si="58"/>
        <v>0</v>
      </c>
      <c r="BL178" s="316">
        <f t="shared" si="58"/>
        <v>0</v>
      </c>
      <c r="BM178" s="316">
        <f t="shared" si="58"/>
        <v>0</v>
      </c>
      <c r="BN178" s="316">
        <f t="shared" si="58"/>
        <v>0</v>
      </c>
      <c r="BO178" s="316">
        <f t="shared" si="58"/>
        <v>0</v>
      </c>
      <c r="BP178" s="316">
        <f t="shared" si="58"/>
        <v>0</v>
      </c>
      <c r="BQ178" s="316">
        <f t="shared" si="58"/>
        <v>0</v>
      </c>
      <c r="BR178" s="316">
        <f t="shared" si="58"/>
        <v>0</v>
      </c>
      <c r="BS178" s="316">
        <f t="shared" si="58"/>
        <v>0</v>
      </c>
      <c r="BT178" s="316">
        <f t="shared" si="58"/>
        <v>0</v>
      </c>
      <c r="BU178" s="316">
        <f t="shared" si="58"/>
        <v>0</v>
      </c>
      <c r="BV178" s="316">
        <f t="shared" si="58"/>
        <v>0</v>
      </c>
      <c r="BW178" s="316">
        <f t="shared" si="58"/>
        <v>0</v>
      </c>
      <c r="BX178" s="316">
        <f t="shared" si="58"/>
        <v>0</v>
      </c>
    </row>
    <row r="179" spans="3:76" hidden="1">
      <c r="C179" s="314" t="s">
        <v>353</v>
      </c>
      <c r="D179" s="323"/>
      <c r="E179" s="315"/>
      <c r="F179" s="315"/>
      <c r="G179" s="315"/>
      <c r="H179" s="315"/>
      <c r="I179" s="315"/>
      <c r="J179" s="315"/>
      <c r="K179" s="315"/>
      <c r="L179" s="315"/>
      <c r="M179" s="315"/>
      <c r="N179" s="315"/>
      <c r="O179" s="315"/>
      <c r="P179" s="315"/>
      <c r="Q179" s="315"/>
      <c r="R179" s="315"/>
      <c r="S179" s="315"/>
      <c r="T179" s="315"/>
      <c r="U179" s="315"/>
      <c r="V179" s="315"/>
      <c r="W179" s="315"/>
      <c r="X179" s="315"/>
      <c r="Y179" s="315"/>
      <c r="Z179" s="315"/>
      <c r="AA179" s="315"/>
      <c r="AB179" s="315"/>
      <c r="AC179" s="315"/>
      <c r="AD179" s="315"/>
      <c r="AE179" s="315"/>
      <c r="AF179" s="315"/>
      <c r="AG179" s="315"/>
      <c r="AH179" s="315"/>
      <c r="AI179" s="315"/>
      <c r="AJ179" s="315"/>
      <c r="AK179" s="315"/>
      <c r="AL179" s="315"/>
      <c r="AM179" s="315"/>
      <c r="AN179" s="315"/>
      <c r="AO179" s="315"/>
      <c r="AP179" s="315"/>
      <c r="AQ179" s="315"/>
      <c r="AR179" s="315"/>
      <c r="AS179" s="315"/>
      <c r="AT179" s="315"/>
      <c r="AU179" s="315"/>
      <c r="AV179" s="315"/>
      <c r="AW179" s="315"/>
      <c r="AX179" s="315"/>
      <c r="AY179" s="315"/>
      <c r="AZ179" s="315"/>
      <c r="BA179" s="315"/>
      <c r="BB179" s="315"/>
      <c r="BC179" s="316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</row>
    <row r="180" spans="3:76" hidden="1">
      <c r="C180" s="314" t="s">
        <v>343</v>
      </c>
      <c r="D180" s="323"/>
      <c r="E180" s="315">
        <f t="shared" ref="E180:G180" si="59">-E59</f>
        <v>0</v>
      </c>
      <c r="F180" s="315">
        <f t="shared" si="59"/>
        <v>0</v>
      </c>
      <c r="G180" s="315">
        <f t="shared" si="59"/>
        <v>0</v>
      </c>
      <c r="H180" s="315">
        <f t="shared" ref="H180:T180" si="60">-H74</f>
        <v>0</v>
      </c>
      <c r="I180" s="315">
        <f t="shared" si="60"/>
        <v>0</v>
      </c>
      <c r="J180" s="315">
        <f t="shared" si="60"/>
        <v>0</v>
      </c>
      <c r="K180" s="315">
        <f t="shared" si="60"/>
        <v>0</v>
      </c>
      <c r="L180" s="315">
        <f t="shared" si="60"/>
        <v>0</v>
      </c>
      <c r="M180" s="315">
        <f t="shared" si="60"/>
        <v>0</v>
      </c>
      <c r="N180" s="315">
        <f t="shared" si="60"/>
        <v>0</v>
      </c>
      <c r="O180" s="315">
        <f t="shared" si="60"/>
        <v>0</v>
      </c>
      <c r="P180" s="315">
        <f t="shared" si="60"/>
        <v>0</v>
      </c>
      <c r="Q180" s="315">
        <f t="shared" si="60"/>
        <v>0</v>
      </c>
      <c r="R180" s="315">
        <f t="shared" si="60"/>
        <v>0</v>
      </c>
      <c r="S180" s="315">
        <f t="shared" si="60"/>
        <v>0</v>
      </c>
      <c r="T180" s="315">
        <f t="shared" si="60"/>
        <v>0</v>
      </c>
      <c r="U180" s="315">
        <f t="shared" ref="U180:BX180" si="61">-U59</f>
        <v>0</v>
      </c>
      <c r="V180" s="315">
        <f t="shared" si="61"/>
        <v>0</v>
      </c>
      <c r="W180" s="315">
        <f t="shared" si="61"/>
        <v>0</v>
      </c>
      <c r="X180" s="315">
        <f t="shared" si="61"/>
        <v>0</v>
      </c>
      <c r="Y180" s="315">
        <f t="shared" si="61"/>
        <v>0</v>
      </c>
      <c r="Z180" s="315">
        <f t="shared" si="61"/>
        <v>0</v>
      </c>
      <c r="AA180" s="315">
        <f t="shared" si="61"/>
        <v>0</v>
      </c>
      <c r="AB180" s="315">
        <f t="shared" si="61"/>
        <v>0</v>
      </c>
      <c r="AC180" s="315">
        <f t="shared" si="61"/>
        <v>0</v>
      </c>
      <c r="AD180" s="315">
        <f t="shared" si="61"/>
        <v>0</v>
      </c>
      <c r="AE180" s="315">
        <f t="shared" si="61"/>
        <v>0</v>
      </c>
      <c r="AF180" s="315">
        <f t="shared" si="61"/>
        <v>0</v>
      </c>
      <c r="AG180" s="315">
        <f t="shared" si="61"/>
        <v>0</v>
      </c>
      <c r="AH180" s="315">
        <f t="shared" si="61"/>
        <v>0</v>
      </c>
      <c r="AI180" s="315">
        <f t="shared" si="61"/>
        <v>0</v>
      </c>
      <c r="AJ180" s="315">
        <f t="shared" si="61"/>
        <v>0</v>
      </c>
      <c r="AK180" s="315">
        <f t="shared" si="61"/>
        <v>0</v>
      </c>
      <c r="AL180" s="315">
        <f t="shared" si="61"/>
        <v>0</v>
      </c>
      <c r="AM180" s="315">
        <f t="shared" si="61"/>
        <v>0</v>
      </c>
      <c r="AN180" s="315">
        <f t="shared" si="61"/>
        <v>0</v>
      </c>
      <c r="AO180" s="315">
        <f t="shared" si="61"/>
        <v>0</v>
      </c>
      <c r="AP180" s="315">
        <f t="shared" si="61"/>
        <v>0</v>
      </c>
      <c r="AQ180" s="315">
        <f t="shared" si="61"/>
        <v>0</v>
      </c>
      <c r="AR180" s="315">
        <f t="shared" si="61"/>
        <v>0</v>
      </c>
      <c r="AS180" s="315">
        <f t="shared" si="61"/>
        <v>0</v>
      </c>
      <c r="AT180" s="315">
        <f t="shared" si="61"/>
        <v>0</v>
      </c>
      <c r="AU180" s="315">
        <f t="shared" si="61"/>
        <v>0</v>
      </c>
      <c r="AV180" s="315">
        <f t="shared" si="61"/>
        <v>0</v>
      </c>
      <c r="AW180" s="315">
        <f t="shared" si="61"/>
        <v>0</v>
      </c>
      <c r="AX180" s="315">
        <f t="shared" si="61"/>
        <v>0</v>
      </c>
      <c r="AY180" s="315">
        <f t="shared" si="61"/>
        <v>0</v>
      </c>
      <c r="AZ180" s="315">
        <f t="shared" si="61"/>
        <v>0</v>
      </c>
      <c r="BA180" s="315">
        <f t="shared" si="61"/>
        <v>0</v>
      </c>
      <c r="BB180" s="315">
        <f t="shared" si="61"/>
        <v>0</v>
      </c>
      <c r="BC180" s="315">
        <f t="shared" si="61"/>
        <v>0</v>
      </c>
      <c r="BD180" s="315">
        <f t="shared" si="61"/>
        <v>0</v>
      </c>
      <c r="BE180" s="315">
        <f t="shared" si="61"/>
        <v>0</v>
      </c>
      <c r="BF180" s="315">
        <f t="shared" si="61"/>
        <v>0</v>
      </c>
      <c r="BG180" s="315">
        <f t="shared" si="61"/>
        <v>0</v>
      </c>
      <c r="BH180" s="315">
        <f t="shared" si="61"/>
        <v>0</v>
      </c>
      <c r="BI180" s="315">
        <f t="shared" si="61"/>
        <v>0</v>
      </c>
      <c r="BJ180" s="315">
        <f t="shared" si="61"/>
        <v>0</v>
      </c>
      <c r="BK180" s="315">
        <f t="shared" si="61"/>
        <v>0</v>
      </c>
      <c r="BL180" s="315">
        <f t="shared" si="61"/>
        <v>0</v>
      </c>
      <c r="BM180" s="315">
        <f t="shared" si="61"/>
        <v>0</v>
      </c>
      <c r="BN180" s="315">
        <f t="shared" si="61"/>
        <v>0</v>
      </c>
      <c r="BO180" s="315">
        <f t="shared" si="61"/>
        <v>0</v>
      </c>
      <c r="BP180" s="315">
        <f t="shared" si="61"/>
        <v>0</v>
      </c>
      <c r="BQ180" s="315">
        <f t="shared" si="61"/>
        <v>0</v>
      </c>
      <c r="BR180" s="315">
        <f t="shared" si="61"/>
        <v>0</v>
      </c>
      <c r="BS180" s="315">
        <f t="shared" si="61"/>
        <v>0</v>
      </c>
      <c r="BT180" s="315">
        <f t="shared" si="61"/>
        <v>0</v>
      </c>
      <c r="BU180" s="315">
        <f t="shared" si="61"/>
        <v>0</v>
      </c>
      <c r="BV180" s="315">
        <f t="shared" si="61"/>
        <v>0</v>
      </c>
      <c r="BW180" s="315">
        <f t="shared" si="61"/>
        <v>0</v>
      </c>
      <c r="BX180" s="315">
        <f t="shared" si="61"/>
        <v>0</v>
      </c>
    </row>
    <row r="181" spans="3:76" hidden="1">
      <c r="C181" s="314" t="s">
        <v>344</v>
      </c>
      <c r="D181" s="323"/>
      <c r="E181" s="315"/>
      <c r="F181" s="315"/>
      <c r="G181" s="315"/>
      <c r="H181" s="315"/>
      <c r="I181" s="315"/>
      <c r="J181" s="315"/>
      <c r="K181" s="315"/>
      <c r="L181" s="315"/>
      <c r="M181" s="315"/>
      <c r="N181" s="315"/>
      <c r="O181" s="315"/>
      <c r="P181" s="315"/>
      <c r="Q181" s="315"/>
      <c r="R181" s="315"/>
      <c r="S181" s="315"/>
      <c r="T181" s="315">
        <v>2750000</v>
      </c>
      <c r="U181" s="315"/>
      <c r="V181" s="315"/>
      <c r="W181" s="315"/>
      <c r="X181" s="315"/>
      <c r="Y181" s="315"/>
      <c r="Z181" s="315"/>
      <c r="AA181" s="315"/>
      <c r="AB181" s="315"/>
      <c r="AC181" s="315"/>
      <c r="AD181" s="315"/>
      <c r="AE181" s="315"/>
      <c r="AF181" s="315"/>
      <c r="AG181" s="315"/>
      <c r="AH181" s="315"/>
      <c r="AI181" s="315"/>
      <c r="AJ181" s="315"/>
      <c r="AK181" s="315"/>
      <c r="AL181" s="315"/>
      <c r="AM181" s="315"/>
      <c r="AN181" s="315"/>
      <c r="AO181" s="315"/>
      <c r="AP181" s="315"/>
      <c r="AQ181" s="315"/>
      <c r="AR181" s="315"/>
      <c r="AS181" s="315"/>
      <c r="AT181" s="315"/>
      <c r="AU181" s="315"/>
      <c r="AV181" s="315"/>
      <c r="AW181" s="315"/>
      <c r="AX181" s="315"/>
      <c r="AY181" s="315"/>
      <c r="AZ181" s="315"/>
      <c r="BA181" s="315"/>
      <c r="BB181" s="315"/>
      <c r="BC181" s="316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 t="e">
        <f>IF(D105&gt;0.25,(BX100-BX108)*D182,BX100*D182)</f>
        <v>#VALUE!</v>
      </c>
    </row>
    <row r="182" spans="3:76" hidden="1">
      <c r="C182" s="317" t="s">
        <v>345</v>
      </c>
      <c r="D182" s="323">
        <v>0</v>
      </c>
      <c r="E182" s="315"/>
      <c r="F182" s="315"/>
      <c r="G182" s="315"/>
      <c r="H182" s="246"/>
      <c r="I182" s="246"/>
      <c r="J182" s="246"/>
      <c r="K182" s="246"/>
      <c r="L182" s="246"/>
      <c r="M182" s="246"/>
      <c r="N182" s="246"/>
      <c r="O182" s="246"/>
      <c r="P182" s="246"/>
      <c r="Q182" s="246"/>
      <c r="R182" s="246"/>
      <c r="S182" s="246"/>
      <c r="T182" s="246"/>
      <c r="U182" s="315"/>
      <c r="V182" s="315"/>
      <c r="W182" s="315"/>
      <c r="X182" s="315"/>
      <c r="Y182" s="315"/>
      <c r="Z182" s="315"/>
      <c r="AA182" s="315"/>
      <c r="AB182" s="315"/>
      <c r="AC182" s="315"/>
      <c r="AD182" s="315"/>
      <c r="AE182" s="315"/>
      <c r="AF182" s="315"/>
      <c r="AG182" s="315"/>
      <c r="AH182" s="315"/>
      <c r="AI182" s="315"/>
      <c r="AJ182" s="315"/>
      <c r="AK182" s="315"/>
      <c r="AL182" s="315"/>
      <c r="AM182" s="315"/>
      <c r="AN182" s="315"/>
      <c r="AO182" s="315"/>
      <c r="AP182" s="315"/>
      <c r="AQ182" s="315"/>
      <c r="AR182" s="315"/>
      <c r="AS182" s="315"/>
      <c r="AT182" s="315"/>
      <c r="AU182" s="315"/>
      <c r="AV182" s="315"/>
      <c r="AW182" s="315"/>
      <c r="AX182" s="315"/>
      <c r="AY182" s="315"/>
      <c r="AZ182" s="315"/>
      <c r="BA182" s="315"/>
      <c r="BB182" s="315"/>
      <c r="BC182" s="316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</row>
    <row r="183" spans="3:76" hidden="1">
      <c r="C183" s="314" t="s">
        <v>346</v>
      </c>
      <c r="D183" s="315"/>
      <c r="E183" s="325">
        <f t="shared" ref="E183:BX183" si="62">E178+E179+E180+E181+E182</f>
        <v>0</v>
      </c>
      <c r="F183" s="325">
        <f t="shared" si="62"/>
        <v>0</v>
      </c>
      <c r="G183" s="325">
        <f t="shared" si="62"/>
        <v>0</v>
      </c>
      <c r="H183" s="325">
        <f t="shared" si="62"/>
        <v>-5341205.5</v>
      </c>
      <c r="I183" s="325">
        <f t="shared" si="62"/>
        <v>0</v>
      </c>
      <c r="J183" s="325">
        <f t="shared" si="62"/>
        <v>0</v>
      </c>
      <c r="K183" s="325">
        <f t="shared" si="62"/>
        <v>0</v>
      </c>
      <c r="L183" s="325">
        <f t="shared" si="62"/>
        <v>0</v>
      </c>
      <c r="M183" s="325">
        <f t="shared" si="62"/>
        <v>0</v>
      </c>
      <c r="N183" s="325">
        <f t="shared" si="62"/>
        <v>0</v>
      </c>
      <c r="O183" s="325">
        <f t="shared" si="62"/>
        <v>0</v>
      </c>
      <c r="P183" s="325">
        <f t="shared" si="62"/>
        <v>0</v>
      </c>
      <c r="Q183" s="325">
        <f t="shared" si="62"/>
        <v>0</v>
      </c>
      <c r="R183" s="325">
        <f t="shared" si="62"/>
        <v>0</v>
      </c>
      <c r="S183" s="325">
        <f t="shared" si="62"/>
        <v>0</v>
      </c>
      <c r="T183" s="325">
        <f t="shared" si="62"/>
        <v>8091205.5</v>
      </c>
      <c r="U183" s="325">
        <f t="shared" si="62"/>
        <v>0</v>
      </c>
      <c r="V183" s="325">
        <f t="shared" si="62"/>
        <v>0</v>
      </c>
      <c r="W183" s="325">
        <f t="shared" si="62"/>
        <v>0</v>
      </c>
      <c r="X183" s="325">
        <f t="shared" si="62"/>
        <v>0</v>
      </c>
      <c r="Y183" s="325">
        <f t="shared" si="62"/>
        <v>0</v>
      </c>
      <c r="Z183" s="325">
        <f t="shared" si="62"/>
        <v>0</v>
      </c>
      <c r="AA183" s="325">
        <f t="shared" si="62"/>
        <v>0</v>
      </c>
      <c r="AB183" s="325">
        <f t="shared" si="62"/>
        <v>0</v>
      </c>
      <c r="AC183" s="325">
        <f t="shared" si="62"/>
        <v>0</v>
      </c>
      <c r="AD183" s="325">
        <f t="shared" si="62"/>
        <v>0</v>
      </c>
      <c r="AE183" s="325">
        <f t="shared" si="62"/>
        <v>0</v>
      </c>
      <c r="AF183" s="325">
        <f t="shared" si="62"/>
        <v>0</v>
      </c>
      <c r="AG183" s="325">
        <f t="shared" si="62"/>
        <v>0</v>
      </c>
      <c r="AH183" s="325">
        <f t="shared" si="62"/>
        <v>0</v>
      </c>
      <c r="AI183" s="325">
        <f t="shared" si="62"/>
        <v>0</v>
      </c>
      <c r="AJ183" s="325">
        <f t="shared" si="62"/>
        <v>0</v>
      </c>
      <c r="AK183" s="325">
        <f t="shared" si="62"/>
        <v>0</v>
      </c>
      <c r="AL183" s="325">
        <f t="shared" si="62"/>
        <v>0</v>
      </c>
      <c r="AM183" s="325">
        <f t="shared" si="62"/>
        <v>0</v>
      </c>
      <c r="AN183" s="325">
        <f t="shared" si="62"/>
        <v>0</v>
      </c>
      <c r="AO183" s="325">
        <f t="shared" si="62"/>
        <v>0</v>
      </c>
      <c r="AP183" s="325">
        <f t="shared" si="62"/>
        <v>0</v>
      </c>
      <c r="AQ183" s="325">
        <f t="shared" si="62"/>
        <v>0</v>
      </c>
      <c r="AR183" s="325">
        <f t="shared" si="62"/>
        <v>0</v>
      </c>
      <c r="AS183" s="325">
        <f t="shared" si="62"/>
        <v>0</v>
      </c>
      <c r="AT183" s="325">
        <f t="shared" si="62"/>
        <v>0</v>
      </c>
      <c r="AU183" s="325">
        <f t="shared" si="62"/>
        <v>0</v>
      </c>
      <c r="AV183" s="325">
        <f t="shared" si="62"/>
        <v>0</v>
      </c>
      <c r="AW183" s="325">
        <f t="shared" si="62"/>
        <v>0</v>
      </c>
      <c r="AX183" s="325">
        <f t="shared" si="62"/>
        <v>0</v>
      </c>
      <c r="AY183" s="325">
        <f t="shared" si="62"/>
        <v>0</v>
      </c>
      <c r="AZ183" s="325">
        <f t="shared" si="62"/>
        <v>0</v>
      </c>
      <c r="BA183" s="325">
        <f t="shared" si="62"/>
        <v>0</v>
      </c>
      <c r="BB183" s="325">
        <f t="shared" si="62"/>
        <v>0</v>
      </c>
      <c r="BC183" s="325">
        <f t="shared" si="62"/>
        <v>0</v>
      </c>
      <c r="BD183" s="325">
        <f t="shared" si="62"/>
        <v>0</v>
      </c>
      <c r="BE183" s="325">
        <f t="shared" si="62"/>
        <v>0</v>
      </c>
      <c r="BF183" s="325">
        <f t="shared" si="62"/>
        <v>0</v>
      </c>
      <c r="BG183" s="325">
        <f t="shared" si="62"/>
        <v>0</v>
      </c>
      <c r="BH183" s="325">
        <f t="shared" si="62"/>
        <v>0</v>
      </c>
      <c r="BI183" s="325">
        <f t="shared" si="62"/>
        <v>0</v>
      </c>
      <c r="BJ183" s="325">
        <f t="shared" si="62"/>
        <v>0</v>
      </c>
      <c r="BK183" s="325">
        <f t="shared" si="62"/>
        <v>0</v>
      </c>
      <c r="BL183" s="325">
        <f t="shared" si="62"/>
        <v>0</v>
      </c>
      <c r="BM183" s="325">
        <f t="shared" si="62"/>
        <v>0</v>
      </c>
      <c r="BN183" s="325">
        <f t="shared" si="62"/>
        <v>0</v>
      </c>
      <c r="BO183" s="325">
        <f t="shared" si="62"/>
        <v>0</v>
      </c>
      <c r="BP183" s="325">
        <f t="shared" si="62"/>
        <v>0</v>
      </c>
      <c r="BQ183" s="325">
        <f t="shared" si="62"/>
        <v>0</v>
      </c>
      <c r="BR183" s="325">
        <f t="shared" si="62"/>
        <v>0</v>
      </c>
      <c r="BS183" s="325">
        <f t="shared" si="62"/>
        <v>0</v>
      </c>
      <c r="BT183" s="325">
        <f t="shared" si="62"/>
        <v>0</v>
      </c>
      <c r="BU183" s="325">
        <f t="shared" si="62"/>
        <v>0</v>
      </c>
      <c r="BV183" s="325">
        <f t="shared" si="62"/>
        <v>0</v>
      </c>
      <c r="BW183" s="325">
        <f t="shared" si="62"/>
        <v>0</v>
      </c>
      <c r="BX183" s="325" t="e">
        <f t="shared" si="62"/>
        <v>#VALUE!</v>
      </c>
    </row>
    <row r="184" spans="3:76" hidden="1">
      <c r="C184" s="318"/>
      <c r="D184" s="326" t="s">
        <v>354</v>
      </c>
      <c r="E184" s="330">
        <f>E183</f>
        <v>0</v>
      </c>
      <c r="F184" s="330">
        <f t="shared" ref="F184:BX184" si="63">E184+F183</f>
        <v>0</v>
      </c>
      <c r="G184" s="330">
        <f t="shared" si="63"/>
        <v>0</v>
      </c>
      <c r="H184" s="330">
        <f t="shared" si="63"/>
        <v>-5341205.5</v>
      </c>
      <c r="I184" s="330">
        <f t="shared" si="63"/>
        <v>-5341205.5</v>
      </c>
      <c r="J184" s="330">
        <f t="shared" si="63"/>
        <v>-5341205.5</v>
      </c>
      <c r="K184" s="330">
        <f t="shared" si="63"/>
        <v>-5341205.5</v>
      </c>
      <c r="L184" s="330">
        <f t="shared" si="63"/>
        <v>-5341205.5</v>
      </c>
      <c r="M184" s="330">
        <f t="shared" si="63"/>
        <v>-5341205.5</v>
      </c>
      <c r="N184" s="330">
        <f t="shared" si="63"/>
        <v>-5341205.5</v>
      </c>
      <c r="O184" s="330">
        <f t="shared" si="63"/>
        <v>-5341205.5</v>
      </c>
      <c r="P184" s="330">
        <f t="shared" si="63"/>
        <v>-5341205.5</v>
      </c>
      <c r="Q184" s="330">
        <f t="shared" si="63"/>
        <v>-5341205.5</v>
      </c>
      <c r="R184" s="330">
        <f t="shared" si="63"/>
        <v>-5341205.5</v>
      </c>
      <c r="S184" s="330">
        <f t="shared" si="63"/>
        <v>-5341205.5</v>
      </c>
      <c r="T184" s="330">
        <f t="shared" si="63"/>
        <v>2750000</v>
      </c>
      <c r="U184" s="330">
        <f t="shared" si="63"/>
        <v>2750000</v>
      </c>
      <c r="V184" s="331">
        <f t="shared" si="63"/>
        <v>2750000</v>
      </c>
      <c r="W184" s="331">
        <f t="shared" si="63"/>
        <v>2750000</v>
      </c>
      <c r="X184" s="331">
        <f t="shared" si="63"/>
        <v>2750000</v>
      </c>
      <c r="Y184" s="331">
        <f t="shared" si="63"/>
        <v>2750000</v>
      </c>
      <c r="Z184" s="331">
        <f t="shared" si="63"/>
        <v>2750000</v>
      </c>
      <c r="AA184" s="331">
        <f t="shared" si="63"/>
        <v>2750000</v>
      </c>
      <c r="AB184" s="331">
        <f t="shared" si="63"/>
        <v>2750000</v>
      </c>
      <c r="AC184" s="331">
        <f t="shared" si="63"/>
        <v>2750000</v>
      </c>
      <c r="AD184" s="331">
        <f t="shared" si="63"/>
        <v>2750000</v>
      </c>
      <c r="AE184" s="331">
        <f t="shared" si="63"/>
        <v>2750000</v>
      </c>
      <c r="AF184" s="331">
        <f t="shared" si="63"/>
        <v>2750000</v>
      </c>
      <c r="AG184" s="331">
        <f t="shared" si="63"/>
        <v>2750000</v>
      </c>
      <c r="AH184" s="331">
        <f t="shared" si="63"/>
        <v>2750000</v>
      </c>
      <c r="AI184" s="331">
        <f t="shared" si="63"/>
        <v>2750000</v>
      </c>
      <c r="AJ184" s="331">
        <f t="shared" si="63"/>
        <v>2750000</v>
      </c>
      <c r="AK184" s="331">
        <f t="shared" si="63"/>
        <v>2750000</v>
      </c>
      <c r="AL184" s="331">
        <f t="shared" si="63"/>
        <v>2750000</v>
      </c>
      <c r="AM184" s="331">
        <f t="shared" si="63"/>
        <v>2750000</v>
      </c>
      <c r="AN184" s="331">
        <f t="shared" si="63"/>
        <v>2750000</v>
      </c>
      <c r="AO184" s="331">
        <f t="shared" si="63"/>
        <v>2750000</v>
      </c>
      <c r="AP184" s="331">
        <f t="shared" si="63"/>
        <v>2750000</v>
      </c>
      <c r="AQ184" s="331">
        <f t="shared" si="63"/>
        <v>2750000</v>
      </c>
      <c r="AR184" s="331">
        <f t="shared" si="63"/>
        <v>2750000</v>
      </c>
      <c r="AS184" s="331">
        <f t="shared" si="63"/>
        <v>2750000</v>
      </c>
      <c r="AT184" s="331">
        <f t="shared" si="63"/>
        <v>2750000</v>
      </c>
      <c r="AU184" s="331">
        <f t="shared" si="63"/>
        <v>2750000</v>
      </c>
      <c r="AV184" s="331">
        <f t="shared" si="63"/>
        <v>2750000</v>
      </c>
      <c r="AW184" s="331">
        <f t="shared" si="63"/>
        <v>2750000</v>
      </c>
      <c r="AX184" s="331">
        <f t="shared" si="63"/>
        <v>2750000</v>
      </c>
      <c r="AY184" s="331">
        <f t="shared" si="63"/>
        <v>2750000</v>
      </c>
      <c r="AZ184" s="331">
        <f t="shared" si="63"/>
        <v>2750000</v>
      </c>
      <c r="BA184" s="331">
        <f t="shared" si="63"/>
        <v>2750000</v>
      </c>
      <c r="BB184" s="331">
        <f t="shared" si="63"/>
        <v>2750000</v>
      </c>
      <c r="BC184" s="330">
        <f t="shared" si="63"/>
        <v>2750000</v>
      </c>
      <c r="BD184" s="330">
        <f t="shared" si="63"/>
        <v>2750000</v>
      </c>
      <c r="BE184" s="330">
        <f t="shared" si="63"/>
        <v>2750000</v>
      </c>
      <c r="BF184" s="330">
        <f t="shared" si="63"/>
        <v>2750000</v>
      </c>
      <c r="BG184" s="330">
        <f t="shared" si="63"/>
        <v>2750000</v>
      </c>
      <c r="BH184" s="330">
        <f t="shared" si="63"/>
        <v>2750000</v>
      </c>
      <c r="BI184" s="330">
        <f t="shared" si="63"/>
        <v>2750000</v>
      </c>
      <c r="BJ184" s="330">
        <f t="shared" si="63"/>
        <v>2750000</v>
      </c>
      <c r="BK184" s="330">
        <f t="shared" si="63"/>
        <v>2750000</v>
      </c>
      <c r="BL184" s="330">
        <f t="shared" si="63"/>
        <v>2750000</v>
      </c>
      <c r="BM184" s="330">
        <f t="shared" si="63"/>
        <v>2750000</v>
      </c>
      <c r="BN184" s="330">
        <f t="shared" si="63"/>
        <v>2750000</v>
      </c>
      <c r="BO184" s="330">
        <f t="shared" si="63"/>
        <v>2750000</v>
      </c>
      <c r="BP184" s="330">
        <f t="shared" si="63"/>
        <v>2750000</v>
      </c>
      <c r="BQ184" s="330">
        <f t="shared" si="63"/>
        <v>2750000</v>
      </c>
      <c r="BR184" s="330">
        <f t="shared" si="63"/>
        <v>2750000</v>
      </c>
      <c r="BS184" s="330">
        <f t="shared" si="63"/>
        <v>2750000</v>
      </c>
      <c r="BT184" s="330">
        <f t="shared" si="63"/>
        <v>2750000</v>
      </c>
      <c r="BU184" s="330">
        <f t="shared" si="63"/>
        <v>2750000</v>
      </c>
      <c r="BV184" s="330">
        <f t="shared" si="63"/>
        <v>2750000</v>
      </c>
      <c r="BW184" s="330">
        <f t="shared" si="63"/>
        <v>2750000</v>
      </c>
      <c r="BX184" s="330" t="e">
        <f t="shared" si="63"/>
        <v>#VALUE!</v>
      </c>
    </row>
    <row r="185" spans="3:76" hidden="1">
      <c r="C185" s="317" t="s">
        <v>339</v>
      </c>
      <c r="D185" s="326" t="e">
        <f>IRR(E183:BX183)*12</f>
        <v>#VALUE!</v>
      </c>
      <c r="E185" s="226"/>
      <c r="F185" s="226"/>
      <c r="G185" s="226"/>
      <c r="H185" s="226"/>
      <c r="I185" s="226"/>
      <c r="J185" s="226"/>
      <c r="K185" s="226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6"/>
      <c r="AA185" s="226"/>
      <c r="AB185" s="226"/>
      <c r="AC185" s="226"/>
      <c r="AD185" s="226"/>
      <c r="AE185" s="226"/>
      <c r="AF185" s="226"/>
      <c r="AG185" s="226"/>
      <c r="AH185" s="226"/>
      <c r="AI185" s="226"/>
      <c r="AJ185" s="226"/>
      <c r="AK185" s="226"/>
      <c r="AL185" s="226"/>
      <c r="AM185" s="226"/>
      <c r="AN185" s="226"/>
      <c r="AO185" s="226"/>
      <c r="AP185" s="226"/>
      <c r="AQ185" s="226"/>
      <c r="AR185" s="226"/>
      <c r="AS185" s="226"/>
      <c r="AT185" s="226"/>
      <c r="AU185" s="226"/>
      <c r="AV185" s="226"/>
      <c r="AW185" s="226"/>
      <c r="AX185" s="226"/>
      <c r="AY185" s="226"/>
      <c r="AZ185" s="226"/>
      <c r="BA185" s="226"/>
      <c r="BB185" s="226"/>
      <c r="BC185" s="226"/>
      <c r="BD185" s="226"/>
      <c r="BE185" s="226"/>
      <c r="BF185" s="226"/>
      <c r="BG185" s="226"/>
      <c r="BH185" s="226"/>
      <c r="BI185" s="226"/>
      <c r="BJ185" s="226"/>
      <c r="BK185" s="226"/>
      <c r="BL185" s="226"/>
      <c r="BM185" s="226"/>
      <c r="BN185" s="226"/>
      <c r="BO185" s="226"/>
      <c r="BP185" s="226"/>
      <c r="BQ185" s="226"/>
      <c r="BR185" s="226"/>
      <c r="BS185" s="226"/>
      <c r="BT185" s="226"/>
      <c r="BU185" s="226"/>
      <c r="BV185" s="226"/>
      <c r="BW185" s="226"/>
      <c r="BX185" s="226"/>
    </row>
    <row r="186" spans="3:76" hidden="1">
      <c r="C186" s="327" t="s">
        <v>347</v>
      </c>
      <c r="D186" s="328">
        <f>-MIN(M184:BL184)-D187</f>
        <v>5341205.5</v>
      </c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  <c r="AE186" s="226"/>
      <c r="AF186" s="226"/>
      <c r="AG186" s="226"/>
      <c r="AH186" s="226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AY186" s="226"/>
      <c r="AZ186" s="226"/>
      <c r="BA186" s="226"/>
      <c r="BB186" s="226"/>
      <c r="BC186" s="226"/>
      <c r="BD186" s="226"/>
      <c r="BE186" s="226"/>
      <c r="BF186" s="226"/>
      <c r="BG186" s="226"/>
      <c r="BH186" s="226"/>
      <c r="BI186" s="226"/>
      <c r="BJ186" s="226"/>
      <c r="BK186" s="226"/>
      <c r="BL186" s="226"/>
      <c r="BM186" s="226"/>
      <c r="BN186" s="226"/>
      <c r="BO186" s="226"/>
      <c r="BP186" s="226"/>
      <c r="BQ186" s="226"/>
      <c r="BR186" s="226"/>
      <c r="BS186" s="226"/>
      <c r="BT186" s="226"/>
      <c r="BU186" s="226"/>
      <c r="BV186" s="226"/>
      <c r="BW186" s="226"/>
      <c r="BX186" s="226"/>
    </row>
    <row r="187" spans="3:76" hidden="1">
      <c r="C187" s="327" t="s">
        <v>348</v>
      </c>
      <c r="D187" s="328">
        <f>-SUM(M182:BB182)</f>
        <v>0</v>
      </c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  <c r="AD187" s="226"/>
      <c r="AE187" s="226"/>
      <c r="AF187" s="226"/>
      <c r="AG187" s="226"/>
      <c r="AH187" s="226"/>
      <c r="AI187" s="226"/>
      <c r="AJ187" s="226"/>
      <c r="AK187" s="226"/>
      <c r="AL187" s="226"/>
      <c r="AM187" s="226"/>
      <c r="AN187" s="226"/>
      <c r="AO187" s="226"/>
      <c r="AP187" s="226"/>
      <c r="AQ187" s="226"/>
      <c r="AR187" s="226"/>
      <c r="AS187" s="226"/>
      <c r="AT187" s="226"/>
      <c r="AU187" s="226"/>
      <c r="AV187" s="226"/>
      <c r="AW187" s="226"/>
      <c r="AX187" s="226"/>
      <c r="AY187" s="226"/>
      <c r="AZ187" s="226"/>
      <c r="BA187" s="226"/>
      <c r="BB187" s="226"/>
      <c r="BC187" s="226"/>
      <c r="BD187" s="226"/>
      <c r="BE187" s="226"/>
      <c r="BF187" s="226"/>
      <c r="BG187" s="226"/>
      <c r="BH187" s="226"/>
      <c r="BI187" s="226"/>
      <c r="BJ187" s="226"/>
      <c r="BK187" s="226"/>
      <c r="BL187" s="226"/>
      <c r="BM187" s="226"/>
      <c r="BN187" s="226"/>
      <c r="BO187" s="226"/>
      <c r="BP187" s="226"/>
      <c r="BQ187" s="226"/>
      <c r="BR187" s="226"/>
      <c r="BS187" s="226"/>
      <c r="BT187" s="226"/>
      <c r="BU187" s="226"/>
      <c r="BV187" s="226"/>
      <c r="BW187" s="226"/>
      <c r="BX187" s="226"/>
    </row>
    <row r="188" spans="3:76" hidden="1">
      <c r="C188" s="317" t="s">
        <v>349</v>
      </c>
      <c r="D188" s="329">
        <f>D187+D186</f>
        <v>5341205.5</v>
      </c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  <c r="AD188" s="226"/>
      <c r="AE188" s="226"/>
      <c r="AF188" s="226"/>
      <c r="AG188" s="226"/>
      <c r="AH188" s="226"/>
      <c r="AI188" s="226"/>
      <c r="AJ188" s="226"/>
      <c r="AK188" s="226"/>
      <c r="AL188" s="226"/>
      <c r="AM188" s="226"/>
      <c r="AN188" s="226"/>
      <c r="AO188" s="226"/>
      <c r="AP188" s="226"/>
      <c r="AQ188" s="226"/>
      <c r="AR188" s="226"/>
      <c r="AS188" s="226"/>
      <c r="AT188" s="226"/>
      <c r="AU188" s="226"/>
      <c r="AV188" s="226"/>
      <c r="AW188" s="226"/>
      <c r="AX188" s="226"/>
      <c r="AY188" s="226"/>
      <c r="AZ188" s="226"/>
      <c r="BA188" s="226"/>
      <c r="BB188" s="226"/>
      <c r="BC188" s="226"/>
      <c r="BD188" s="226"/>
      <c r="BE188" s="226"/>
      <c r="BF188" s="226"/>
      <c r="BG188" s="226"/>
      <c r="BH188" s="226"/>
      <c r="BI188" s="226"/>
      <c r="BJ188" s="226"/>
      <c r="BK188" s="226"/>
      <c r="BL188" s="226"/>
      <c r="BM188" s="226"/>
      <c r="BN188" s="226"/>
      <c r="BO188" s="226"/>
      <c r="BP188" s="226"/>
      <c r="BQ188" s="226"/>
      <c r="BR188" s="226"/>
      <c r="BS188" s="226"/>
      <c r="BT188" s="226"/>
      <c r="BU188" s="226"/>
      <c r="BV188" s="226"/>
      <c r="BW188" s="226"/>
      <c r="BX188" s="226"/>
    </row>
    <row r="189" spans="3:76" hidden="1">
      <c r="C189" s="317" t="s">
        <v>350</v>
      </c>
      <c r="D189" s="329" t="e">
        <f>BX180+BX181</f>
        <v>#VALUE!</v>
      </c>
      <c r="E189" s="226"/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6"/>
      <c r="AA189" s="226"/>
      <c r="AB189" s="226"/>
      <c r="AC189" s="226"/>
      <c r="AD189" s="226"/>
      <c r="AE189" s="226"/>
      <c r="AF189" s="226"/>
      <c r="AG189" s="226"/>
      <c r="AH189" s="226"/>
      <c r="AI189" s="226"/>
      <c r="AJ189" s="226"/>
      <c r="AK189" s="226"/>
      <c r="AL189" s="226"/>
      <c r="AM189" s="226"/>
      <c r="AN189" s="226"/>
      <c r="AO189" s="226"/>
      <c r="AP189" s="226"/>
      <c r="AQ189" s="226"/>
      <c r="AR189" s="226"/>
      <c r="AS189" s="226"/>
      <c r="AT189" s="226"/>
      <c r="AU189" s="226"/>
      <c r="AV189" s="226"/>
      <c r="AW189" s="226"/>
      <c r="AX189" s="226"/>
      <c r="AY189" s="226"/>
      <c r="AZ189" s="226"/>
      <c r="BA189" s="226"/>
      <c r="BB189" s="226"/>
      <c r="BC189" s="226"/>
      <c r="BD189" s="226"/>
      <c r="BE189" s="226"/>
      <c r="BF189" s="226"/>
      <c r="BG189" s="226"/>
      <c r="BH189" s="226"/>
      <c r="BI189" s="226"/>
      <c r="BJ189" s="226"/>
      <c r="BK189" s="226"/>
      <c r="BL189" s="226"/>
      <c r="BM189" s="226"/>
      <c r="BN189" s="226"/>
      <c r="BO189" s="226"/>
      <c r="BP189" s="226"/>
      <c r="BQ189" s="226"/>
      <c r="BR189" s="226"/>
      <c r="BS189" s="226"/>
      <c r="BT189" s="226"/>
      <c r="BU189" s="226"/>
      <c r="BV189" s="226"/>
      <c r="BW189" s="226"/>
      <c r="BX189" s="226"/>
    </row>
    <row r="190" spans="3:76" hidden="1">
      <c r="C190" s="317" t="s">
        <v>351</v>
      </c>
      <c r="D190" s="326">
        <f>T181/T178</f>
        <v>0.51486504310684167</v>
      </c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  <c r="AE190" s="226"/>
      <c r="AF190" s="226"/>
      <c r="AG190" s="226"/>
      <c r="AH190" s="226"/>
      <c r="AI190" s="226"/>
      <c r="AJ190" s="226"/>
      <c r="AK190" s="226"/>
      <c r="AL190" s="226"/>
      <c r="AM190" s="226"/>
      <c r="AN190" s="226"/>
      <c r="AO190" s="226"/>
      <c r="AP190" s="226"/>
      <c r="AQ190" s="226"/>
      <c r="AR190" s="226"/>
      <c r="AS190" s="226"/>
      <c r="AT190" s="226"/>
      <c r="AU190" s="226"/>
      <c r="AV190" s="226"/>
      <c r="AW190" s="226"/>
      <c r="AX190" s="226"/>
      <c r="AY190" s="226"/>
      <c r="AZ190" s="226"/>
      <c r="BA190" s="226"/>
      <c r="BB190" s="226"/>
      <c r="BC190" s="226"/>
      <c r="BD190" s="226"/>
      <c r="BE190" s="226"/>
      <c r="BF190" s="226"/>
      <c r="BG190" s="226"/>
      <c r="BH190" s="226"/>
      <c r="BI190" s="226"/>
      <c r="BJ190" s="226"/>
      <c r="BK190" s="226"/>
      <c r="BL190" s="226"/>
      <c r="BM190" s="226"/>
      <c r="BN190" s="226"/>
      <c r="BO190" s="226"/>
      <c r="BP190" s="226"/>
      <c r="BQ190" s="226"/>
      <c r="BR190" s="226"/>
      <c r="BS190" s="226"/>
      <c r="BT190" s="226"/>
      <c r="BU190" s="226"/>
      <c r="BV190" s="226"/>
      <c r="BW190" s="226"/>
      <c r="BX190" s="226"/>
    </row>
  </sheetData>
  <mergeCells count="34">
    <mergeCell ref="S123:T123"/>
    <mergeCell ref="B2:C4"/>
    <mergeCell ref="B5:B8"/>
    <mergeCell ref="B9:B11"/>
    <mergeCell ref="B12:B15"/>
    <mergeCell ref="B16:C16"/>
    <mergeCell ref="B17:B97"/>
    <mergeCell ref="B98:C98"/>
    <mergeCell ref="B99:C99"/>
    <mergeCell ref="B100:C100"/>
    <mergeCell ref="D105:E105"/>
    <mergeCell ref="D108:BW108"/>
    <mergeCell ref="S122:T122"/>
    <mergeCell ref="BM2:BX2"/>
    <mergeCell ref="E2:P2"/>
    <mergeCell ref="Q2:AB2"/>
    <mergeCell ref="BY90:BZ90"/>
    <mergeCell ref="BZ91:BZ97"/>
    <mergeCell ref="BY98:BZ98"/>
    <mergeCell ref="BY99:BZ99"/>
    <mergeCell ref="BZ5:BZ8"/>
    <mergeCell ref="BZ9:BZ11"/>
    <mergeCell ref="BY16:BZ16"/>
    <mergeCell ref="BZ17:BZ89"/>
    <mergeCell ref="CC17:CC89"/>
    <mergeCell ref="CC5:CC8"/>
    <mergeCell ref="CC9:CC11"/>
    <mergeCell ref="CC12:CC15"/>
    <mergeCell ref="CB16:CC16"/>
    <mergeCell ref="AC2:AN2"/>
    <mergeCell ref="AO2:AZ2"/>
    <mergeCell ref="BA2:BL2"/>
    <mergeCell ref="BY2:BZ4"/>
    <mergeCell ref="BZ12:BZ15"/>
  </mergeCells>
  <conditionalFormatting sqref="E17:BX17 E23:BX23 E26:BX26 E34:BX34 E37:BX37 E49:BX49 E55:BX55 E63:BX63 E87:BX87 E90:BX90">
    <cfRule type="cellIs" dxfId="8" priority="1" operator="equal">
      <formula>0</formula>
    </cfRule>
  </conditionalFormatting>
  <conditionalFormatting sqref="F113:BS116 E114 BT114:BX114 E116 BT116:BX116 E130 F130:BX133 E132 E148:BX148 E162 M162:BX162 F162:L165 E164 M164:BX164 M178:T178 H178:L181 E180:G180 M180:BX180">
    <cfRule type="cellIs" dxfId="7" priority="2" operator="equal">
      <formula>0</formula>
    </cfRule>
  </conditionalFormatting>
  <dataValidations count="1">
    <dataValidation type="list" allowBlank="1" showErrorMessage="1" sqref="CB4" xr:uid="{00000000-0002-0000-1300-000000000000}">
      <formula1>$D$3:$BX$3</formula1>
    </dataValidation>
  </dataValidations>
  <pageMargins left="0" right="0" top="0" bottom="0" header="0" footer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B2:T79"/>
  <sheetViews>
    <sheetView workbookViewId="0"/>
  </sheetViews>
  <sheetFormatPr baseColWidth="10" defaultColWidth="12.6640625" defaultRowHeight="15" customHeight="1"/>
  <sheetData>
    <row r="2" spans="2:20" ht="14">
      <c r="B2" s="816" t="s">
        <v>359</v>
      </c>
      <c r="C2" s="772"/>
      <c r="D2" s="772"/>
      <c r="E2" s="772"/>
      <c r="G2" s="816" t="s">
        <v>360</v>
      </c>
      <c r="H2" s="772"/>
      <c r="I2" s="772"/>
      <c r="J2" s="772"/>
      <c r="L2" s="816" t="s">
        <v>361</v>
      </c>
      <c r="M2" s="772"/>
      <c r="N2" s="772"/>
      <c r="O2" s="772"/>
      <c r="Q2" s="816" t="s">
        <v>362</v>
      </c>
      <c r="R2" s="772"/>
      <c r="S2" s="772"/>
      <c r="T2" s="772"/>
    </row>
    <row r="3" spans="2:20" ht="15" customHeight="1">
      <c r="B3" s="772"/>
      <c r="C3" s="772"/>
      <c r="D3" s="772"/>
      <c r="E3" s="772"/>
      <c r="G3" s="772"/>
      <c r="H3" s="772"/>
      <c r="I3" s="772"/>
      <c r="J3" s="772"/>
      <c r="L3" s="772"/>
      <c r="M3" s="772"/>
      <c r="N3" s="772"/>
      <c r="O3" s="772"/>
      <c r="Q3" s="772"/>
      <c r="R3" s="772"/>
      <c r="S3" s="772"/>
      <c r="T3" s="772"/>
    </row>
    <row r="7" spans="2:20" ht="14">
      <c r="B7" s="340" t="s">
        <v>363</v>
      </c>
      <c r="C7" s="341" t="s">
        <v>364</v>
      </c>
      <c r="D7" s="342" t="s">
        <v>326</v>
      </c>
      <c r="E7" s="343" t="s">
        <v>365</v>
      </c>
      <c r="G7" s="340" t="s">
        <v>363</v>
      </c>
      <c r="H7" s="341" t="s">
        <v>364</v>
      </c>
      <c r="I7" s="342" t="s">
        <v>326</v>
      </c>
      <c r="J7" s="343" t="s">
        <v>365</v>
      </c>
      <c r="L7" s="340" t="s">
        <v>363</v>
      </c>
      <c r="M7" s="341" t="s">
        <v>364</v>
      </c>
      <c r="N7" s="342" t="s">
        <v>326</v>
      </c>
      <c r="O7" s="343" t="s">
        <v>365</v>
      </c>
      <c r="Q7" s="340" t="s">
        <v>363</v>
      </c>
      <c r="R7" s="341" t="s">
        <v>364</v>
      </c>
      <c r="S7" s="342" t="s">
        <v>326</v>
      </c>
      <c r="T7" s="343" t="s">
        <v>365</v>
      </c>
    </row>
    <row r="8" spans="2:20" ht="14">
      <c r="B8" s="344">
        <v>45292</v>
      </c>
      <c r="C8" s="345">
        <f t="array" ref="C8:C79">TRANSPOSE('Cash-flow PLAN'!E110:BX110)</f>
        <v>0</v>
      </c>
      <c r="D8" s="346">
        <f>0-C8</f>
        <v>0</v>
      </c>
      <c r="E8" s="347">
        <f>D8*'Cash-flow PLAN'!$D$54/12</f>
        <v>0</v>
      </c>
      <c r="G8" s="344">
        <v>45292</v>
      </c>
      <c r="H8" s="348">
        <f t="array" ref="H8:H79">TRANSPOSE('Cash-flow M 22.7.'!E145:BX145)</f>
        <v>0</v>
      </c>
      <c r="I8" s="346">
        <f>0-H8</f>
        <v>0</v>
      </c>
      <c r="J8" s="347">
        <f>I8*'Cash-flow M 22.7.'!$D$58/12</f>
        <v>0</v>
      </c>
      <c r="L8" s="344">
        <v>45292</v>
      </c>
      <c r="M8" s="348">
        <f t="array" ref="M8:M79">TRANSPOSE('Cash-flow PLAN'!E142:BX142)</f>
        <v>0</v>
      </c>
      <c r="N8" s="346">
        <f>0-M8</f>
        <v>0</v>
      </c>
      <c r="O8" s="347">
        <f>N8*'Cash-flow PLAN'!$D$56/12</f>
        <v>0</v>
      </c>
      <c r="Q8" s="344">
        <v>45292</v>
      </c>
      <c r="R8" s="345">
        <f t="array" ref="R8:R79">TRANSPOSE('Cash-flow PLAN'!E159:BX159)</f>
        <v>0</v>
      </c>
      <c r="S8" s="346">
        <f>0-R8</f>
        <v>0</v>
      </c>
      <c r="T8" s="347">
        <f>S8*'Cash-flow PLAN'!$D$57/12</f>
        <v>0</v>
      </c>
    </row>
    <row r="9" spans="2:20" ht="14">
      <c r="B9" s="349">
        <v>45323</v>
      </c>
      <c r="C9" s="345">
        <v>0</v>
      </c>
      <c r="D9" s="346">
        <f t="shared" ref="D9:D78" si="0">D8-C9</f>
        <v>0</v>
      </c>
      <c r="E9" s="347">
        <f>D9*'Cash-flow PLAN'!$D$54/12</f>
        <v>0</v>
      </c>
      <c r="G9" s="349">
        <v>45323</v>
      </c>
      <c r="H9" s="345">
        <v>0</v>
      </c>
      <c r="I9" s="346">
        <f t="shared" ref="I9:I78" si="1">I8-H9</f>
        <v>0</v>
      </c>
      <c r="J9" s="347">
        <f>I9*'Cash-flow M 22.7.'!$D$58/12</f>
        <v>0</v>
      </c>
      <c r="L9" s="349">
        <v>45323</v>
      </c>
      <c r="M9" s="345">
        <v>0</v>
      </c>
      <c r="N9" s="346">
        <f t="shared" ref="N9:N78" si="2">N8-M9</f>
        <v>0</v>
      </c>
      <c r="O9" s="347">
        <f>N9*'Cash-flow PLAN'!$D$56/12</f>
        <v>0</v>
      </c>
      <c r="Q9" s="349">
        <v>45323</v>
      </c>
      <c r="R9" s="345">
        <v>0</v>
      </c>
      <c r="S9" s="346">
        <f t="shared" ref="S9:S78" si="3">S8-R9</f>
        <v>0</v>
      </c>
      <c r="T9" s="347">
        <f>S9*'Cash-flow PLAN'!$D$57/12</f>
        <v>0</v>
      </c>
    </row>
    <row r="10" spans="2:20" ht="14">
      <c r="B10" s="349">
        <v>45352</v>
      </c>
      <c r="C10" s="345">
        <v>0</v>
      </c>
      <c r="D10" s="346">
        <f t="shared" si="0"/>
        <v>0</v>
      </c>
      <c r="E10" s="347">
        <f>D10*'Cash-flow PLAN'!$D$54/12</f>
        <v>0</v>
      </c>
      <c r="G10" s="349">
        <v>45352</v>
      </c>
      <c r="H10" s="345">
        <v>0</v>
      </c>
      <c r="I10" s="346">
        <f t="shared" si="1"/>
        <v>0</v>
      </c>
      <c r="J10" s="347">
        <f>I10*'Cash-flow M 22.7.'!$D$58/12</f>
        <v>0</v>
      </c>
      <c r="L10" s="349">
        <v>45352</v>
      </c>
      <c r="M10" s="345">
        <v>0</v>
      </c>
      <c r="N10" s="346">
        <f t="shared" si="2"/>
        <v>0</v>
      </c>
      <c r="O10" s="347">
        <f>N10*'Cash-flow PLAN'!$D$56/12</f>
        <v>0</v>
      </c>
      <c r="Q10" s="349">
        <v>45352</v>
      </c>
      <c r="R10" s="345">
        <v>0</v>
      </c>
      <c r="S10" s="346">
        <f t="shared" si="3"/>
        <v>0</v>
      </c>
      <c r="T10" s="347">
        <f>S10*'Cash-flow PLAN'!$D$57/12</f>
        <v>0</v>
      </c>
    </row>
    <row r="11" spans="2:20" ht="14">
      <c r="B11" s="349">
        <v>45383</v>
      </c>
      <c r="C11" s="345">
        <v>-16365002</v>
      </c>
      <c r="D11" s="346">
        <f t="shared" si="0"/>
        <v>16365002</v>
      </c>
      <c r="E11" s="347">
        <f>D11*'Cash-flow PLAN'!$D$54/12</f>
        <v>143193.76749999999</v>
      </c>
      <c r="G11" s="349">
        <v>45383</v>
      </c>
      <c r="H11" s="345">
        <v>0</v>
      </c>
      <c r="I11" s="346">
        <f t="shared" si="1"/>
        <v>0</v>
      </c>
      <c r="J11" s="347">
        <f>I11*'Cash-flow M 22.7.'!$D$58/12</f>
        <v>0</v>
      </c>
      <c r="L11" s="349">
        <v>45383</v>
      </c>
      <c r="M11" s="345">
        <v>-10682501</v>
      </c>
      <c r="N11" s="346">
        <f t="shared" si="2"/>
        <v>10682501</v>
      </c>
      <c r="O11" s="347">
        <f>N11*'Cash-flow PLAN'!$D$56/12</f>
        <v>93471.883749999994</v>
      </c>
      <c r="Q11" s="349">
        <v>45383</v>
      </c>
      <c r="R11" s="345">
        <v>0</v>
      </c>
      <c r="S11" s="346">
        <f t="shared" si="3"/>
        <v>0</v>
      </c>
      <c r="T11" s="347">
        <f>S11*'Cash-flow PLAN'!$D$57/12</f>
        <v>0</v>
      </c>
    </row>
    <row r="12" spans="2:20" ht="14">
      <c r="B12" s="349">
        <v>45413</v>
      </c>
      <c r="C12" s="345">
        <v>-1000000</v>
      </c>
      <c r="D12" s="346">
        <f t="shared" si="0"/>
        <v>17365002</v>
      </c>
      <c r="E12" s="347">
        <f>D12*'Cash-flow PLAN'!$D$54/12</f>
        <v>151943.76749999999</v>
      </c>
      <c r="G12" s="349">
        <v>45413</v>
      </c>
      <c r="H12" s="345">
        <v>0</v>
      </c>
      <c r="I12" s="346">
        <f t="shared" si="1"/>
        <v>0</v>
      </c>
      <c r="J12" s="347">
        <f>I12*'Cash-flow M 22.7.'!$D$58/12</f>
        <v>0</v>
      </c>
      <c r="L12" s="349">
        <v>45413</v>
      </c>
      <c r="M12" s="345">
        <v>0</v>
      </c>
      <c r="N12" s="346">
        <f t="shared" si="2"/>
        <v>10682501</v>
      </c>
      <c r="O12" s="347">
        <f>N12*'Cash-flow PLAN'!$D$56/12</f>
        <v>93471.883749999994</v>
      </c>
      <c r="Q12" s="349">
        <v>45413</v>
      </c>
      <c r="R12" s="345">
        <v>0</v>
      </c>
      <c r="S12" s="346">
        <f t="shared" si="3"/>
        <v>0</v>
      </c>
      <c r="T12" s="347">
        <f>S12*'Cash-flow PLAN'!$D$57/12</f>
        <v>0</v>
      </c>
    </row>
    <row r="13" spans="2:20" ht="14">
      <c r="B13" s="350">
        <v>45444</v>
      </c>
      <c r="C13" s="345">
        <v>0</v>
      </c>
      <c r="D13" s="346">
        <f t="shared" si="0"/>
        <v>17365002</v>
      </c>
      <c r="E13" s="347">
        <f>D13*'Cash-flow PLAN'!$D$54/12</f>
        <v>151943.76749999999</v>
      </c>
      <c r="G13" s="350">
        <v>45444</v>
      </c>
      <c r="H13" s="345">
        <v>0</v>
      </c>
      <c r="I13" s="346">
        <f t="shared" si="1"/>
        <v>0</v>
      </c>
      <c r="J13" s="347">
        <f>I13*'Cash-flow M 22.7.'!$D$58/12</f>
        <v>0</v>
      </c>
      <c r="L13" s="350">
        <v>45444</v>
      </c>
      <c r="M13" s="345">
        <v>0</v>
      </c>
      <c r="N13" s="346">
        <f t="shared" si="2"/>
        <v>10682501</v>
      </c>
      <c r="O13" s="347">
        <f>N13*'Cash-flow PLAN'!$D$56/12</f>
        <v>93471.883749999994</v>
      </c>
      <c r="Q13" s="350">
        <v>45444</v>
      </c>
      <c r="R13" s="345">
        <v>0</v>
      </c>
      <c r="S13" s="346">
        <f t="shared" si="3"/>
        <v>0</v>
      </c>
      <c r="T13" s="347">
        <f>S13*'Cash-flow PLAN'!$D$57/12</f>
        <v>0</v>
      </c>
    </row>
    <row r="14" spans="2:20" ht="14">
      <c r="B14" s="349">
        <v>45474</v>
      </c>
      <c r="C14" s="345">
        <v>0</v>
      </c>
      <c r="D14" s="346">
        <f t="shared" si="0"/>
        <v>17365002</v>
      </c>
      <c r="E14" s="347">
        <f>D14*'Cash-flow PLAN'!$D$54/12</f>
        <v>151943.76749999999</v>
      </c>
      <c r="G14" s="349">
        <v>45474</v>
      </c>
      <c r="H14" s="345">
        <v>0</v>
      </c>
      <c r="I14" s="346">
        <f t="shared" si="1"/>
        <v>0</v>
      </c>
      <c r="J14" s="347">
        <f>I14*'Cash-flow M 22.7.'!$D$58/12</f>
        <v>0</v>
      </c>
      <c r="L14" s="349">
        <v>45474</v>
      </c>
      <c r="M14" s="345">
        <v>0</v>
      </c>
      <c r="N14" s="346">
        <f t="shared" si="2"/>
        <v>10682501</v>
      </c>
      <c r="O14" s="347">
        <f>N14*'Cash-flow PLAN'!$D$56/12</f>
        <v>93471.883749999994</v>
      </c>
      <c r="Q14" s="349">
        <v>45474</v>
      </c>
      <c r="R14" s="345">
        <v>0</v>
      </c>
      <c r="S14" s="346">
        <f t="shared" si="3"/>
        <v>0</v>
      </c>
      <c r="T14" s="347">
        <f>S14*'Cash-flow PLAN'!$D$57/12</f>
        <v>0</v>
      </c>
    </row>
    <row r="15" spans="2:20" ht="14">
      <c r="B15" s="349">
        <v>45505</v>
      </c>
      <c r="C15" s="345">
        <v>0</v>
      </c>
      <c r="D15" s="346">
        <f t="shared" si="0"/>
        <v>17365002</v>
      </c>
      <c r="E15" s="347">
        <f>D15*'Cash-flow PLAN'!$D$54/12</f>
        <v>151943.76749999999</v>
      </c>
      <c r="G15" s="349">
        <v>45505</v>
      </c>
      <c r="H15" s="345">
        <v>-9000000</v>
      </c>
      <c r="I15" s="346">
        <f t="shared" si="1"/>
        <v>9000000</v>
      </c>
      <c r="J15" s="347">
        <f>I15*'Cash-flow M 22.7.'!$D$58/12</f>
        <v>82500</v>
      </c>
      <c r="L15" s="349">
        <v>45505</v>
      </c>
      <c r="M15" s="345">
        <v>0</v>
      </c>
      <c r="N15" s="346">
        <f t="shared" si="2"/>
        <v>10682501</v>
      </c>
      <c r="O15" s="347">
        <f>N15*'Cash-flow PLAN'!$D$56/12</f>
        <v>93471.883749999994</v>
      </c>
      <c r="Q15" s="349">
        <v>45505</v>
      </c>
      <c r="R15" s="345">
        <v>0</v>
      </c>
      <c r="S15" s="346">
        <f t="shared" si="3"/>
        <v>0</v>
      </c>
      <c r="T15" s="347">
        <f>S15*'Cash-flow PLAN'!$D$57/12</f>
        <v>0</v>
      </c>
    </row>
    <row r="16" spans="2:20" ht="14">
      <c r="B16" s="349">
        <v>45536</v>
      </c>
      <c r="C16" s="345">
        <v>0</v>
      </c>
      <c r="D16" s="346">
        <f t="shared" si="0"/>
        <v>17365002</v>
      </c>
      <c r="E16" s="347">
        <f>D16*'Cash-flow PLAN'!$D$54/12</f>
        <v>151943.76749999999</v>
      </c>
      <c r="G16" s="349">
        <v>45536</v>
      </c>
      <c r="H16" s="345">
        <v>0</v>
      </c>
      <c r="I16" s="346">
        <f t="shared" si="1"/>
        <v>9000000</v>
      </c>
      <c r="J16" s="347">
        <f>I16*'Cash-flow M 22.7.'!$D$58/12</f>
        <v>82500</v>
      </c>
      <c r="L16" s="349">
        <v>45536</v>
      </c>
      <c r="M16" s="345">
        <v>0</v>
      </c>
      <c r="N16" s="346">
        <f t="shared" si="2"/>
        <v>10682501</v>
      </c>
      <c r="O16" s="347">
        <f>N16*'Cash-flow PLAN'!$D$56/12</f>
        <v>93471.883749999994</v>
      </c>
      <c r="Q16" s="349">
        <v>45536</v>
      </c>
      <c r="R16" s="345">
        <v>0</v>
      </c>
      <c r="S16" s="346">
        <f t="shared" si="3"/>
        <v>0</v>
      </c>
      <c r="T16" s="347">
        <f>S16*'Cash-flow PLAN'!$D$57/12</f>
        <v>0</v>
      </c>
    </row>
    <row r="17" spans="2:20" ht="14">
      <c r="B17" s="349">
        <v>45566</v>
      </c>
      <c r="C17" s="345">
        <v>0</v>
      </c>
      <c r="D17" s="346">
        <f t="shared" si="0"/>
        <v>17365002</v>
      </c>
      <c r="E17" s="347">
        <f>D17*'Cash-flow PLAN'!$D$54/12</f>
        <v>151943.76749999999</v>
      </c>
      <c r="G17" s="349">
        <v>45566</v>
      </c>
      <c r="H17" s="345">
        <v>0</v>
      </c>
      <c r="I17" s="346">
        <f t="shared" si="1"/>
        <v>9000000</v>
      </c>
      <c r="J17" s="347">
        <f>I17*'Cash-flow M 22.7.'!$D$58/12</f>
        <v>82500</v>
      </c>
      <c r="L17" s="349">
        <v>45566</v>
      </c>
      <c r="M17" s="345">
        <v>0</v>
      </c>
      <c r="N17" s="346">
        <f t="shared" si="2"/>
        <v>10682501</v>
      </c>
      <c r="O17" s="347">
        <f>N17*'Cash-flow PLAN'!$D$56/12</f>
        <v>93471.883749999994</v>
      </c>
      <c r="Q17" s="349">
        <v>45566</v>
      </c>
      <c r="R17" s="345">
        <v>0</v>
      </c>
      <c r="S17" s="346">
        <f t="shared" si="3"/>
        <v>0</v>
      </c>
      <c r="T17" s="347">
        <f>S17*'Cash-flow PLAN'!$D$57/12</f>
        <v>0</v>
      </c>
    </row>
    <row r="18" spans="2:20" ht="14">
      <c r="B18" s="349">
        <v>45597</v>
      </c>
      <c r="C18" s="345">
        <v>-3000000</v>
      </c>
      <c r="D18" s="346">
        <f t="shared" si="0"/>
        <v>20365002</v>
      </c>
      <c r="E18" s="347">
        <f>D18*'Cash-flow PLAN'!$D$54/12</f>
        <v>178193.76749999999</v>
      </c>
      <c r="G18" s="349">
        <v>45597</v>
      </c>
      <c r="H18" s="345">
        <v>0</v>
      </c>
      <c r="I18" s="346">
        <f t="shared" si="1"/>
        <v>9000000</v>
      </c>
      <c r="J18" s="347">
        <f>I18*'Cash-flow M 22.7.'!$D$58/12</f>
        <v>82500</v>
      </c>
      <c r="L18" s="349">
        <v>45597</v>
      </c>
      <c r="M18" s="345">
        <v>0</v>
      </c>
      <c r="N18" s="346">
        <f t="shared" si="2"/>
        <v>10682501</v>
      </c>
      <c r="O18" s="347">
        <f>N18*'Cash-flow PLAN'!$D$56/12</f>
        <v>93471.883749999994</v>
      </c>
      <c r="Q18" s="349">
        <v>45597</v>
      </c>
      <c r="R18" s="345">
        <v>0</v>
      </c>
      <c r="S18" s="346">
        <f t="shared" si="3"/>
        <v>0</v>
      </c>
      <c r="T18" s="347">
        <f>S18*'Cash-flow PLAN'!$D$57/12</f>
        <v>0</v>
      </c>
    </row>
    <row r="19" spans="2:20" ht="14">
      <c r="B19" s="349">
        <v>45627</v>
      </c>
      <c r="C19" s="345">
        <v>-2100000</v>
      </c>
      <c r="D19" s="346">
        <f t="shared" si="0"/>
        <v>22465002</v>
      </c>
      <c r="E19" s="347">
        <f>D19*'Cash-flow PLAN'!$D$54/12</f>
        <v>196568.76749999999</v>
      </c>
      <c r="G19" s="349">
        <v>45627</v>
      </c>
      <c r="H19" s="345">
        <v>0</v>
      </c>
      <c r="I19" s="346">
        <f t="shared" si="1"/>
        <v>9000000</v>
      </c>
      <c r="J19" s="347">
        <f>I19*'Cash-flow M 22.7.'!$D$58/12</f>
        <v>82500</v>
      </c>
      <c r="L19" s="349">
        <v>45627</v>
      </c>
      <c r="M19" s="345">
        <v>0</v>
      </c>
      <c r="N19" s="346">
        <f t="shared" si="2"/>
        <v>10682501</v>
      </c>
      <c r="O19" s="347">
        <f>N19*'Cash-flow PLAN'!$D$56/12</f>
        <v>93471.883749999994</v>
      </c>
      <c r="Q19" s="349">
        <v>45627</v>
      </c>
      <c r="R19" s="345">
        <v>0</v>
      </c>
      <c r="S19" s="346">
        <f t="shared" si="3"/>
        <v>0</v>
      </c>
      <c r="T19" s="347">
        <f>S19*'Cash-flow PLAN'!$D$57/12</f>
        <v>0</v>
      </c>
    </row>
    <row r="20" spans="2:20" ht="14">
      <c r="B20" s="344">
        <v>45658</v>
      </c>
      <c r="C20" s="345">
        <v>0</v>
      </c>
      <c r="D20" s="346">
        <f t="shared" si="0"/>
        <v>22465002</v>
      </c>
      <c r="E20" s="347">
        <f>D20*'Cash-flow PLAN'!$D$54/12</f>
        <v>196568.76749999999</v>
      </c>
      <c r="G20" s="344">
        <v>45658</v>
      </c>
      <c r="H20" s="345">
        <v>0</v>
      </c>
      <c r="I20" s="346">
        <f t="shared" si="1"/>
        <v>9000000</v>
      </c>
      <c r="J20" s="347">
        <f>I20*'Cash-flow M 22.7.'!$D$58/12</f>
        <v>82500</v>
      </c>
      <c r="L20" s="344">
        <v>45658</v>
      </c>
      <c r="M20" s="345">
        <v>0</v>
      </c>
      <c r="N20" s="346">
        <f t="shared" si="2"/>
        <v>10682501</v>
      </c>
      <c r="O20" s="347">
        <f>N20*'Cash-flow PLAN'!$D$56/12</f>
        <v>93471.883749999994</v>
      </c>
      <c r="Q20" s="344">
        <v>45658</v>
      </c>
      <c r="R20" s="345">
        <v>0</v>
      </c>
      <c r="S20" s="346">
        <f t="shared" si="3"/>
        <v>0</v>
      </c>
      <c r="T20" s="347">
        <f>S20*'Cash-flow PLAN'!$D$57/12</f>
        <v>0</v>
      </c>
    </row>
    <row r="21" spans="2:20" ht="14">
      <c r="B21" s="349">
        <v>45689</v>
      </c>
      <c r="C21" s="345">
        <v>0</v>
      </c>
      <c r="D21" s="346">
        <f t="shared" si="0"/>
        <v>22465002</v>
      </c>
      <c r="E21" s="347">
        <f>D21*'Cash-flow PLAN'!$D$54/12</f>
        <v>196568.76749999999</v>
      </c>
      <c r="G21" s="349">
        <v>45689</v>
      </c>
      <c r="H21" s="345">
        <v>0</v>
      </c>
      <c r="I21" s="346">
        <f t="shared" si="1"/>
        <v>9000000</v>
      </c>
      <c r="J21" s="347">
        <f>I21*'Cash-flow M 22.7.'!$D$58/12</f>
        <v>82500</v>
      </c>
      <c r="L21" s="349">
        <v>45689</v>
      </c>
      <c r="M21" s="345">
        <v>0</v>
      </c>
      <c r="N21" s="346">
        <f t="shared" si="2"/>
        <v>10682501</v>
      </c>
      <c r="O21" s="347">
        <f>N21*'Cash-flow PLAN'!$D$56/12</f>
        <v>93471.883749999994</v>
      </c>
      <c r="Q21" s="349">
        <v>45689</v>
      </c>
      <c r="R21" s="345">
        <v>0</v>
      </c>
      <c r="S21" s="346">
        <f t="shared" si="3"/>
        <v>0</v>
      </c>
      <c r="T21" s="347">
        <f>S21*'Cash-flow PLAN'!$D$57/12</f>
        <v>0</v>
      </c>
    </row>
    <row r="22" spans="2:20" ht="14">
      <c r="B22" s="349">
        <v>45717</v>
      </c>
      <c r="C22" s="345">
        <v>0</v>
      </c>
      <c r="D22" s="346">
        <f t="shared" si="0"/>
        <v>22465002</v>
      </c>
      <c r="E22" s="347">
        <f>D22*'Cash-flow PLAN'!$D$54/12</f>
        <v>196568.76749999999</v>
      </c>
      <c r="G22" s="349">
        <v>45717</v>
      </c>
      <c r="H22" s="345">
        <v>0</v>
      </c>
      <c r="I22" s="346">
        <f t="shared" si="1"/>
        <v>9000000</v>
      </c>
      <c r="J22" s="347">
        <f>I22*'Cash-flow M 22.7.'!$D$58/12</f>
        <v>82500</v>
      </c>
      <c r="L22" s="349">
        <v>45717</v>
      </c>
      <c r="M22" s="345">
        <v>0</v>
      </c>
      <c r="N22" s="346">
        <f t="shared" si="2"/>
        <v>10682501</v>
      </c>
      <c r="O22" s="347">
        <f>N22*'Cash-flow PLAN'!$D$56/12</f>
        <v>93471.883749999994</v>
      </c>
      <c r="Q22" s="349">
        <v>45717</v>
      </c>
      <c r="R22" s="345">
        <v>0</v>
      </c>
      <c r="S22" s="346">
        <f t="shared" si="3"/>
        <v>0</v>
      </c>
      <c r="T22" s="347">
        <f>S22*'Cash-flow PLAN'!$D$57/12</f>
        <v>0</v>
      </c>
    </row>
    <row r="23" spans="2:20" ht="14">
      <c r="B23" s="349">
        <v>45748</v>
      </c>
      <c r="C23" s="345">
        <v>22465002</v>
      </c>
      <c r="D23" s="346">
        <f t="shared" si="0"/>
        <v>0</v>
      </c>
      <c r="E23" s="347">
        <f>D23*'Cash-flow PLAN'!$D$54/12</f>
        <v>0</v>
      </c>
      <c r="G23" s="349">
        <v>45748</v>
      </c>
      <c r="H23" s="345">
        <v>0</v>
      </c>
      <c r="I23" s="346">
        <f t="shared" si="1"/>
        <v>9000000</v>
      </c>
      <c r="J23" s="347">
        <f>I23*'Cash-flow M 22.7.'!$D$58/12</f>
        <v>82500</v>
      </c>
      <c r="L23" s="349">
        <v>45748</v>
      </c>
      <c r="M23" s="345">
        <v>10682501</v>
      </c>
      <c r="N23" s="346">
        <f t="shared" si="2"/>
        <v>0</v>
      </c>
      <c r="O23" s="347">
        <f>N23*'Cash-flow PLAN'!$D$56/12</f>
        <v>0</v>
      </c>
      <c r="Q23" s="349">
        <v>45748</v>
      </c>
      <c r="R23" s="345">
        <v>0</v>
      </c>
      <c r="S23" s="346">
        <f t="shared" si="3"/>
        <v>0</v>
      </c>
      <c r="T23" s="347">
        <f>S23*'Cash-flow PLAN'!$D$57/12</f>
        <v>0</v>
      </c>
    </row>
    <row r="24" spans="2:20" ht="14">
      <c r="B24" s="349">
        <v>45778</v>
      </c>
      <c r="C24" s="345">
        <v>0</v>
      </c>
      <c r="D24" s="346">
        <f t="shared" si="0"/>
        <v>0</v>
      </c>
      <c r="E24" s="347">
        <f>D24*'Cash-flow PLAN'!$D$54/12</f>
        <v>0</v>
      </c>
      <c r="G24" s="349">
        <v>45778</v>
      </c>
      <c r="H24" s="345">
        <v>0</v>
      </c>
      <c r="I24" s="346">
        <f t="shared" si="1"/>
        <v>9000000</v>
      </c>
      <c r="J24" s="347">
        <f>I24*'Cash-flow M 22.7.'!$D$58/12</f>
        <v>82500</v>
      </c>
      <c r="L24" s="349">
        <v>45778</v>
      </c>
      <c r="M24" s="345">
        <v>0</v>
      </c>
      <c r="N24" s="346">
        <f t="shared" si="2"/>
        <v>0</v>
      </c>
      <c r="O24" s="347">
        <f>N24*'Cash-flow PLAN'!$D$56/12</f>
        <v>0</v>
      </c>
      <c r="Q24" s="349">
        <v>45778</v>
      </c>
      <c r="R24" s="345">
        <v>0</v>
      </c>
      <c r="S24" s="346">
        <f t="shared" si="3"/>
        <v>0</v>
      </c>
      <c r="T24" s="347">
        <f>S24*'Cash-flow PLAN'!$D$57/12</f>
        <v>0</v>
      </c>
    </row>
    <row r="25" spans="2:20" ht="14">
      <c r="B25" s="350">
        <v>45809</v>
      </c>
      <c r="C25" s="345">
        <v>0</v>
      </c>
      <c r="D25" s="346">
        <f t="shared" si="0"/>
        <v>0</v>
      </c>
      <c r="E25" s="347">
        <f>D25*'Cash-flow PLAN'!$D$54/12</f>
        <v>0</v>
      </c>
      <c r="G25" s="350">
        <v>45809</v>
      </c>
      <c r="H25" s="345">
        <v>0</v>
      </c>
      <c r="I25" s="346">
        <f t="shared" si="1"/>
        <v>9000000</v>
      </c>
      <c r="J25" s="347">
        <f>I25*'Cash-flow M 22.7.'!$D$58/12</f>
        <v>82500</v>
      </c>
      <c r="L25" s="350">
        <v>45809</v>
      </c>
      <c r="M25" s="345">
        <v>0</v>
      </c>
      <c r="N25" s="346">
        <f t="shared" si="2"/>
        <v>0</v>
      </c>
      <c r="O25" s="347">
        <f>N25*'Cash-flow PLAN'!$D$56/12</f>
        <v>0</v>
      </c>
      <c r="Q25" s="350">
        <v>45809</v>
      </c>
      <c r="R25" s="345">
        <v>0</v>
      </c>
      <c r="S25" s="346">
        <f t="shared" si="3"/>
        <v>0</v>
      </c>
      <c r="T25" s="347">
        <f>S25*'Cash-flow PLAN'!$D$57/12</f>
        <v>0</v>
      </c>
    </row>
    <row r="26" spans="2:20" ht="14">
      <c r="B26" s="349">
        <v>45839</v>
      </c>
      <c r="C26" s="345">
        <v>0</v>
      </c>
      <c r="D26" s="346">
        <f t="shared" si="0"/>
        <v>0</v>
      </c>
      <c r="E26" s="347">
        <f>D26*'Cash-flow PLAN'!$D$54/12</f>
        <v>0</v>
      </c>
      <c r="G26" s="349">
        <v>45839</v>
      </c>
      <c r="H26" s="345">
        <v>0</v>
      </c>
      <c r="I26" s="346">
        <f t="shared" si="1"/>
        <v>9000000</v>
      </c>
      <c r="J26" s="347">
        <f>I26*'Cash-flow M 22.7.'!$D$58/12</f>
        <v>82500</v>
      </c>
      <c r="L26" s="349">
        <v>45839</v>
      </c>
      <c r="M26" s="345">
        <v>0</v>
      </c>
      <c r="N26" s="346">
        <f t="shared" si="2"/>
        <v>0</v>
      </c>
      <c r="O26" s="347">
        <f>N26*'Cash-flow PLAN'!$D$56/12</f>
        <v>0</v>
      </c>
      <c r="Q26" s="349">
        <v>45839</v>
      </c>
      <c r="R26" s="345">
        <v>0</v>
      </c>
      <c r="S26" s="346">
        <f t="shared" si="3"/>
        <v>0</v>
      </c>
      <c r="T26" s="347">
        <f>S26*'Cash-flow PLAN'!$D$57/12</f>
        <v>0</v>
      </c>
    </row>
    <row r="27" spans="2:20" ht="14">
      <c r="B27" s="349">
        <v>45870</v>
      </c>
      <c r="C27" s="345">
        <v>0</v>
      </c>
      <c r="D27" s="346">
        <f t="shared" si="0"/>
        <v>0</v>
      </c>
      <c r="E27" s="347">
        <f>D27*'Cash-flow PLAN'!$D$54/12</f>
        <v>0</v>
      </c>
      <c r="G27" s="349">
        <v>45870</v>
      </c>
      <c r="H27" s="345">
        <v>0</v>
      </c>
      <c r="I27" s="346">
        <f t="shared" si="1"/>
        <v>9000000</v>
      </c>
      <c r="J27" s="347">
        <f>I27*'Cash-flow M 22.7.'!$D$58/12</f>
        <v>82500</v>
      </c>
      <c r="L27" s="349">
        <v>45870</v>
      </c>
      <c r="M27" s="345">
        <v>0</v>
      </c>
      <c r="N27" s="346">
        <f t="shared" si="2"/>
        <v>0</v>
      </c>
      <c r="O27" s="347">
        <f>N27*'Cash-flow PLAN'!$D$56/12</f>
        <v>0</v>
      </c>
      <c r="Q27" s="349">
        <v>45870</v>
      </c>
      <c r="R27" s="345">
        <v>0</v>
      </c>
      <c r="S27" s="346">
        <f t="shared" si="3"/>
        <v>0</v>
      </c>
      <c r="T27" s="347">
        <f>S27*'Cash-flow PLAN'!$D$57/12</f>
        <v>0</v>
      </c>
    </row>
    <row r="28" spans="2:20" ht="14">
      <c r="B28" s="349">
        <v>45901</v>
      </c>
      <c r="C28" s="345">
        <v>0</v>
      </c>
      <c r="D28" s="346">
        <f t="shared" si="0"/>
        <v>0</v>
      </c>
      <c r="E28" s="347">
        <f>D28*'Cash-flow PLAN'!$D$54/12</f>
        <v>0</v>
      </c>
      <c r="G28" s="349">
        <v>45901</v>
      </c>
      <c r="H28" s="345">
        <v>0</v>
      </c>
      <c r="I28" s="346">
        <f t="shared" si="1"/>
        <v>9000000</v>
      </c>
      <c r="J28" s="347">
        <f>I28*'Cash-flow M 22.7.'!$D$58/12</f>
        <v>82500</v>
      </c>
      <c r="L28" s="349">
        <v>45901</v>
      </c>
      <c r="M28" s="345">
        <v>0</v>
      </c>
      <c r="N28" s="346">
        <f t="shared" si="2"/>
        <v>0</v>
      </c>
      <c r="O28" s="347">
        <f>N28*'Cash-flow PLAN'!$D$56/12</f>
        <v>0</v>
      </c>
      <c r="Q28" s="349">
        <v>45901</v>
      </c>
      <c r="R28" s="345">
        <v>0</v>
      </c>
      <c r="S28" s="346">
        <f t="shared" si="3"/>
        <v>0</v>
      </c>
      <c r="T28" s="347">
        <f>S28*'Cash-flow PLAN'!$D$57/12</f>
        <v>0</v>
      </c>
    </row>
    <row r="29" spans="2:20" ht="14">
      <c r="B29" s="349">
        <v>45931</v>
      </c>
      <c r="C29" s="345">
        <v>0</v>
      </c>
      <c r="D29" s="346">
        <f t="shared" si="0"/>
        <v>0</v>
      </c>
      <c r="E29" s="347">
        <f>D29*'Cash-flow PLAN'!$D$54/12</f>
        <v>0</v>
      </c>
      <c r="G29" s="349">
        <v>45931</v>
      </c>
      <c r="H29" s="345">
        <v>0</v>
      </c>
      <c r="I29" s="346">
        <f t="shared" si="1"/>
        <v>9000000</v>
      </c>
      <c r="J29" s="347">
        <f>I29*'Cash-flow M 22.7.'!$D$58/12</f>
        <v>82500</v>
      </c>
      <c r="L29" s="349">
        <v>45931</v>
      </c>
      <c r="M29" s="345">
        <v>0</v>
      </c>
      <c r="N29" s="346">
        <f t="shared" si="2"/>
        <v>0</v>
      </c>
      <c r="O29" s="347">
        <f>N29*'Cash-flow PLAN'!$D$56/12</f>
        <v>0</v>
      </c>
      <c r="Q29" s="349">
        <v>45931</v>
      </c>
      <c r="R29" s="345">
        <v>0</v>
      </c>
      <c r="S29" s="346">
        <f t="shared" si="3"/>
        <v>0</v>
      </c>
      <c r="T29" s="347">
        <f>S29*'Cash-flow PLAN'!$D$57/12</f>
        <v>0</v>
      </c>
    </row>
    <row r="30" spans="2:20" ht="14">
      <c r="B30" s="349">
        <v>45962</v>
      </c>
      <c r="C30" s="345">
        <v>0</v>
      </c>
      <c r="D30" s="346">
        <f t="shared" si="0"/>
        <v>0</v>
      </c>
      <c r="E30" s="347">
        <f>D30*'Cash-flow PLAN'!$D$54/12</f>
        <v>0</v>
      </c>
      <c r="G30" s="349">
        <v>45962</v>
      </c>
      <c r="H30" s="345">
        <v>0</v>
      </c>
      <c r="I30" s="346">
        <f t="shared" si="1"/>
        <v>9000000</v>
      </c>
      <c r="J30" s="347">
        <f>I30*'Cash-flow M 22.7.'!$D$58/12</f>
        <v>82500</v>
      </c>
      <c r="L30" s="349">
        <v>45962</v>
      </c>
      <c r="M30" s="345">
        <v>0</v>
      </c>
      <c r="N30" s="346">
        <f t="shared" si="2"/>
        <v>0</v>
      </c>
      <c r="O30" s="347">
        <f>N30*'Cash-flow PLAN'!$D$56/12</f>
        <v>0</v>
      </c>
      <c r="Q30" s="349">
        <v>45962</v>
      </c>
      <c r="R30" s="345">
        <v>0</v>
      </c>
      <c r="S30" s="346">
        <f t="shared" si="3"/>
        <v>0</v>
      </c>
      <c r="T30" s="347">
        <f>S30*'Cash-flow PLAN'!$D$57/12</f>
        <v>0</v>
      </c>
    </row>
    <row r="31" spans="2:20" ht="14">
      <c r="B31" s="349">
        <v>45992</v>
      </c>
      <c r="C31" s="345">
        <v>0</v>
      </c>
      <c r="D31" s="346">
        <f t="shared" si="0"/>
        <v>0</v>
      </c>
      <c r="E31" s="347">
        <f>D31*'Cash-flow PLAN'!$D$54/12</f>
        <v>0</v>
      </c>
      <c r="G31" s="349">
        <v>45992</v>
      </c>
      <c r="H31" s="345">
        <v>0</v>
      </c>
      <c r="I31" s="346">
        <f t="shared" si="1"/>
        <v>9000000</v>
      </c>
      <c r="J31" s="347">
        <f>I31*'Cash-flow M 22.7.'!$D$58/12</f>
        <v>82500</v>
      </c>
      <c r="L31" s="349">
        <v>45992</v>
      </c>
      <c r="M31" s="345">
        <v>0</v>
      </c>
      <c r="N31" s="346">
        <f t="shared" si="2"/>
        <v>0</v>
      </c>
      <c r="O31" s="347">
        <f>N31*'Cash-flow PLAN'!$D$56/12</f>
        <v>0</v>
      </c>
      <c r="Q31" s="349">
        <v>45992</v>
      </c>
      <c r="R31" s="345">
        <v>0</v>
      </c>
      <c r="S31" s="346">
        <f t="shared" si="3"/>
        <v>0</v>
      </c>
      <c r="T31" s="347">
        <f>S31*'Cash-flow PLAN'!$D$57/12</f>
        <v>0</v>
      </c>
    </row>
    <row r="32" spans="2:20" ht="14">
      <c r="B32" s="344">
        <v>46023</v>
      </c>
      <c r="C32" s="345">
        <v>0</v>
      </c>
      <c r="D32" s="346">
        <f t="shared" si="0"/>
        <v>0</v>
      </c>
      <c r="E32" s="347">
        <f>D32*'Cash-flow PLAN'!$D$54/12</f>
        <v>0</v>
      </c>
      <c r="G32" s="344">
        <v>46023</v>
      </c>
      <c r="H32" s="345">
        <v>9000000</v>
      </c>
      <c r="I32" s="346">
        <f t="shared" si="1"/>
        <v>0</v>
      </c>
      <c r="J32" s="347">
        <f>I32*'Cash-flow M 22.7.'!$D$58/12</f>
        <v>0</v>
      </c>
      <c r="K32" s="465">
        <f>-SUM(J14:J31)-J31</f>
        <v>-1485000</v>
      </c>
      <c r="L32" s="344">
        <v>46023</v>
      </c>
      <c r="M32" s="345">
        <v>0</v>
      </c>
      <c r="N32" s="346">
        <f t="shared" si="2"/>
        <v>0</v>
      </c>
      <c r="O32" s="347">
        <f>N32*'Cash-flow PLAN'!$D$56/12</f>
        <v>0</v>
      </c>
      <c r="Q32" s="344">
        <v>46023</v>
      </c>
      <c r="R32" s="345">
        <v>0</v>
      </c>
      <c r="S32" s="346">
        <f t="shared" si="3"/>
        <v>0</v>
      </c>
      <c r="T32" s="347">
        <f>S32*'Cash-flow PLAN'!$D$57/12</f>
        <v>0</v>
      </c>
    </row>
    <row r="33" spans="2:20" ht="14">
      <c r="B33" s="349">
        <v>46054</v>
      </c>
      <c r="C33" s="345">
        <v>0</v>
      </c>
      <c r="D33" s="346">
        <f t="shared" si="0"/>
        <v>0</v>
      </c>
      <c r="E33" s="347">
        <f>D33*'Cash-flow PLAN'!$D$54/12</f>
        <v>0</v>
      </c>
      <c r="G33" s="349">
        <v>46054</v>
      </c>
      <c r="H33" s="345">
        <v>0</v>
      </c>
      <c r="I33" s="346">
        <f t="shared" si="1"/>
        <v>0</v>
      </c>
      <c r="J33" s="347">
        <f>I33*'Cash-flow M 22.7.'!$D$58/12</f>
        <v>0</v>
      </c>
      <c r="L33" s="349">
        <v>46054</v>
      </c>
      <c r="M33" s="345">
        <v>0</v>
      </c>
      <c r="N33" s="346">
        <f t="shared" si="2"/>
        <v>0</v>
      </c>
      <c r="O33" s="347">
        <f>N33*'Cash-flow PLAN'!$D$56/12</f>
        <v>0</v>
      </c>
      <c r="Q33" s="349">
        <v>46054</v>
      </c>
      <c r="R33" s="345">
        <v>0</v>
      </c>
      <c r="S33" s="346">
        <f t="shared" si="3"/>
        <v>0</v>
      </c>
      <c r="T33" s="347">
        <f>S33*'Cash-flow PLAN'!$D$57/12</f>
        <v>0</v>
      </c>
    </row>
    <row r="34" spans="2:20" ht="14">
      <c r="B34" s="349">
        <v>46082</v>
      </c>
      <c r="C34" s="345">
        <v>0</v>
      </c>
      <c r="D34" s="346">
        <f t="shared" si="0"/>
        <v>0</v>
      </c>
      <c r="E34" s="347">
        <f>D34*'Cash-flow PLAN'!$D$54/12</f>
        <v>0</v>
      </c>
      <c r="G34" s="349">
        <v>46082</v>
      </c>
      <c r="H34" s="345">
        <v>0</v>
      </c>
      <c r="I34" s="346">
        <f t="shared" si="1"/>
        <v>0</v>
      </c>
      <c r="J34" s="347">
        <f>I34*'Cash-flow M 22.7.'!$D$58/12</f>
        <v>0</v>
      </c>
      <c r="L34" s="349">
        <v>46082</v>
      </c>
      <c r="M34" s="345">
        <v>0</v>
      </c>
      <c r="N34" s="346">
        <f t="shared" si="2"/>
        <v>0</v>
      </c>
      <c r="O34" s="347">
        <f>N34*'Cash-flow PLAN'!$D$56/12</f>
        <v>0</v>
      </c>
      <c r="Q34" s="349">
        <v>46082</v>
      </c>
      <c r="R34" s="345">
        <v>0</v>
      </c>
      <c r="S34" s="346">
        <f t="shared" si="3"/>
        <v>0</v>
      </c>
      <c r="T34" s="347">
        <f>S34*'Cash-flow PLAN'!$D$57/12</f>
        <v>0</v>
      </c>
    </row>
    <row r="35" spans="2:20" ht="14">
      <c r="B35" s="349">
        <v>46113</v>
      </c>
      <c r="C35" s="345">
        <v>0</v>
      </c>
      <c r="D35" s="346">
        <f t="shared" si="0"/>
        <v>0</v>
      </c>
      <c r="E35" s="347">
        <f>D35*'Cash-flow PLAN'!$D$54/12</f>
        <v>0</v>
      </c>
      <c r="G35" s="349">
        <v>46113</v>
      </c>
      <c r="H35" s="345">
        <v>0</v>
      </c>
      <c r="I35" s="346">
        <f t="shared" si="1"/>
        <v>0</v>
      </c>
      <c r="J35" s="347">
        <f>I35*'Cash-flow M 22.7.'!$D$58/12</f>
        <v>0</v>
      </c>
      <c r="L35" s="349">
        <v>46113</v>
      </c>
      <c r="M35" s="345">
        <v>0</v>
      </c>
      <c r="N35" s="346">
        <f t="shared" si="2"/>
        <v>0</v>
      </c>
      <c r="O35" s="347">
        <f>N35*'Cash-flow PLAN'!$D$56/12</f>
        <v>0</v>
      </c>
      <c r="Q35" s="349">
        <v>46113</v>
      </c>
      <c r="R35" s="345">
        <v>0</v>
      </c>
      <c r="S35" s="346">
        <f t="shared" si="3"/>
        <v>0</v>
      </c>
      <c r="T35" s="347">
        <f>S35*'Cash-flow PLAN'!$D$57/12</f>
        <v>0</v>
      </c>
    </row>
    <row r="36" spans="2:20" ht="14">
      <c r="B36" s="349">
        <v>46143</v>
      </c>
      <c r="C36" s="345">
        <v>0</v>
      </c>
      <c r="D36" s="346">
        <f t="shared" si="0"/>
        <v>0</v>
      </c>
      <c r="E36" s="347">
        <f>D36*'Cash-flow PLAN'!$D$54/12</f>
        <v>0</v>
      </c>
      <c r="G36" s="349">
        <v>46143</v>
      </c>
      <c r="H36" s="345">
        <v>0</v>
      </c>
      <c r="I36" s="346">
        <f t="shared" si="1"/>
        <v>0</v>
      </c>
      <c r="J36" s="347">
        <f>I36*'Cash-flow M 22.7.'!$D$58/12</f>
        <v>0</v>
      </c>
      <c r="L36" s="349">
        <v>46143</v>
      </c>
      <c r="M36" s="345">
        <v>0</v>
      </c>
      <c r="N36" s="346">
        <f t="shared" si="2"/>
        <v>0</v>
      </c>
      <c r="O36" s="347">
        <f>N36*'Cash-flow PLAN'!$D$56/12</f>
        <v>0</v>
      </c>
      <c r="Q36" s="349">
        <v>46143</v>
      </c>
      <c r="R36" s="345">
        <v>0</v>
      </c>
      <c r="S36" s="346">
        <f t="shared" si="3"/>
        <v>0</v>
      </c>
      <c r="T36" s="347">
        <f>S36*'Cash-flow PLAN'!$D$57/12</f>
        <v>0</v>
      </c>
    </row>
    <row r="37" spans="2:20" ht="14">
      <c r="B37" s="350">
        <v>46174</v>
      </c>
      <c r="C37" s="345">
        <v>0</v>
      </c>
      <c r="D37" s="346">
        <f t="shared" si="0"/>
        <v>0</v>
      </c>
      <c r="E37" s="347">
        <f>D37*'Cash-flow PLAN'!$D$54/12</f>
        <v>0</v>
      </c>
      <c r="G37" s="350">
        <v>46174</v>
      </c>
      <c r="H37" s="345">
        <v>0</v>
      </c>
      <c r="I37" s="346">
        <f t="shared" si="1"/>
        <v>0</v>
      </c>
      <c r="J37" s="347">
        <f>I37*'Cash-flow M 22.7.'!$D$58/12</f>
        <v>0</v>
      </c>
      <c r="L37" s="350">
        <v>46174</v>
      </c>
      <c r="M37" s="345">
        <v>0</v>
      </c>
      <c r="N37" s="346">
        <f t="shared" si="2"/>
        <v>0</v>
      </c>
      <c r="O37" s="347">
        <f>N37*'Cash-flow PLAN'!$D$56/12</f>
        <v>0</v>
      </c>
      <c r="Q37" s="350">
        <v>46174</v>
      </c>
      <c r="R37" s="345">
        <v>0</v>
      </c>
      <c r="S37" s="346">
        <f t="shared" si="3"/>
        <v>0</v>
      </c>
      <c r="T37" s="347">
        <f>S37*'Cash-flow PLAN'!$D$57/12</f>
        <v>0</v>
      </c>
    </row>
    <row r="38" spans="2:20" ht="14">
      <c r="B38" s="349">
        <v>46204</v>
      </c>
      <c r="C38" s="345">
        <v>0</v>
      </c>
      <c r="D38" s="346">
        <f t="shared" si="0"/>
        <v>0</v>
      </c>
      <c r="E38" s="347">
        <f>D38*'Cash-flow PLAN'!$D$54/12</f>
        <v>0</v>
      </c>
      <c r="G38" s="349">
        <v>46204</v>
      </c>
      <c r="H38" s="345">
        <v>0</v>
      </c>
      <c r="I38" s="346">
        <f t="shared" si="1"/>
        <v>0</v>
      </c>
      <c r="J38" s="347">
        <f>I38*'Cash-flow M 22.7.'!$D$58/12</f>
        <v>0</v>
      </c>
      <c r="L38" s="349">
        <v>46204</v>
      </c>
      <c r="M38" s="345">
        <v>0</v>
      </c>
      <c r="N38" s="346">
        <f t="shared" si="2"/>
        <v>0</v>
      </c>
      <c r="O38" s="347">
        <f>N38*'Cash-flow PLAN'!$D$56/12</f>
        <v>0</v>
      </c>
      <c r="Q38" s="349">
        <v>46204</v>
      </c>
      <c r="R38" s="345">
        <v>0</v>
      </c>
      <c r="S38" s="346">
        <f t="shared" si="3"/>
        <v>0</v>
      </c>
      <c r="T38" s="347">
        <f>S38*'Cash-flow PLAN'!$D$57/12</f>
        <v>0</v>
      </c>
    </row>
    <row r="39" spans="2:20" ht="14">
      <c r="B39" s="349">
        <v>46235</v>
      </c>
      <c r="C39" s="345">
        <v>0</v>
      </c>
      <c r="D39" s="346">
        <f t="shared" si="0"/>
        <v>0</v>
      </c>
      <c r="E39" s="347">
        <f>D39*'Cash-flow PLAN'!$D$54/12</f>
        <v>0</v>
      </c>
      <c r="G39" s="349">
        <v>46235</v>
      </c>
      <c r="H39" s="345">
        <v>0</v>
      </c>
      <c r="I39" s="346">
        <f t="shared" si="1"/>
        <v>0</v>
      </c>
      <c r="J39" s="347">
        <f>I39*'Cash-flow M 22.7.'!$D$58/12</f>
        <v>0</v>
      </c>
      <c r="L39" s="349">
        <v>46235</v>
      </c>
      <c r="M39" s="345">
        <v>0</v>
      </c>
      <c r="N39" s="346">
        <f t="shared" si="2"/>
        <v>0</v>
      </c>
      <c r="O39" s="347">
        <f>N39*'Cash-flow PLAN'!$D$56/12</f>
        <v>0</v>
      </c>
      <c r="Q39" s="349">
        <v>46235</v>
      </c>
      <c r="R39" s="345">
        <v>0</v>
      </c>
      <c r="S39" s="346">
        <f t="shared" si="3"/>
        <v>0</v>
      </c>
      <c r="T39" s="347">
        <f>S39*'Cash-flow PLAN'!$D$57/12</f>
        <v>0</v>
      </c>
    </row>
    <row r="40" spans="2:20" ht="14">
      <c r="B40" s="349">
        <v>46266</v>
      </c>
      <c r="C40" s="345">
        <v>0</v>
      </c>
      <c r="D40" s="346">
        <f t="shared" si="0"/>
        <v>0</v>
      </c>
      <c r="E40" s="347">
        <f>D40*'Cash-flow PLAN'!$D$54/12</f>
        <v>0</v>
      </c>
      <c r="G40" s="349">
        <v>46266</v>
      </c>
      <c r="H40" s="345">
        <v>0</v>
      </c>
      <c r="I40" s="346">
        <f t="shared" si="1"/>
        <v>0</v>
      </c>
      <c r="J40" s="347">
        <f>I40*'Cash-flow M 22.7.'!$D$58/12</f>
        <v>0</v>
      </c>
      <c r="L40" s="349">
        <v>46266</v>
      </c>
      <c r="M40" s="345">
        <v>0</v>
      </c>
      <c r="N40" s="346">
        <f t="shared" si="2"/>
        <v>0</v>
      </c>
      <c r="O40" s="347">
        <f>N40*'Cash-flow PLAN'!$D$56/12</f>
        <v>0</v>
      </c>
      <c r="Q40" s="349">
        <v>46266</v>
      </c>
      <c r="R40" s="345">
        <v>0</v>
      </c>
      <c r="S40" s="346">
        <f t="shared" si="3"/>
        <v>0</v>
      </c>
      <c r="T40" s="347">
        <f>S40*'Cash-flow PLAN'!$D$57/12</f>
        <v>0</v>
      </c>
    </row>
    <row r="41" spans="2:20" ht="14">
      <c r="B41" s="349">
        <v>46296</v>
      </c>
      <c r="C41" s="345">
        <v>0</v>
      </c>
      <c r="D41" s="346">
        <f t="shared" si="0"/>
        <v>0</v>
      </c>
      <c r="E41" s="347">
        <f>D41*'Cash-flow PLAN'!$D$54/12</f>
        <v>0</v>
      </c>
      <c r="G41" s="349">
        <v>46296</v>
      </c>
      <c r="H41" s="345">
        <v>0</v>
      </c>
      <c r="I41" s="346">
        <f t="shared" si="1"/>
        <v>0</v>
      </c>
      <c r="J41" s="347">
        <f>I41*'Cash-flow M 22.7.'!$D$58/12</f>
        <v>0</v>
      </c>
      <c r="L41" s="349">
        <v>46296</v>
      </c>
      <c r="M41" s="345">
        <v>0</v>
      </c>
      <c r="N41" s="346">
        <f t="shared" si="2"/>
        <v>0</v>
      </c>
      <c r="O41" s="347">
        <f>N41*'Cash-flow PLAN'!$D$56/12</f>
        <v>0</v>
      </c>
      <c r="Q41" s="349">
        <v>46296</v>
      </c>
      <c r="R41" s="345">
        <v>0</v>
      </c>
      <c r="S41" s="346">
        <f t="shared" si="3"/>
        <v>0</v>
      </c>
      <c r="T41" s="347">
        <f>S41*'Cash-flow PLAN'!$D$57/12</f>
        <v>0</v>
      </c>
    </row>
    <row r="42" spans="2:20" ht="14">
      <c r="B42" s="349">
        <v>46327</v>
      </c>
      <c r="C42" s="345">
        <v>0</v>
      </c>
      <c r="D42" s="346">
        <f t="shared" si="0"/>
        <v>0</v>
      </c>
      <c r="E42" s="347">
        <f>D42*'Cash-flow PLAN'!$D$54/12</f>
        <v>0</v>
      </c>
      <c r="G42" s="349">
        <v>46327</v>
      </c>
      <c r="H42" s="345">
        <v>0</v>
      </c>
      <c r="I42" s="346">
        <f t="shared" si="1"/>
        <v>0</v>
      </c>
      <c r="J42" s="347">
        <f>I42*'Cash-flow M 22.7.'!$D$58/12</f>
        <v>0</v>
      </c>
      <c r="L42" s="349">
        <v>46327</v>
      </c>
      <c r="M42" s="345">
        <v>0</v>
      </c>
      <c r="N42" s="346">
        <f t="shared" si="2"/>
        <v>0</v>
      </c>
      <c r="O42" s="347">
        <f>N42*'Cash-flow PLAN'!$D$56/12</f>
        <v>0</v>
      </c>
      <c r="Q42" s="349">
        <v>46327</v>
      </c>
      <c r="R42" s="345">
        <v>0</v>
      </c>
      <c r="S42" s="346">
        <f t="shared" si="3"/>
        <v>0</v>
      </c>
      <c r="T42" s="347">
        <f>S42*'Cash-flow PLAN'!$D$57/12</f>
        <v>0</v>
      </c>
    </row>
    <row r="43" spans="2:20" ht="14">
      <c r="B43" s="349">
        <v>46357</v>
      </c>
      <c r="C43" s="345">
        <v>0</v>
      </c>
      <c r="D43" s="346">
        <f t="shared" si="0"/>
        <v>0</v>
      </c>
      <c r="E43" s="347">
        <f>D43*'Cash-flow PLAN'!$D$54/12</f>
        <v>0</v>
      </c>
      <c r="G43" s="349">
        <v>46357</v>
      </c>
      <c r="H43" s="345">
        <v>0</v>
      </c>
      <c r="I43" s="346">
        <f t="shared" si="1"/>
        <v>0</v>
      </c>
      <c r="J43" s="347">
        <f>I43*'Cash-flow M 22.7.'!$D$58/12</f>
        <v>0</v>
      </c>
      <c r="L43" s="349">
        <v>46357</v>
      </c>
      <c r="M43" s="345">
        <v>0</v>
      </c>
      <c r="N43" s="346">
        <f t="shared" si="2"/>
        <v>0</v>
      </c>
      <c r="O43" s="347">
        <f>N43*'Cash-flow PLAN'!$D$56/12</f>
        <v>0</v>
      </c>
      <c r="Q43" s="349">
        <v>46357</v>
      </c>
      <c r="R43" s="345">
        <v>0</v>
      </c>
      <c r="S43" s="346">
        <f t="shared" si="3"/>
        <v>0</v>
      </c>
      <c r="T43" s="347">
        <f>S43*'Cash-flow PLAN'!$D$57/12</f>
        <v>0</v>
      </c>
    </row>
    <row r="44" spans="2:20" ht="14">
      <c r="B44" s="344">
        <v>46388</v>
      </c>
      <c r="C44" s="345">
        <v>0</v>
      </c>
      <c r="D44" s="346">
        <f t="shared" si="0"/>
        <v>0</v>
      </c>
      <c r="E44" s="347">
        <f>D44*'Cash-flow PLAN'!$D$54/12</f>
        <v>0</v>
      </c>
      <c r="G44" s="344">
        <v>46388</v>
      </c>
      <c r="H44" s="345">
        <v>0</v>
      </c>
      <c r="I44" s="346">
        <f t="shared" si="1"/>
        <v>0</v>
      </c>
      <c r="J44" s="347">
        <f>I44*'Cash-flow M 22.7.'!$D$58/12</f>
        <v>0</v>
      </c>
      <c r="L44" s="344">
        <v>46388</v>
      </c>
      <c r="M44" s="345">
        <v>0</v>
      </c>
      <c r="N44" s="346">
        <f t="shared" si="2"/>
        <v>0</v>
      </c>
      <c r="O44" s="347">
        <f>N44*'Cash-flow PLAN'!$D$56/12</f>
        <v>0</v>
      </c>
      <c r="Q44" s="344">
        <v>46388</v>
      </c>
      <c r="R44" s="345">
        <v>0</v>
      </c>
      <c r="S44" s="346">
        <f t="shared" si="3"/>
        <v>0</v>
      </c>
      <c r="T44" s="347">
        <f>S44*'Cash-flow PLAN'!$D$57/12</f>
        <v>0</v>
      </c>
    </row>
    <row r="45" spans="2:20" ht="14">
      <c r="B45" s="349">
        <v>46419</v>
      </c>
      <c r="C45" s="345">
        <v>0</v>
      </c>
      <c r="D45" s="346">
        <f t="shared" si="0"/>
        <v>0</v>
      </c>
      <c r="E45" s="347">
        <f>D45*'Cash-flow PLAN'!$D$54/12</f>
        <v>0</v>
      </c>
      <c r="G45" s="349">
        <v>46419</v>
      </c>
      <c r="H45" s="345">
        <v>0</v>
      </c>
      <c r="I45" s="346">
        <f t="shared" si="1"/>
        <v>0</v>
      </c>
      <c r="J45" s="347">
        <f>I45*'Cash-flow M 22.7.'!$D$58/12</f>
        <v>0</v>
      </c>
      <c r="L45" s="349">
        <v>46419</v>
      </c>
      <c r="M45" s="345">
        <v>0</v>
      </c>
      <c r="N45" s="346">
        <f t="shared" si="2"/>
        <v>0</v>
      </c>
      <c r="O45" s="347">
        <f>N45*'Cash-flow PLAN'!$D$56/12</f>
        <v>0</v>
      </c>
      <c r="Q45" s="349">
        <v>46419</v>
      </c>
      <c r="R45" s="345">
        <v>0</v>
      </c>
      <c r="S45" s="346">
        <f t="shared" si="3"/>
        <v>0</v>
      </c>
      <c r="T45" s="347">
        <f>S45*'Cash-flow PLAN'!$D$57/12</f>
        <v>0</v>
      </c>
    </row>
    <row r="46" spans="2:20" ht="14">
      <c r="B46" s="349">
        <v>46447</v>
      </c>
      <c r="C46" s="345">
        <v>0</v>
      </c>
      <c r="D46" s="346">
        <f t="shared" si="0"/>
        <v>0</v>
      </c>
      <c r="E46" s="347">
        <f>D46*'Cash-flow PLAN'!$D$54/12</f>
        <v>0</v>
      </c>
      <c r="G46" s="349">
        <v>46447</v>
      </c>
      <c r="H46" s="345">
        <v>0</v>
      </c>
      <c r="I46" s="346">
        <f t="shared" si="1"/>
        <v>0</v>
      </c>
      <c r="J46" s="347">
        <f>I46*'Cash-flow M 22.7.'!$D$58/12</f>
        <v>0</v>
      </c>
      <c r="L46" s="349">
        <v>46447</v>
      </c>
      <c r="M46" s="345">
        <v>0</v>
      </c>
      <c r="N46" s="346">
        <f t="shared" si="2"/>
        <v>0</v>
      </c>
      <c r="O46" s="347">
        <f>N46*'Cash-flow PLAN'!$D$56/12</f>
        <v>0</v>
      </c>
      <c r="Q46" s="349">
        <v>46447</v>
      </c>
      <c r="R46" s="345">
        <v>0</v>
      </c>
      <c r="S46" s="346">
        <f t="shared" si="3"/>
        <v>0</v>
      </c>
      <c r="T46" s="347">
        <f>S46*'Cash-flow PLAN'!$D$57/12</f>
        <v>0</v>
      </c>
    </row>
    <row r="47" spans="2:20" ht="14">
      <c r="B47" s="349">
        <v>46478</v>
      </c>
      <c r="C47" s="345">
        <v>0</v>
      </c>
      <c r="D47" s="346">
        <f t="shared" si="0"/>
        <v>0</v>
      </c>
      <c r="E47" s="347">
        <f>D47*'Cash-flow PLAN'!$D$54/12</f>
        <v>0</v>
      </c>
      <c r="G47" s="349">
        <v>46478</v>
      </c>
      <c r="H47" s="345">
        <v>0</v>
      </c>
      <c r="I47" s="346">
        <f t="shared" si="1"/>
        <v>0</v>
      </c>
      <c r="J47" s="347">
        <f>I47*'Cash-flow M 22.7.'!$D$58/12</f>
        <v>0</v>
      </c>
      <c r="L47" s="349">
        <v>46478</v>
      </c>
      <c r="M47" s="345">
        <v>0</v>
      </c>
      <c r="N47" s="346">
        <f t="shared" si="2"/>
        <v>0</v>
      </c>
      <c r="O47" s="347">
        <f>N47*'Cash-flow PLAN'!$D$56/12</f>
        <v>0</v>
      </c>
      <c r="Q47" s="349">
        <v>46478</v>
      </c>
      <c r="R47" s="345">
        <v>0</v>
      </c>
      <c r="S47" s="346">
        <f t="shared" si="3"/>
        <v>0</v>
      </c>
      <c r="T47" s="347">
        <f>S47*'Cash-flow PLAN'!$D$57/12</f>
        <v>0</v>
      </c>
    </row>
    <row r="48" spans="2:20" ht="14">
      <c r="B48" s="349">
        <v>46508</v>
      </c>
      <c r="C48" s="345">
        <v>0</v>
      </c>
      <c r="D48" s="346">
        <f t="shared" si="0"/>
        <v>0</v>
      </c>
      <c r="E48" s="347">
        <f>D48*'Cash-flow PLAN'!$D$54/12</f>
        <v>0</v>
      </c>
      <c r="G48" s="349">
        <v>46508</v>
      </c>
      <c r="H48" s="345">
        <v>0</v>
      </c>
      <c r="I48" s="346">
        <f t="shared" si="1"/>
        <v>0</v>
      </c>
      <c r="J48" s="347">
        <f>I48*'Cash-flow M 22.7.'!$D$58/12</f>
        <v>0</v>
      </c>
      <c r="L48" s="349">
        <v>46508</v>
      </c>
      <c r="M48" s="345">
        <v>0</v>
      </c>
      <c r="N48" s="346">
        <f t="shared" si="2"/>
        <v>0</v>
      </c>
      <c r="O48" s="347">
        <f>N48*'Cash-flow PLAN'!$D$56/12</f>
        <v>0</v>
      </c>
      <c r="Q48" s="349">
        <v>46508</v>
      </c>
      <c r="R48" s="345">
        <v>0</v>
      </c>
      <c r="S48" s="346">
        <f t="shared" si="3"/>
        <v>0</v>
      </c>
      <c r="T48" s="347">
        <f>S48*'Cash-flow PLAN'!$D$57/12</f>
        <v>0</v>
      </c>
    </row>
    <row r="49" spans="2:20" ht="14">
      <c r="B49" s="350">
        <v>46539</v>
      </c>
      <c r="C49" s="345">
        <v>0</v>
      </c>
      <c r="D49" s="346">
        <f t="shared" si="0"/>
        <v>0</v>
      </c>
      <c r="E49" s="347">
        <f>D49*'Cash-flow PLAN'!$D$54/12</f>
        <v>0</v>
      </c>
      <c r="G49" s="350">
        <v>46539</v>
      </c>
      <c r="H49" s="345">
        <v>0</v>
      </c>
      <c r="I49" s="346">
        <f t="shared" si="1"/>
        <v>0</v>
      </c>
      <c r="J49" s="347">
        <f>I49*'Cash-flow M 22.7.'!$D$58/12</f>
        <v>0</v>
      </c>
      <c r="L49" s="350">
        <v>46539</v>
      </c>
      <c r="M49" s="345">
        <v>0</v>
      </c>
      <c r="N49" s="346">
        <f t="shared" si="2"/>
        <v>0</v>
      </c>
      <c r="O49" s="347">
        <f>N49*'Cash-flow PLAN'!$D$56/12</f>
        <v>0</v>
      </c>
      <c r="Q49" s="350">
        <v>46539</v>
      </c>
      <c r="R49" s="345">
        <v>0</v>
      </c>
      <c r="S49" s="346">
        <f t="shared" si="3"/>
        <v>0</v>
      </c>
      <c r="T49" s="347">
        <f>S49*'Cash-flow PLAN'!$D$57/12</f>
        <v>0</v>
      </c>
    </row>
    <row r="50" spans="2:20" ht="14">
      <c r="B50" s="349">
        <v>46569</v>
      </c>
      <c r="C50" s="345">
        <v>0</v>
      </c>
      <c r="D50" s="346">
        <f t="shared" si="0"/>
        <v>0</v>
      </c>
      <c r="E50" s="347">
        <f>D50*'Cash-flow PLAN'!$D$54/12</f>
        <v>0</v>
      </c>
      <c r="G50" s="349">
        <v>46569</v>
      </c>
      <c r="H50" s="345">
        <v>0</v>
      </c>
      <c r="I50" s="346">
        <f t="shared" si="1"/>
        <v>0</v>
      </c>
      <c r="J50" s="347">
        <f>I50*'Cash-flow M 22.7.'!$D$58/12</f>
        <v>0</v>
      </c>
      <c r="L50" s="349">
        <v>46569</v>
      </c>
      <c r="M50" s="345">
        <v>0</v>
      </c>
      <c r="N50" s="346">
        <f t="shared" si="2"/>
        <v>0</v>
      </c>
      <c r="O50" s="347">
        <f>N50*'Cash-flow PLAN'!$D$56/12</f>
        <v>0</v>
      </c>
      <c r="Q50" s="349">
        <v>46569</v>
      </c>
      <c r="R50" s="345">
        <v>0</v>
      </c>
      <c r="S50" s="346">
        <f t="shared" si="3"/>
        <v>0</v>
      </c>
      <c r="T50" s="347">
        <f>S50*'Cash-flow PLAN'!$D$57/12</f>
        <v>0</v>
      </c>
    </row>
    <row r="51" spans="2:20" ht="14">
      <c r="B51" s="349">
        <v>46600</v>
      </c>
      <c r="C51" s="345">
        <v>0</v>
      </c>
      <c r="D51" s="346">
        <f t="shared" si="0"/>
        <v>0</v>
      </c>
      <c r="E51" s="347">
        <f>D51*'Cash-flow PLAN'!$D$54/12</f>
        <v>0</v>
      </c>
      <c r="G51" s="349">
        <v>46600</v>
      </c>
      <c r="H51" s="345">
        <v>0</v>
      </c>
      <c r="I51" s="346">
        <f t="shared" si="1"/>
        <v>0</v>
      </c>
      <c r="J51" s="347">
        <f>I51*'Cash-flow M 22.7.'!$D$58/12</f>
        <v>0</v>
      </c>
      <c r="L51" s="349">
        <v>46600</v>
      </c>
      <c r="M51" s="345">
        <v>0</v>
      </c>
      <c r="N51" s="346">
        <f t="shared" si="2"/>
        <v>0</v>
      </c>
      <c r="O51" s="347">
        <f>N51*'Cash-flow PLAN'!$D$56/12</f>
        <v>0</v>
      </c>
      <c r="Q51" s="349">
        <v>46600</v>
      </c>
      <c r="R51" s="345">
        <v>0</v>
      </c>
      <c r="S51" s="346">
        <f t="shared" si="3"/>
        <v>0</v>
      </c>
      <c r="T51" s="347">
        <f>S51*'Cash-flow PLAN'!$D$57/12</f>
        <v>0</v>
      </c>
    </row>
    <row r="52" spans="2:20" ht="14">
      <c r="B52" s="349">
        <v>46631</v>
      </c>
      <c r="C52" s="345">
        <v>0</v>
      </c>
      <c r="D52" s="346">
        <f t="shared" si="0"/>
        <v>0</v>
      </c>
      <c r="E52" s="347">
        <f>D52*'Cash-flow PLAN'!$D$54/12</f>
        <v>0</v>
      </c>
      <c r="G52" s="349">
        <v>46631</v>
      </c>
      <c r="H52" s="345">
        <v>0</v>
      </c>
      <c r="I52" s="346">
        <f t="shared" si="1"/>
        <v>0</v>
      </c>
      <c r="J52" s="347">
        <f>I52*'Cash-flow M 22.7.'!$D$58/12</f>
        <v>0</v>
      </c>
      <c r="L52" s="349">
        <v>46631</v>
      </c>
      <c r="M52" s="345">
        <v>0</v>
      </c>
      <c r="N52" s="346">
        <f t="shared" si="2"/>
        <v>0</v>
      </c>
      <c r="O52" s="347">
        <f>N52*'Cash-flow PLAN'!$D$56/12</f>
        <v>0</v>
      </c>
      <c r="Q52" s="349">
        <v>46631</v>
      </c>
      <c r="R52" s="345">
        <v>0</v>
      </c>
      <c r="S52" s="346">
        <f t="shared" si="3"/>
        <v>0</v>
      </c>
      <c r="T52" s="347">
        <f>S52*'Cash-flow PLAN'!$D$57/12</f>
        <v>0</v>
      </c>
    </row>
    <row r="53" spans="2:20" ht="14">
      <c r="B53" s="349">
        <v>46661</v>
      </c>
      <c r="C53" s="345">
        <v>0</v>
      </c>
      <c r="D53" s="346">
        <f t="shared" si="0"/>
        <v>0</v>
      </c>
      <c r="E53" s="347">
        <f>D53*'Cash-flow PLAN'!$D$54/12</f>
        <v>0</v>
      </c>
      <c r="G53" s="349">
        <v>46661</v>
      </c>
      <c r="H53" s="345">
        <v>0</v>
      </c>
      <c r="I53" s="346">
        <f t="shared" si="1"/>
        <v>0</v>
      </c>
      <c r="J53" s="347">
        <f>I53*'Cash-flow M 22.7.'!$D$58/12</f>
        <v>0</v>
      </c>
      <c r="L53" s="349">
        <v>46661</v>
      </c>
      <c r="M53" s="345">
        <v>0</v>
      </c>
      <c r="N53" s="346">
        <f t="shared" si="2"/>
        <v>0</v>
      </c>
      <c r="O53" s="347">
        <f>N53*'Cash-flow PLAN'!$D$56/12</f>
        <v>0</v>
      </c>
      <c r="Q53" s="349">
        <v>46661</v>
      </c>
      <c r="R53" s="345">
        <v>0</v>
      </c>
      <c r="S53" s="346">
        <f t="shared" si="3"/>
        <v>0</v>
      </c>
      <c r="T53" s="347">
        <f>S53*'Cash-flow PLAN'!$D$57/12</f>
        <v>0</v>
      </c>
    </row>
    <row r="54" spans="2:20" ht="14">
      <c r="B54" s="349">
        <v>46692</v>
      </c>
      <c r="C54" s="345">
        <v>0</v>
      </c>
      <c r="D54" s="346">
        <f t="shared" si="0"/>
        <v>0</v>
      </c>
      <c r="E54" s="347">
        <f>D54*'Cash-flow PLAN'!$D$54/12</f>
        <v>0</v>
      </c>
      <c r="G54" s="349">
        <v>46692</v>
      </c>
      <c r="H54" s="345">
        <v>0</v>
      </c>
      <c r="I54" s="346">
        <f t="shared" si="1"/>
        <v>0</v>
      </c>
      <c r="J54" s="347">
        <f>I54*'Cash-flow M 22.7.'!$D$58/12</f>
        <v>0</v>
      </c>
      <c r="L54" s="349">
        <v>46692</v>
      </c>
      <c r="M54" s="345">
        <v>0</v>
      </c>
      <c r="N54" s="346">
        <f t="shared" si="2"/>
        <v>0</v>
      </c>
      <c r="O54" s="347">
        <f>N54*'Cash-flow PLAN'!$D$56/12</f>
        <v>0</v>
      </c>
      <c r="Q54" s="349">
        <v>46692</v>
      </c>
      <c r="R54" s="345">
        <v>0</v>
      </c>
      <c r="S54" s="346">
        <f t="shared" si="3"/>
        <v>0</v>
      </c>
      <c r="T54" s="347">
        <f>S54*'Cash-flow PLAN'!$D$57/12</f>
        <v>0</v>
      </c>
    </row>
    <row r="55" spans="2:20" ht="14">
      <c r="B55" s="349">
        <v>46722</v>
      </c>
      <c r="C55" s="345">
        <v>0</v>
      </c>
      <c r="D55" s="346">
        <f t="shared" si="0"/>
        <v>0</v>
      </c>
      <c r="E55" s="347">
        <f>D55*'Cash-flow PLAN'!$D$54/12</f>
        <v>0</v>
      </c>
      <c r="G55" s="349">
        <v>46722</v>
      </c>
      <c r="H55" s="345">
        <v>0</v>
      </c>
      <c r="I55" s="346">
        <f t="shared" si="1"/>
        <v>0</v>
      </c>
      <c r="J55" s="347">
        <f>I55*'Cash-flow M 22.7.'!$D$58/12</f>
        <v>0</v>
      </c>
      <c r="L55" s="349">
        <v>46722</v>
      </c>
      <c r="M55" s="345">
        <v>0</v>
      </c>
      <c r="N55" s="346">
        <f t="shared" si="2"/>
        <v>0</v>
      </c>
      <c r="O55" s="347">
        <f>N55*'Cash-flow PLAN'!$D$56/12</f>
        <v>0</v>
      </c>
      <c r="Q55" s="349">
        <v>46722</v>
      </c>
      <c r="R55" s="345">
        <v>0</v>
      </c>
      <c r="S55" s="346">
        <f t="shared" si="3"/>
        <v>0</v>
      </c>
      <c r="T55" s="347">
        <f>S55*'Cash-flow PLAN'!$D$57/12</f>
        <v>0</v>
      </c>
    </row>
    <row r="56" spans="2:20" ht="14">
      <c r="B56" s="344">
        <v>46753</v>
      </c>
      <c r="C56" s="345">
        <v>0</v>
      </c>
      <c r="D56" s="346">
        <f t="shared" si="0"/>
        <v>0</v>
      </c>
      <c r="E56" s="347">
        <f>D56*'Cash-flow PLAN'!$D$54/12</f>
        <v>0</v>
      </c>
      <c r="G56" s="344">
        <v>46753</v>
      </c>
      <c r="H56" s="345">
        <v>0</v>
      </c>
      <c r="I56" s="346">
        <f t="shared" si="1"/>
        <v>0</v>
      </c>
      <c r="J56" s="347">
        <f>I56*'Cash-flow M 22.7.'!$D$58/12</f>
        <v>0</v>
      </c>
      <c r="L56" s="344">
        <v>46753</v>
      </c>
      <c r="M56" s="345">
        <v>0</v>
      </c>
      <c r="N56" s="346">
        <f t="shared" si="2"/>
        <v>0</v>
      </c>
      <c r="O56" s="347">
        <f>N56*'Cash-flow PLAN'!$D$56/12</f>
        <v>0</v>
      </c>
      <c r="Q56" s="344">
        <v>46753</v>
      </c>
      <c r="R56" s="345">
        <v>0</v>
      </c>
      <c r="S56" s="346">
        <f t="shared" si="3"/>
        <v>0</v>
      </c>
      <c r="T56" s="347">
        <f>S56*'Cash-flow PLAN'!$D$57/12</f>
        <v>0</v>
      </c>
    </row>
    <row r="57" spans="2:20" ht="14">
      <c r="B57" s="349">
        <v>46784</v>
      </c>
      <c r="C57" s="345">
        <v>0</v>
      </c>
      <c r="D57" s="346">
        <f t="shared" si="0"/>
        <v>0</v>
      </c>
      <c r="E57" s="347">
        <f>D57*'Cash-flow PLAN'!$D$54/12</f>
        <v>0</v>
      </c>
      <c r="G57" s="349">
        <v>46784</v>
      </c>
      <c r="H57" s="345">
        <v>0</v>
      </c>
      <c r="I57" s="346">
        <f t="shared" si="1"/>
        <v>0</v>
      </c>
      <c r="J57" s="347">
        <f>I57*'Cash-flow M 22.7.'!$D$58/12</f>
        <v>0</v>
      </c>
      <c r="L57" s="349">
        <v>46784</v>
      </c>
      <c r="M57" s="345">
        <v>0</v>
      </c>
      <c r="N57" s="346">
        <f t="shared" si="2"/>
        <v>0</v>
      </c>
      <c r="O57" s="347">
        <f>N57*'Cash-flow PLAN'!$D$56/12</f>
        <v>0</v>
      </c>
      <c r="Q57" s="349">
        <v>46784</v>
      </c>
      <c r="R57" s="345">
        <v>0</v>
      </c>
      <c r="S57" s="346">
        <f t="shared" si="3"/>
        <v>0</v>
      </c>
      <c r="T57" s="347">
        <f>S57*'Cash-flow PLAN'!$D$57/12</f>
        <v>0</v>
      </c>
    </row>
    <row r="58" spans="2:20" ht="14">
      <c r="B58" s="349">
        <v>46813</v>
      </c>
      <c r="C58" s="345">
        <v>0</v>
      </c>
      <c r="D58" s="346">
        <f t="shared" si="0"/>
        <v>0</v>
      </c>
      <c r="E58" s="347">
        <f>D58*'Cash-flow PLAN'!$D$54/12</f>
        <v>0</v>
      </c>
      <c r="G58" s="349">
        <v>46813</v>
      </c>
      <c r="H58" s="345">
        <v>0</v>
      </c>
      <c r="I58" s="346">
        <f t="shared" si="1"/>
        <v>0</v>
      </c>
      <c r="J58" s="347">
        <f>I58*'Cash-flow M 22.7.'!$D$58/12</f>
        <v>0</v>
      </c>
      <c r="L58" s="349">
        <v>46813</v>
      </c>
      <c r="M58" s="345">
        <v>0</v>
      </c>
      <c r="N58" s="346">
        <f t="shared" si="2"/>
        <v>0</v>
      </c>
      <c r="O58" s="347">
        <f>N58*'Cash-flow PLAN'!$D$56/12</f>
        <v>0</v>
      </c>
      <c r="Q58" s="349">
        <v>46813</v>
      </c>
      <c r="R58" s="345">
        <v>0</v>
      </c>
      <c r="S58" s="346">
        <f t="shared" si="3"/>
        <v>0</v>
      </c>
      <c r="T58" s="347">
        <f>S58*'Cash-flow PLAN'!$D$57/12</f>
        <v>0</v>
      </c>
    </row>
    <row r="59" spans="2:20" ht="14">
      <c r="B59" s="349">
        <v>46844</v>
      </c>
      <c r="C59" s="345">
        <v>0</v>
      </c>
      <c r="D59" s="346">
        <f t="shared" si="0"/>
        <v>0</v>
      </c>
      <c r="E59" s="347">
        <f>D59*'Cash-flow PLAN'!$D$54/12</f>
        <v>0</v>
      </c>
      <c r="G59" s="349">
        <v>46844</v>
      </c>
      <c r="H59" s="345">
        <v>0</v>
      </c>
      <c r="I59" s="346">
        <f t="shared" si="1"/>
        <v>0</v>
      </c>
      <c r="J59" s="347">
        <f>I59*'Cash-flow M 22.7.'!$D$58/12</f>
        <v>0</v>
      </c>
      <c r="L59" s="349">
        <v>46844</v>
      </c>
      <c r="M59" s="345">
        <v>0</v>
      </c>
      <c r="N59" s="346">
        <f t="shared" si="2"/>
        <v>0</v>
      </c>
      <c r="O59" s="347">
        <f>N59*'Cash-flow PLAN'!$D$56/12</f>
        <v>0</v>
      </c>
      <c r="Q59" s="349">
        <v>46844</v>
      </c>
      <c r="R59" s="345">
        <v>0</v>
      </c>
      <c r="S59" s="346">
        <f t="shared" si="3"/>
        <v>0</v>
      </c>
      <c r="T59" s="347">
        <f>S59*'Cash-flow PLAN'!$D$57/12</f>
        <v>0</v>
      </c>
    </row>
    <row r="60" spans="2:20" ht="14">
      <c r="B60" s="349">
        <v>46874</v>
      </c>
      <c r="C60" s="345">
        <v>0</v>
      </c>
      <c r="D60" s="346">
        <f t="shared" si="0"/>
        <v>0</v>
      </c>
      <c r="E60" s="347">
        <f>D60*'Cash-flow PLAN'!$D$54/12</f>
        <v>0</v>
      </c>
      <c r="G60" s="349">
        <v>46874</v>
      </c>
      <c r="H60" s="345">
        <v>0</v>
      </c>
      <c r="I60" s="346">
        <f t="shared" si="1"/>
        <v>0</v>
      </c>
      <c r="J60" s="347">
        <f>I60*'Cash-flow M 22.7.'!$D$58/12</f>
        <v>0</v>
      </c>
      <c r="L60" s="349">
        <v>46874</v>
      </c>
      <c r="M60" s="345">
        <v>0</v>
      </c>
      <c r="N60" s="346">
        <f t="shared" si="2"/>
        <v>0</v>
      </c>
      <c r="O60" s="347">
        <f>N60*'Cash-flow PLAN'!$D$56/12</f>
        <v>0</v>
      </c>
      <c r="Q60" s="349">
        <v>46874</v>
      </c>
      <c r="R60" s="345">
        <v>0</v>
      </c>
      <c r="S60" s="346">
        <f t="shared" si="3"/>
        <v>0</v>
      </c>
      <c r="T60" s="347">
        <f>S60*'Cash-flow PLAN'!$D$57/12</f>
        <v>0</v>
      </c>
    </row>
    <row r="61" spans="2:20" ht="14">
      <c r="B61" s="350">
        <v>46905</v>
      </c>
      <c r="C61" s="345">
        <v>0</v>
      </c>
      <c r="D61" s="346">
        <f t="shared" si="0"/>
        <v>0</v>
      </c>
      <c r="E61" s="347">
        <f>D61*'Cash-flow PLAN'!$D$54/12</f>
        <v>0</v>
      </c>
      <c r="G61" s="350">
        <v>46905</v>
      </c>
      <c r="H61" s="345">
        <v>0</v>
      </c>
      <c r="I61" s="346">
        <f t="shared" si="1"/>
        <v>0</v>
      </c>
      <c r="J61" s="347">
        <f>I61*'Cash-flow M 22.7.'!$D$58/12</f>
        <v>0</v>
      </c>
      <c r="L61" s="350">
        <v>46905</v>
      </c>
      <c r="M61" s="345">
        <v>0</v>
      </c>
      <c r="N61" s="346">
        <f t="shared" si="2"/>
        <v>0</v>
      </c>
      <c r="O61" s="347">
        <f>N61*'Cash-flow PLAN'!$D$56/12</f>
        <v>0</v>
      </c>
      <c r="Q61" s="350">
        <v>46905</v>
      </c>
      <c r="R61" s="345">
        <v>0</v>
      </c>
      <c r="S61" s="346">
        <f t="shared" si="3"/>
        <v>0</v>
      </c>
      <c r="T61" s="347">
        <f>S61*'Cash-flow PLAN'!$D$57/12</f>
        <v>0</v>
      </c>
    </row>
    <row r="62" spans="2:20" ht="14">
      <c r="B62" s="349">
        <v>46935</v>
      </c>
      <c r="C62" s="345">
        <v>0</v>
      </c>
      <c r="D62" s="346">
        <f t="shared" si="0"/>
        <v>0</v>
      </c>
      <c r="E62" s="347">
        <f>D62*'Cash-flow PLAN'!$D$54/12</f>
        <v>0</v>
      </c>
      <c r="G62" s="349">
        <v>46935</v>
      </c>
      <c r="H62" s="345">
        <v>0</v>
      </c>
      <c r="I62" s="346">
        <f t="shared" si="1"/>
        <v>0</v>
      </c>
      <c r="J62" s="347">
        <f>I62*'Cash-flow M 22.7.'!$D$58/12</f>
        <v>0</v>
      </c>
      <c r="L62" s="349">
        <v>46935</v>
      </c>
      <c r="M62" s="345">
        <v>0</v>
      </c>
      <c r="N62" s="346">
        <f t="shared" si="2"/>
        <v>0</v>
      </c>
      <c r="O62" s="347">
        <f>N62*'Cash-flow PLAN'!$D$56/12</f>
        <v>0</v>
      </c>
      <c r="Q62" s="349">
        <v>46935</v>
      </c>
      <c r="R62" s="345">
        <v>0</v>
      </c>
      <c r="S62" s="346">
        <f t="shared" si="3"/>
        <v>0</v>
      </c>
      <c r="T62" s="347">
        <f>S62*'Cash-flow PLAN'!$D$57/12</f>
        <v>0</v>
      </c>
    </row>
    <row r="63" spans="2:20" ht="14">
      <c r="B63" s="349">
        <v>46966</v>
      </c>
      <c r="C63" s="345">
        <v>0</v>
      </c>
      <c r="D63" s="346">
        <f t="shared" si="0"/>
        <v>0</v>
      </c>
      <c r="E63" s="347">
        <f>D63*'Cash-flow PLAN'!$D$54/12</f>
        <v>0</v>
      </c>
      <c r="G63" s="349">
        <v>46966</v>
      </c>
      <c r="H63" s="345">
        <v>0</v>
      </c>
      <c r="I63" s="346">
        <f t="shared" si="1"/>
        <v>0</v>
      </c>
      <c r="J63" s="347">
        <f>I63*'Cash-flow M 22.7.'!$D$58/12</f>
        <v>0</v>
      </c>
      <c r="L63" s="349">
        <v>46966</v>
      </c>
      <c r="M63" s="345">
        <v>0</v>
      </c>
      <c r="N63" s="346">
        <f t="shared" si="2"/>
        <v>0</v>
      </c>
      <c r="O63" s="347">
        <f>N63*'Cash-flow PLAN'!$D$56/12</f>
        <v>0</v>
      </c>
      <c r="Q63" s="349">
        <v>46966</v>
      </c>
      <c r="R63" s="345">
        <v>0</v>
      </c>
      <c r="S63" s="346">
        <f t="shared" si="3"/>
        <v>0</v>
      </c>
      <c r="T63" s="347">
        <f>S63*'Cash-flow PLAN'!$D$57/12</f>
        <v>0</v>
      </c>
    </row>
    <row r="64" spans="2:20" ht="14">
      <c r="B64" s="349">
        <v>46997</v>
      </c>
      <c r="C64" s="345">
        <v>0</v>
      </c>
      <c r="D64" s="346">
        <f t="shared" si="0"/>
        <v>0</v>
      </c>
      <c r="E64" s="347">
        <f>D64*'Cash-flow PLAN'!$D$54/12</f>
        <v>0</v>
      </c>
      <c r="G64" s="349">
        <v>46997</v>
      </c>
      <c r="H64" s="345">
        <v>0</v>
      </c>
      <c r="I64" s="346">
        <f t="shared" si="1"/>
        <v>0</v>
      </c>
      <c r="J64" s="347">
        <f>I64*'Cash-flow M 22.7.'!$D$58/12</f>
        <v>0</v>
      </c>
      <c r="L64" s="349">
        <v>46997</v>
      </c>
      <c r="M64" s="345">
        <v>0</v>
      </c>
      <c r="N64" s="346">
        <f t="shared" si="2"/>
        <v>0</v>
      </c>
      <c r="O64" s="347">
        <f>N64*'Cash-flow PLAN'!$D$56/12</f>
        <v>0</v>
      </c>
      <c r="Q64" s="349">
        <v>46997</v>
      </c>
      <c r="R64" s="345">
        <v>0</v>
      </c>
      <c r="S64" s="346">
        <f t="shared" si="3"/>
        <v>0</v>
      </c>
      <c r="T64" s="347">
        <f>S64*'Cash-flow PLAN'!$D$57/12</f>
        <v>0</v>
      </c>
    </row>
    <row r="65" spans="2:20" ht="14">
      <c r="B65" s="349">
        <v>47027</v>
      </c>
      <c r="C65" s="345">
        <v>0</v>
      </c>
      <c r="D65" s="346">
        <f t="shared" si="0"/>
        <v>0</v>
      </c>
      <c r="E65" s="347">
        <f>D65*'Cash-flow PLAN'!$D$54/12</f>
        <v>0</v>
      </c>
      <c r="G65" s="349">
        <v>47027</v>
      </c>
      <c r="H65" s="345">
        <v>0</v>
      </c>
      <c r="I65" s="346">
        <f t="shared" si="1"/>
        <v>0</v>
      </c>
      <c r="J65" s="347">
        <f>I65*'Cash-flow M 22.7.'!$D$58/12</f>
        <v>0</v>
      </c>
      <c r="L65" s="349">
        <v>47027</v>
      </c>
      <c r="M65" s="345">
        <v>0</v>
      </c>
      <c r="N65" s="346">
        <f t="shared" si="2"/>
        <v>0</v>
      </c>
      <c r="O65" s="347">
        <f>N65*'Cash-flow PLAN'!$D$56/12</f>
        <v>0</v>
      </c>
      <c r="Q65" s="349">
        <v>47027</v>
      </c>
      <c r="R65" s="345">
        <v>0</v>
      </c>
      <c r="S65" s="346">
        <f t="shared" si="3"/>
        <v>0</v>
      </c>
      <c r="T65" s="347">
        <f>S65*'Cash-flow PLAN'!$D$57/12</f>
        <v>0</v>
      </c>
    </row>
    <row r="66" spans="2:20" ht="14">
      <c r="B66" s="349">
        <v>47058</v>
      </c>
      <c r="C66" s="345">
        <v>0</v>
      </c>
      <c r="D66" s="346">
        <f t="shared" si="0"/>
        <v>0</v>
      </c>
      <c r="E66" s="347">
        <f>D66*'Cash-flow PLAN'!$D$54/12</f>
        <v>0</v>
      </c>
      <c r="G66" s="349">
        <v>47058</v>
      </c>
      <c r="H66" s="345">
        <v>0</v>
      </c>
      <c r="I66" s="346">
        <f t="shared" si="1"/>
        <v>0</v>
      </c>
      <c r="J66" s="347">
        <f>I66*'Cash-flow M 22.7.'!$D$58/12</f>
        <v>0</v>
      </c>
      <c r="L66" s="349">
        <v>47058</v>
      </c>
      <c r="M66" s="345">
        <v>0</v>
      </c>
      <c r="N66" s="346">
        <f t="shared" si="2"/>
        <v>0</v>
      </c>
      <c r="O66" s="347">
        <f>N66*'Cash-flow PLAN'!$D$56/12</f>
        <v>0</v>
      </c>
      <c r="Q66" s="349">
        <v>47058</v>
      </c>
      <c r="R66" s="345">
        <v>0</v>
      </c>
      <c r="S66" s="346">
        <f t="shared" si="3"/>
        <v>0</v>
      </c>
      <c r="T66" s="347">
        <f>S66*'Cash-flow PLAN'!$D$57/12</f>
        <v>0</v>
      </c>
    </row>
    <row r="67" spans="2:20" ht="14">
      <c r="B67" s="349">
        <v>47088</v>
      </c>
      <c r="C67" s="345">
        <v>0</v>
      </c>
      <c r="D67" s="346">
        <f t="shared" si="0"/>
        <v>0</v>
      </c>
      <c r="E67" s="347">
        <f>D67*'Cash-flow PLAN'!$D$54/12</f>
        <v>0</v>
      </c>
      <c r="G67" s="349">
        <v>47088</v>
      </c>
      <c r="H67" s="345">
        <v>0</v>
      </c>
      <c r="I67" s="346">
        <f t="shared" si="1"/>
        <v>0</v>
      </c>
      <c r="J67" s="347">
        <f>I67*'Cash-flow M 22.7.'!$D$58/12</f>
        <v>0</v>
      </c>
      <c r="L67" s="349">
        <v>47088</v>
      </c>
      <c r="M67" s="345">
        <v>0</v>
      </c>
      <c r="N67" s="346">
        <f t="shared" si="2"/>
        <v>0</v>
      </c>
      <c r="O67" s="347">
        <f>N67*'Cash-flow PLAN'!$D$56/12</f>
        <v>0</v>
      </c>
      <c r="Q67" s="349">
        <v>47088</v>
      </c>
      <c r="R67" s="345">
        <v>0</v>
      </c>
      <c r="S67" s="346">
        <f t="shared" si="3"/>
        <v>0</v>
      </c>
      <c r="T67" s="347">
        <f>S67*'Cash-flow PLAN'!$D$57/12</f>
        <v>0</v>
      </c>
    </row>
    <row r="68" spans="2:20" ht="14">
      <c r="B68" s="344">
        <v>47119</v>
      </c>
      <c r="C68" s="345">
        <v>0</v>
      </c>
      <c r="D68" s="346">
        <f t="shared" si="0"/>
        <v>0</v>
      </c>
      <c r="E68" s="347">
        <f>D68*'Cash-flow PLAN'!$D$54/12</f>
        <v>0</v>
      </c>
      <c r="G68" s="344">
        <v>47119</v>
      </c>
      <c r="H68" s="345">
        <v>0</v>
      </c>
      <c r="I68" s="346">
        <f t="shared" si="1"/>
        <v>0</v>
      </c>
      <c r="J68" s="347">
        <f>I68*'Cash-flow M 22.7.'!$D$58/12</f>
        <v>0</v>
      </c>
      <c r="L68" s="344">
        <v>47119</v>
      </c>
      <c r="M68" s="345">
        <v>0</v>
      </c>
      <c r="N68" s="346">
        <f t="shared" si="2"/>
        <v>0</v>
      </c>
      <c r="O68" s="347">
        <f>N68*'Cash-flow PLAN'!$D$56/12</f>
        <v>0</v>
      </c>
      <c r="Q68" s="344">
        <v>47119</v>
      </c>
      <c r="R68" s="345">
        <v>0</v>
      </c>
      <c r="S68" s="346">
        <f t="shared" si="3"/>
        <v>0</v>
      </c>
      <c r="T68" s="347">
        <f>S68*'Cash-flow PLAN'!$D$57/12</f>
        <v>0</v>
      </c>
    </row>
    <row r="69" spans="2:20" ht="14">
      <c r="B69" s="349">
        <v>47150</v>
      </c>
      <c r="C69" s="345">
        <v>0</v>
      </c>
      <c r="D69" s="346">
        <f t="shared" si="0"/>
        <v>0</v>
      </c>
      <c r="E69" s="347">
        <f>D69*'Cash-flow PLAN'!$D$54/12</f>
        <v>0</v>
      </c>
      <c r="G69" s="349">
        <v>47150</v>
      </c>
      <c r="H69" s="345">
        <v>0</v>
      </c>
      <c r="I69" s="346">
        <f t="shared" si="1"/>
        <v>0</v>
      </c>
      <c r="J69" s="347">
        <f>I69*'Cash-flow M 22.7.'!$D$58/12</f>
        <v>0</v>
      </c>
      <c r="L69" s="349">
        <v>47150</v>
      </c>
      <c r="M69" s="345">
        <v>0</v>
      </c>
      <c r="N69" s="346">
        <f t="shared" si="2"/>
        <v>0</v>
      </c>
      <c r="O69" s="347">
        <f>N69*'Cash-flow PLAN'!$D$56/12</f>
        <v>0</v>
      </c>
      <c r="Q69" s="349">
        <v>47150</v>
      </c>
      <c r="R69" s="345">
        <v>0</v>
      </c>
      <c r="S69" s="346">
        <f t="shared" si="3"/>
        <v>0</v>
      </c>
      <c r="T69" s="347">
        <f>S69*'Cash-flow PLAN'!$D$57/12</f>
        <v>0</v>
      </c>
    </row>
    <row r="70" spans="2:20" ht="14">
      <c r="B70" s="349">
        <v>47178</v>
      </c>
      <c r="C70" s="345">
        <v>0</v>
      </c>
      <c r="D70" s="346">
        <f t="shared" si="0"/>
        <v>0</v>
      </c>
      <c r="E70" s="347">
        <f>D70*'Cash-flow PLAN'!$D$54/12</f>
        <v>0</v>
      </c>
      <c r="G70" s="349">
        <v>47178</v>
      </c>
      <c r="H70" s="345">
        <v>0</v>
      </c>
      <c r="I70" s="346">
        <f t="shared" si="1"/>
        <v>0</v>
      </c>
      <c r="J70" s="347">
        <f>I70*'Cash-flow M 22.7.'!$D$58/12</f>
        <v>0</v>
      </c>
      <c r="L70" s="349">
        <v>47178</v>
      </c>
      <c r="M70" s="345">
        <v>0</v>
      </c>
      <c r="N70" s="346">
        <f t="shared" si="2"/>
        <v>0</v>
      </c>
      <c r="O70" s="347">
        <f>N70*'Cash-flow PLAN'!$D$56/12</f>
        <v>0</v>
      </c>
      <c r="Q70" s="349">
        <v>47178</v>
      </c>
      <c r="R70" s="345">
        <v>0</v>
      </c>
      <c r="S70" s="346">
        <f t="shared" si="3"/>
        <v>0</v>
      </c>
      <c r="T70" s="347">
        <f>S70*'Cash-flow PLAN'!$D$57/12</f>
        <v>0</v>
      </c>
    </row>
    <row r="71" spans="2:20" ht="14">
      <c r="B71" s="349">
        <v>47209</v>
      </c>
      <c r="C71" s="345">
        <v>0</v>
      </c>
      <c r="D71" s="346">
        <f t="shared" si="0"/>
        <v>0</v>
      </c>
      <c r="E71" s="347">
        <f>D71*'Cash-flow PLAN'!$D$54/12</f>
        <v>0</v>
      </c>
      <c r="G71" s="349">
        <v>47209</v>
      </c>
      <c r="H71" s="345">
        <v>0</v>
      </c>
      <c r="I71" s="346">
        <f t="shared" si="1"/>
        <v>0</v>
      </c>
      <c r="J71" s="347">
        <f>I71*'Cash-flow M 22.7.'!$D$58/12</f>
        <v>0</v>
      </c>
      <c r="L71" s="349">
        <v>47209</v>
      </c>
      <c r="M71" s="345">
        <v>0</v>
      </c>
      <c r="N71" s="346">
        <f t="shared" si="2"/>
        <v>0</v>
      </c>
      <c r="O71" s="347">
        <f>N71*'Cash-flow PLAN'!$D$56/12</f>
        <v>0</v>
      </c>
      <c r="Q71" s="349">
        <v>47209</v>
      </c>
      <c r="R71" s="345">
        <v>0</v>
      </c>
      <c r="S71" s="346">
        <f t="shared" si="3"/>
        <v>0</v>
      </c>
      <c r="T71" s="347">
        <f>S71*'Cash-flow PLAN'!$D$57/12</f>
        <v>0</v>
      </c>
    </row>
    <row r="72" spans="2:20" ht="14">
      <c r="B72" s="349">
        <v>47239</v>
      </c>
      <c r="C72" s="345">
        <v>0</v>
      </c>
      <c r="D72" s="346">
        <f t="shared" si="0"/>
        <v>0</v>
      </c>
      <c r="E72" s="347">
        <f>D72*'Cash-flow PLAN'!$D$54/12</f>
        <v>0</v>
      </c>
      <c r="G72" s="349">
        <v>47239</v>
      </c>
      <c r="H72" s="345">
        <v>0</v>
      </c>
      <c r="I72" s="346">
        <f t="shared" si="1"/>
        <v>0</v>
      </c>
      <c r="J72" s="347">
        <f>I72*'Cash-flow M 22.7.'!$D$58/12</f>
        <v>0</v>
      </c>
      <c r="L72" s="349">
        <v>47239</v>
      </c>
      <c r="M72" s="345">
        <v>0</v>
      </c>
      <c r="N72" s="346">
        <f t="shared" si="2"/>
        <v>0</v>
      </c>
      <c r="O72" s="347">
        <f>N72*'Cash-flow PLAN'!$D$56/12</f>
        <v>0</v>
      </c>
      <c r="Q72" s="349">
        <v>47239</v>
      </c>
      <c r="R72" s="345">
        <v>0</v>
      </c>
      <c r="S72" s="346">
        <f t="shared" si="3"/>
        <v>0</v>
      </c>
      <c r="T72" s="347">
        <f>S72*'Cash-flow PLAN'!$D$57/12</f>
        <v>0</v>
      </c>
    </row>
    <row r="73" spans="2:20" ht="14">
      <c r="B73" s="350">
        <v>47270</v>
      </c>
      <c r="C73" s="345">
        <v>0</v>
      </c>
      <c r="D73" s="346">
        <f t="shared" si="0"/>
        <v>0</v>
      </c>
      <c r="E73" s="347">
        <f>D73*'Cash-flow PLAN'!$D$54/12</f>
        <v>0</v>
      </c>
      <c r="G73" s="350">
        <v>47270</v>
      </c>
      <c r="H73" s="345">
        <v>0</v>
      </c>
      <c r="I73" s="346">
        <f t="shared" si="1"/>
        <v>0</v>
      </c>
      <c r="J73" s="347">
        <f>I73*'Cash-flow M 22.7.'!$D$58/12</f>
        <v>0</v>
      </c>
      <c r="L73" s="350">
        <v>47270</v>
      </c>
      <c r="M73" s="345">
        <v>0</v>
      </c>
      <c r="N73" s="346">
        <f t="shared" si="2"/>
        <v>0</v>
      </c>
      <c r="O73" s="347">
        <f>N73*'Cash-flow PLAN'!$D$56/12</f>
        <v>0</v>
      </c>
      <c r="Q73" s="350">
        <v>47270</v>
      </c>
      <c r="R73" s="345">
        <v>0</v>
      </c>
      <c r="S73" s="346">
        <f t="shared" si="3"/>
        <v>0</v>
      </c>
      <c r="T73" s="347">
        <f>S73*'Cash-flow PLAN'!$D$57/12</f>
        <v>0</v>
      </c>
    </row>
    <row r="74" spans="2:20" ht="14">
      <c r="B74" s="349">
        <v>47300</v>
      </c>
      <c r="C74" s="345">
        <v>0</v>
      </c>
      <c r="D74" s="346">
        <f t="shared" si="0"/>
        <v>0</v>
      </c>
      <c r="E74" s="347">
        <f>D74*'Cash-flow PLAN'!$D$54/12</f>
        <v>0</v>
      </c>
      <c r="G74" s="349">
        <v>47300</v>
      </c>
      <c r="H74" s="345">
        <v>0</v>
      </c>
      <c r="I74" s="346">
        <f t="shared" si="1"/>
        <v>0</v>
      </c>
      <c r="J74" s="347">
        <f>I74*'Cash-flow M 22.7.'!$D$58/12</f>
        <v>0</v>
      </c>
      <c r="L74" s="349">
        <v>47300</v>
      </c>
      <c r="M74" s="345">
        <v>0</v>
      </c>
      <c r="N74" s="346">
        <f t="shared" si="2"/>
        <v>0</v>
      </c>
      <c r="O74" s="347">
        <f>N74*'Cash-flow PLAN'!$D$56/12</f>
        <v>0</v>
      </c>
      <c r="Q74" s="349">
        <v>47300</v>
      </c>
      <c r="R74" s="345">
        <v>0</v>
      </c>
      <c r="S74" s="346">
        <f t="shared" si="3"/>
        <v>0</v>
      </c>
      <c r="T74" s="347">
        <f>S74*'Cash-flow PLAN'!$D$57/12</f>
        <v>0</v>
      </c>
    </row>
    <row r="75" spans="2:20" ht="14">
      <c r="B75" s="349">
        <v>47331</v>
      </c>
      <c r="C75" s="345">
        <v>0</v>
      </c>
      <c r="D75" s="346">
        <f t="shared" si="0"/>
        <v>0</v>
      </c>
      <c r="E75" s="347">
        <f>D75*'Cash-flow PLAN'!$D$54/12</f>
        <v>0</v>
      </c>
      <c r="G75" s="349">
        <v>47331</v>
      </c>
      <c r="H75" s="345">
        <v>0</v>
      </c>
      <c r="I75" s="346">
        <f t="shared" si="1"/>
        <v>0</v>
      </c>
      <c r="J75" s="347">
        <f>I75*'Cash-flow M 22.7.'!$D$58/12</f>
        <v>0</v>
      </c>
      <c r="L75" s="349">
        <v>47331</v>
      </c>
      <c r="M75" s="345">
        <v>0</v>
      </c>
      <c r="N75" s="346">
        <f t="shared" si="2"/>
        <v>0</v>
      </c>
      <c r="O75" s="347">
        <f>N75*'Cash-flow PLAN'!$D$56/12</f>
        <v>0</v>
      </c>
      <c r="Q75" s="349">
        <v>47331</v>
      </c>
      <c r="R75" s="345">
        <v>0</v>
      </c>
      <c r="S75" s="346">
        <f t="shared" si="3"/>
        <v>0</v>
      </c>
      <c r="T75" s="347">
        <f>S75*'Cash-flow PLAN'!$D$57/12</f>
        <v>0</v>
      </c>
    </row>
    <row r="76" spans="2:20" ht="14">
      <c r="B76" s="349">
        <v>47362</v>
      </c>
      <c r="C76" s="345">
        <v>0</v>
      </c>
      <c r="D76" s="346">
        <f t="shared" si="0"/>
        <v>0</v>
      </c>
      <c r="E76" s="347">
        <f>D76*'Cash-flow PLAN'!$D$54/12</f>
        <v>0</v>
      </c>
      <c r="G76" s="349">
        <v>47362</v>
      </c>
      <c r="H76" s="345">
        <v>0</v>
      </c>
      <c r="I76" s="346">
        <f t="shared" si="1"/>
        <v>0</v>
      </c>
      <c r="J76" s="347">
        <f>I76*'Cash-flow M 22.7.'!$D$58/12</f>
        <v>0</v>
      </c>
      <c r="L76" s="349">
        <v>47362</v>
      </c>
      <c r="M76" s="345">
        <v>0</v>
      </c>
      <c r="N76" s="346">
        <f t="shared" si="2"/>
        <v>0</v>
      </c>
      <c r="O76" s="347">
        <f>N76*'Cash-flow PLAN'!$D$56/12</f>
        <v>0</v>
      </c>
      <c r="Q76" s="349">
        <v>47362</v>
      </c>
      <c r="R76" s="345">
        <v>0</v>
      </c>
      <c r="S76" s="346">
        <f t="shared" si="3"/>
        <v>0</v>
      </c>
      <c r="T76" s="347">
        <f>S76*'Cash-flow PLAN'!$D$57/12</f>
        <v>0</v>
      </c>
    </row>
    <row r="77" spans="2:20" ht="14">
      <c r="B77" s="349">
        <v>47392</v>
      </c>
      <c r="C77" s="345">
        <v>0</v>
      </c>
      <c r="D77" s="346">
        <f t="shared" si="0"/>
        <v>0</v>
      </c>
      <c r="E77" s="347">
        <f>D77*'Cash-flow PLAN'!$D$54/12</f>
        <v>0</v>
      </c>
      <c r="G77" s="349">
        <v>47392</v>
      </c>
      <c r="H77" s="345">
        <v>0</v>
      </c>
      <c r="I77" s="346">
        <f t="shared" si="1"/>
        <v>0</v>
      </c>
      <c r="J77" s="347">
        <f>I77*'Cash-flow M 22.7.'!$D$58/12</f>
        <v>0</v>
      </c>
      <c r="L77" s="349">
        <v>47392</v>
      </c>
      <c r="M77" s="345">
        <v>0</v>
      </c>
      <c r="N77" s="346">
        <f t="shared" si="2"/>
        <v>0</v>
      </c>
      <c r="O77" s="347">
        <f>N77*'Cash-flow PLAN'!$D$56/12</f>
        <v>0</v>
      </c>
      <c r="Q77" s="349">
        <v>47392</v>
      </c>
      <c r="R77" s="345">
        <v>0</v>
      </c>
      <c r="S77" s="346">
        <f t="shared" si="3"/>
        <v>0</v>
      </c>
      <c r="T77" s="347">
        <f>S77*'Cash-flow PLAN'!$D$57/12</f>
        <v>0</v>
      </c>
    </row>
    <row r="78" spans="2:20" ht="14">
      <c r="B78" s="349">
        <v>47423</v>
      </c>
      <c r="C78" s="345">
        <v>0</v>
      </c>
      <c r="D78" s="346">
        <f t="shared" si="0"/>
        <v>0</v>
      </c>
      <c r="E78" s="347">
        <f>D78*'Cash-flow PLAN'!$D$54/12</f>
        <v>0</v>
      </c>
      <c r="G78" s="349">
        <v>47423</v>
      </c>
      <c r="H78" s="345">
        <v>0</v>
      </c>
      <c r="I78" s="346">
        <f t="shared" si="1"/>
        <v>0</v>
      </c>
      <c r="J78" s="347">
        <f>I78*'Cash-flow M 22.7.'!$D$58/12</f>
        <v>0</v>
      </c>
      <c r="L78" s="349">
        <v>47423</v>
      </c>
      <c r="M78" s="345">
        <v>0</v>
      </c>
      <c r="N78" s="346">
        <f t="shared" si="2"/>
        <v>0</v>
      </c>
      <c r="O78" s="347">
        <f>N78*'Cash-flow PLAN'!$D$56/12</f>
        <v>0</v>
      </c>
      <c r="Q78" s="349">
        <v>47423</v>
      </c>
      <c r="R78" s="345">
        <v>0</v>
      </c>
      <c r="S78" s="346">
        <f t="shared" si="3"/>
        <v>0</v>
      </c>
      <c r="T78" s="347">
        <f>S78*'Cash-flow PLAN'!$D$57/12</f>
        <v>0</v>
      </c>
    </row>
    <row r="79" spans="2:20" ht="14">
      <c r="B79" s="349">
        <v>47453</v>
      </c>
      <c r="C79" s="345">
        <v>0</v>
      </c>
      <c r="D79" s="346">
        <f>D78</f>
        <v>0</v>
      </c>
      <c r="E79" s="347">
        <f>D79*'Cash-flow PLAN'!$D$54/12</f>
        <v>0</v>
      </c>
      <c r="G79" s="349">
        <v>47453</v>
      </c>
      <c r="H79" s="345">
        <v>0</v>
      </c>
      <c r="I79" s="346">
        <f>I78</f>
        <v>0</v>
      </c>
      <c r="J79" s="347">
        <f>I79*'Cash-flow M 22.7.'!$D$58/12</f>
        <v>0</v>
      </c>
      <c r="L79" s="349">
        <v>47453</v>
      </c>
      <c r="M79" s="345">
        <v>-12071651.818826601</v>
      </c>
      <c r="N79" s="346">
        <f>N78</f>
        <v>0</v>
      </c>
      <c r="O79" s="347">
        <f>N79*'Cash-flow PLAN'!$D$56/12</f>
        <v>0</v>
      </c>
      <c r="Q79" s="349">
        <v>47453</v>
      </c>
      <c r="R79" s="345">
        <v>0</v>
      </c>
      <c r="S79" s="346">
        <f>S78</f>
        <v>0</v>
      </c>
      <c r="T79" s="347">
        <f>S79*'Cash-flow PLAN'!$D$57/12</f>
        <v>0</v>
      </c>
    </row>
  </sheetData>
  <mergeCells count="4">
    <mergeCell ref="B2:E3"/>
    <mergeCell ref="G2:J3"/>
    <mergeCell ref="L2:O3"/>
    <mergeCell ref="Q2:T3"/>
  </mergeCells>
  <pageMargins left="0" right="0" top="0" bottom="0" header="0" footer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B2:T79"/>
  <sheetViews>
    <sheetView workbookViewId="0"/>
  </sheetViews>
  <sheetFormatPr baseColWidth="10" defaultColWidth="12.6640625" defaultRowHeight="15" customHeight="1"/>
  <sheetData>
    <row r="2" spans="2:20" ht="14">
      <c r="B2" s="816" t="s">
        <v>359</v>
      </c>
      <c r="C2" s="772"/>
      <c r="D2" s="772"/>
      <c r="E2" s="772"/>
      <c r="G2" s="816" t="s">
        <v>360</v>
      </c>
      <c r="H2" s="772"/>
      <c r="I2" s="772"/>
      <c r="J2" s="772"/>
      <c r="L2" s="816" t="s">
        <v>361</v>
      </c>
      <c r="M2" s="772"/>
      <c r="N2" s="772"/>
      <c r="O2" s="772"/>
      <c r="Q2" s="816" t="s">
        <v>362</v>
      </c>
      <c r="R2" s="772"/>
      <c r="S2" s="772"/>
      <c r="T2" s="772"/>
    </row>
    <row r="3" spans="2:20" ht="15" customHeight="1">
      <c r="B3" s="772"/>
      <c r="C3" s="772"/>
      <c r="D3" s="772"/>
      <c r="E3" s="772"/>
      <c r="G3" s="772"/>
      <c r="H3" s="772"/>
      <c r="I3" s="772"/>
      <c r="J3" s="772"/>
      <c r="L3" s="772"/>
      <c r="M3" s="772"/>
      <c r="N3" s="772"/>
      <c r="O3" s="772"/>
      <c r="Q3" s="772"/>
      <c r="R3" s="772"/>
      <c r="S3" s="772"/>
      <c r="T3" s="772"/>
    </row>
    <row r="7" spans="2:20" ht="14">
      <c r="B7" s="340" t="s">
        <v>363</v>
      </c>
      <c r="C7" s="341" t="s">
        <v>364</v>
      </c>
      <c r="D7" s="342" t="s">
        <v>326</v>
      </c>
      <c r="E7" s="343" t="s">
        <v>365</v>
      </c>
      <c r="G7" s="340" t="s">
        <v>363</v>
      </c>
      <c r="H7" s="341" t="s">
        <v>364</v>
      </c>
      <c r="I7" s="342" t="s">
        <v>326</v>
      </c>
      <c r="J7" s="343" t="s">
        <v>365</v>
      </c>
      <c r="L7" s="340" t="s">
        <v>363</v>
      </c>
      <c r="M7" s="341" t="s">
        <v>364</v>
      </c>
      <c r="N7" s="342" t="s">
        <v>326</v>
      </c>
      <c r="O7" s="343" t="s">
        <v>365</v>
      </c>
      <c r="Q7" s="340" t="s">
        <v>363</v>
      </c>
      <c r="R7" s="341" t="s">
        <v>364</v>
      </c>
      <c r="S7" s="342" t="s">
        <v>326</v>
      </c>
      <c r="T7" s="343" t="s">
        <v>365</v>
      </c>
    </row>
    <row r="8" spans="2:20" ht="14">
      <c r="B8" s="344">
        <v>45292</v>
      </c>
      <c r="C8" s="345">
        <f t="array" ref="C8:C24">TRANSPOSE('Cash-flow Plan vc 2 etapa'!K113:AA113)</f>
        <v>-885000</v>
      </c>
      <c r="D8" s="346">
        <f>0-C8</f>
        <v>885000</v>
      </c>
      <c r="E8" s="347">
        <f>D8*'Cash-flow Plan vc 2 etapa'!$D$57/12</f>
        <v>8112.5</v>
      </c>
      <c r="G8" s="344">
        <v>45292</v>
      </c>
      <c r="H8" s="348">
        <f t="array" ref="H8:H79">TRANSPOSE('Cash-flow Plan vc 2 etapa'!E145:BX145)</f>
        <v>0</v>
      </c>
      <c r="I8" s="346">
        <f>0-H8</f>
        <v>0</v>
      </c>
      <c r="J8" s="347">
        <f>I8*'Cash-flow Plan vc 2 etapa'!$D$57/12</f>
        <v>0</v>
      </c>
      <c r="L8" s="344">
        <v>45292</v>
      </c>
      <c r="M8" s="348">
        <f t="array" ref="M8:M79">TRANSPOSE('Cash-flow Plan vc 2 etapa'!E142:BX142)</f>
        <v>0</v>
      </c>
      <c r="N8" s="346">
        <f>0-M8</f>
        <v>0</v>
      </c>
      <c r="O8" s="347">
        <f>N8*'Cash-flow Plan vc 2 etapa'!$D$58/12</f>
        <v>0</v>
      </c>
      <c r="Q8" s="344">
        <v>45292</v>
      </c>
      <c r="R8" s="345">
        <f t="array" ref="R8:R79">TRANSPOSE('Cash-flow PLAN'!E159:BX159)</f>
        <v>0</v>
      </c>
      <c r="S8" s="346">
        <f>0-R8</f>
        <v>0</v>
      </c>
      <c r="T8" s="347">
        <f>S8*'Cash-flow PLAN'!$D$57/12</f>
        <v>0</v>
      </c>
    </row>
    <row r="9" spans="2:20" ht="14">
      <c r="B9" s="349">
        <v>45323</v>
      </c>
      <c r="C9" s="345">
        <v>-1940000</v>
      </c>
      <c r="D9" s="346">
        <f t="shared" ref="D9:D78" si="0">D8-C9</f>
        <v>2825000</v>
      </c>
      <c r="E9" s="347">
        <f>D9*'Cash-flow Plan vc 2 etapa'!$D$57/12</f>
        <v>25895.833333333332</v>
      </c>
      <c r="G9" s="349">
        <v>45323</v>
      </c>
      <c r="H9" s="345">
        <v>0</v>
      </c>
      <c r="I9" s="346">
        <f t="shared" ref="I9:I78" si="1">I8-H9</f>
        <v>0</v>
      </c>
      <c r="J9" s="347">
        <f>I9*'Cash-flow M 22.7.'!$D$58/12</f>
        <v>0</v>
      </c>
      <c r="L9" s="349">
        <v>45323</v>
      </c>
      <c r="M9" s="345">
        <v>0</v>
      </c>
      <c r="N9" s="346">
        <f t="shared" ref="N9:N78" si="2">N8-M9</f>
        <v>0</v>
      </c>
      <c r="O9" s="347">
        <f>N9*'Cash-flow PLAN'!$D$56/12</f>
        <v>0</v>
      </c>
      <c r="Q9" s="349">
        <v>45323</v>
      </c>
      <c r="R9" s="345">
        <v>0</v>
      </c>
      <c r="S9" s="346">
        <f t="shared" ref="S9:S78" si="3">S8-R9</f>
        <v>0</v>
      </c>
      <c r="T9" s="347">
        <f>S9*'Cash-flow PLAN'!$D$57/12</f>
        <v>0</v>
      </c>
    </row>
    <row r="10" spans="2:20" ht="14">
      <c r="B10" s="349">
        <v>45352</v>
      </c>
      <c r="C10" s="345">
        <v>-4260000</v>
      </c>
      <c r="D10" s="346">
        <f t="shared" si="0"/>
        <v>7085000</v>
      </c>
      <c r="E10" s="347">
        <f>D10*'Cash-flow Plan vc 2 etapa'!$D$57/12</f>
        <v>64945.833333333336</v>
      </c>
      <c r="G10" s="349">
        <v>45352</v>
      </c>
      <c r="H10" s="345">
        <v>0</v>
      </c>
      <c r="I10" s="346">
        <f t="shared" si="1"/>
        <v>0</v>
      </c>
      <c r="J10" s="347">
        <f>I10*'Cash-flow M 22.7.'!$D$58/12</f>
        <v>0</v>
      </c>
      <c r="L10" s="349">
        <v>45352</v>
      </c>
      <c r="M10" s="345">
        <v>0</v>
      </c>
      <c r="N10" s="346">
        <f t="shared" si="2"/>
        <v>0</v>
      </c>
      <c r="O10" s="347">
        <f>N10*'Cash-flow PLAN'!$D$56/12</f>
        <v>0</v>
      </c>
      <c r="Q10" s="349">
        <v>45352</v>
      </c>
      <c r="R10" s="345">
        <v>0</v>
      </c>
      <c r="S10" s="346">
        <f t="shared" si="3"/>
        <v>0</v>
      </c>
      <c r="T10" s="347">
        <f>S10*'Cash-flow PLAN'!$D$57/12</f>
        <v>0</v>
      </c>
    </row>
    <row r="11" spans="2:20" ht="14">
      <c r="B11" s="349">
        <v>45383</v>
      </c>
      <c r="C11" s="345">
        <v>0</v>
      </c>
      <c r="D11" s="346">
        <f t="shared" si="0"/>
        <v>7085000</v>
      </c>
      <c r="E11" s="347">
        <f>D11*'Cash-flow Plan vc 2 etapa'!$D$57/12</f>
        <v>64945.833333333336</v>
      </c>
      <c r="G11" s="349">
        <v>45383</v>
      </c>
      <c r="H11" s="345">
        <v>0</v>
      </c>
      <c r="I11" s="346">
        <f t="shared" si="1"/>
        <v>0</v>
      </c>
      <c r="J11" s="347">
        <f>I11*'Cash-flow M 22.7.'!$D$58/12</f>
        <v>0</v>
      </c>
      <c r="L11" s="349">
        <v>45383</v>
      </c>
      <c r="M11" s="345">
        <v>0</v>
      </c>
      <c r="N11" s="346">
        <f t="shared" si="2"/>
        <v>0</v>
      </c>
      <c r="O11" s="347">
        <f>N11*'Cash-flow PLAN'!$D$56/12</f>
        <v>0</v>
      </c>
      <c r="Q11" s="349">
        <v>45383</v>
      </c>
      <c r="R11" s="345">
        <v>0</v>
      </c>
      <c r="S11" s="346">
        <f t="shared" si="3"/>
        <v>0</v>
      </c>
      <c r="T11" s="347">
        <f>S11*'Cash-flow PLAN'!$D$57/12</f>
        <v>0</v>
      </c>
    </row>
    <row r="12" spans="2:20" ht="14">
      <c r="B12" s="349">
        <v>45413</v>
      </c>
      <c r="C12" s="345">
        <v>-320000</v>
      </c>
      <c r="D12" s="346">
        <f t="shared" si="0"/>
        <v>7405000</v>
      </c>
      <c r="E12" s="347">
        <f>D12*'Cash-flow Plan vc 2 etapa'!$D$57/12</f>
        <v>67879.166666666672</v>
      </c>
      <c r="G12" s="349">
        <v>45413</v>
      </c>
      <c r="H12" s="345">
        <v>0</v>
      </c>
      <c r="I12" s="346">
        <f t="shared" si="1"/>
        <v>0</v>
      </c>
      <c r="J12" s="347">
        <f>I12*'Cash-flow M 22.7.'!$D$58/12</f>
        <v>0</v>
      </c>
      <c r="L12" s="349">
        <v>45413</v>
      </c>
      <c r="M12" s="345">
        <v>0</v>
      </c>
      <c r="N12" s="346">
        <f t="shared" si="2"/>
        <v>0</v>
      </c>
      <c r="O12" s="347">
        <f>N12*'Cash-flow PLAN'!$D$56/12</f>
        <v>0</v>
      </c>
      <c r="Q12" s="349">
        <v>45413</v>
      </c>
      <c r="R12" s="345">
        <v>0</v>
      </c>
      <c r="S12" s="346">
        <f t="shared" si="3"/>
        <v>0</v>
      </c>
      <c r="T12" s="347">
        <f>S12*'Cash-flow PLAN'!$D$57/12</f>
        <v>0</v>
      </c>
    </row>
    <row r="13" spans="2:20" ht="14">
      <c r="B13" s="350">
        <v>45444</v>
      </c>
      <c r="C13" s="345">
        <v>-1050000</v>
      </c>
      <c r="D13" s="346">
        <f t="shared" si="0"/>
        <v>8455000</v>
      </c>
      <c r="E13" s="347">
        <f>D13*'Cash-flow Plan vc 2 etapa'!$D$57/12</f>
        <v>77504.166666666672</v>
      </c>
      <c r="G13" s="350">
        <v>45444</v>
      </c>
      <c r="H13" s="345">
        <v>0</v>
      </c>
      <c r="I13" s="346">
        <f t="shared" si="1"/>
        <v>0</v>
      </c>
      <c r="J13" s="347">
        <f>I13*'Cash-flow M 22.7.'!$D$58/12</f>
        <v>0</v>
      </c>
      <c r="L13" s="350">
        <v>45444</v>
      </c>
      <c r="M13" s="345">
        <v>0</v>
      </c>
      <c r="N13" s="346">
        <f t="shared" si="2"/>
        <v>0</v>
      </c>
      <c r="O13" s="347">
        <f>N13*'Cash-flow PLAN'!$D$56/12</f>
        <v>0</v>
      </c>
      <c r="Q13" s="350">
        <v>45444</v>
      </c>
      <c r="R13" s="345">
        <v>0</v>
      </c>
      <c r="S13" s="346">
        <f t="shared" si="3"/>
        <v>0</v>
      </c>
      <c r="T13" s="347">
        <f>S13*'Cash-flow PLAN'!$D$57/12</f>
        <v>0</v>
      </c>
    </row>
    <row r="14" spans="2:20" ht="14">
      <c r="B14" s="349">
        <v>45474</v>
      </c>
      <c r="C14" s="345">
        <v>-4550000</v>
      </c>
      <c r="D14" s="346">
        <f t="shared" si="0"/>
        <v>13005000</v>
      </c>
      <c r="E14" s="347">
        <f>D14*'Cash-flow Plan vc 2 etapa'!$D$57/12</f>
        <v>119212.5</v>
      </c>
      <c r="G14" s="349">
        <v>45474</v>
      </c>
      <c r="H14" s="345">
        <v>0</v>
      </c>
      <c r="I14" s="346">
        <f t="shared" si="1"/>
        <v>0</v>
      </c>
      <c r="J14" s="347">
        <f>I14*'Cash-flow M 22.7.'!$D$58/12</f>
        <v>0</v>
      </c>
      <c r="L14" s="349">
        <v>45474</v>
      </c>
      <c r="M14" s="345">
        <v>0</v>
      </c>
      <c r="N14" s="346">
        <f t="shared" si="2"/>
        <v>0</v>
      </c>
      <c r="O14" s="347">
        <f>N14*'Cash-flow PLAN'!$D$56/12</f>
        <v>0</v>
      </c>
      <c r="Q14" s="349">
        <v>45474</v>
      </c>
      <c r="R14" s="345">
        <v>0</v>
      </c>
      <c r="S14" s="346">
        <f t="shared" si="3"/>
        <v>0</v>
      </c>
      <c r="T14" s="347">
        <f>S14*'Cash-flow PLAN'!$D$57/12</f>
        <v>0</v>
      </c>
    </row>
    <row r="15" spans="2:20" ht="14">
      <c r="B15" s="349">
        <v>45505</v>
      </c>
      <c r="C15" s="345">
        <v>0</v>
      </c>
      <c r="D15" s="346">
        <f t="shared" si="0"/>
        <v>13005000</v>
      </c>
      <c r="E15" s="347">
        <f>D15*'Cash-flow Plan vc 2 etapa'!$D$57/12</f>
        <v>119212.5</v>
      </c>
      <c r="G15" s="349">
        <v>45505</v>
      </c>
      <c r="H15" s="345">
        <v>0</v>
      </c>
      <c r="I15" s="346">
        <f t="shared" si="1"/>
        <v>0</v>
      </c>
      <c r="J15" s="347">
        <f>I15*'Cash-flow M 22.7.'!$D$58/12</f>
        <v>0</v>
      </c>
      <c r="L15" s="349">
        <v>45505</v>
      </c>
      <c r="M15" s="345">
        <v>0</v>
      </c>
      <c r="N15" s="346">
        <f t="shared" si="2"/>
        <v>0</v>
      </c>
      <c r="O15" s="347">
        <f>N15*'Cash-flow PLAN'!$D$56/12</f>
        <v>0</v>
      </c>
      <c r="Q15" s="349">
        <v>45505</v>
      </c>
      <c r="R15" s="345">
        <v>0</v>
      </c>
      <c r="S15" s="346">
        <f t="shared" si="3"/>
        <v>0</v>
      </c>
      <c r="T15" s="347">
        <f>S15*'Cash-flow PLAN'!$D$57/12</f>
        <v>0</v>
      </c>
    </row>
    <row r="16" spans="2:20" ht="14">
      <c r="B16" s="349">
        <v>45536</v>
      </c>
      <c r="C16" s="345">
        <v>-3550000</v>
      </c>
      <c r="D16" s="346">
        <f t="shared" si="0"/>
        <v>16555000</v>
      </c>
      <c r="E16" s="347">
        <f>D16*'Cash-flow Plan vc 2 etapa'!$D$57/12</f>
        <v>151754.16666666666</v>
      </c>
      <c r="G16" s="349">
        <v>45536</v>
      </c>
      <c r="H16" s="345">
        <v>0</v>
      </c>
      <c r="I16" s="346">
        <f t="shared" si="1"/>
        <v>0</v>
      </c>
      <c r="J16" s="347">
        <f>I16*'Cash-flow M 22.7.'!$D$58/12</f>
        <v>0</v>
      </c>
      <c r="L16" s="349">
        <v>45536</v>
      </c>
      <c r="M16" s="345">
        <v>0</v>
      </c>
      <c r="N16" s="346">
        <f t="shared" si="2"/>
        <v>0</v>
      </c>
      <c r="O16" s="347">
        <f>N16*'Cash-flow PLAN'!$D$56/12</f>
        <v>0</v>
      </c>
      <c r="Q16" s="349">
        <v>45536</v>
      </c>
      <c r="R16" s="345">
        <v>0</v>
      </c>
      <c r="S16" s="346">
        <f t="shared" si="3"/>
        <v>0</v>
      </c>
      <c r="T16" s="347">
        <f>S16*'Cash-flow PLAN'!$D$57/12</f>
        <v>0</v>
      </c>
    </row>
    <row r="17" spans="2:20" ht="14">
      <c r="B17" s="349">
        <v>45566</v>
      </c>
      <c r="C17" s="345">
        <v>-4900000</v>
      </c>
      <c r="D17" s="346">
        <f t="shared" si="0"/>
        <v>21455000</v>
      </c>
      <c r="E17" s="347">
        <f>D17*'Cash-flow Plan vc 2 etapa'!$D$57/12</f>
        <v>196670.83333333334</v>
      </c>
      <c r="G17" s="349">
        <v>45566</v>
      </c>
      <c r="H17" s="345">
        <v>0</v>
      </c>
      <c r="I17" s="346">
        <f t="shared" si="1"/>
        <v>0</v>
      </c>
      <c r="J17" s="347">
        <f>I17*'Cash-flow M 22.7.'!$D$58/12</f>
        <v>0</v>
      </c>
      <c r="L17" s="349">
        <v>45566</v>
      </c>
      <c r="M17" s="345">
        <v>0</v>
      </c>
      <c r="N17" s="346">
        <f t="shared" si="2"/>
        <v>0</v>
      </c>
      <c r="O17" s="347">
        <f>N17*'Cash-flow PLAN'!$D$56/12</f>
        <v>0</v>
      </c>
      <c r="Q17" s="349">
        <v>45566</v>
      </c>
      <c r="R17" s="345">
        <v>0</v>
      </c>
      <c r="S17" s="346">
        <f t="shared" si="3"/>
        <v>0</v>
      </c>
      <c r="T17" s="347">
        <f>S17*'Cash-flow PLAN'!$D$57/12</f>
        <v>0</v>
      </c>
    </row>
    <row r="18" spans="2:20" ht="14">
      <c r="B18" s="349">
        <v>45597</v>
      </c>
      <c r="C18" s="345">
        <v>-4100000</v>
      </c>
      <c r="D18" s="346">
        <f t="shared" si="0"/>
        <v>25555000</v>
      </c>
      <c r="E18" s="347">
        <f>D18*'Cash-flow Plan vc 2 etapa'!$D$57/12</f>
        <v>234254.16666666666</v>
      </c>
      <c r="G18" s="349">
        <v>45597</v>
      </c>
      <c r="H18" s="345">
        <v>0</v>
      </c>
      <c r="I18" s="346">
        <f t="shared" si="1"/>
        <v>0</v>
      </c>
      <c r="J18" s="347">
        <f>I18*'Cash-flow M 22.7.'!$D$58/12</f>
        <v>0</v>
      </c>
      <c r="L18" s="349">
        <v>45597</v>
      </c>
      <c r="M18" s="345">
        <v>0</v>
      </c>
      <c r="N18" s="346">
        <f t="shared" si="2"/>
        <v>0</v>
      </c>
      <c r="O18" s="347">
        <f>N18*'Cash-flow PLAN'!$D$56/12</f>
        <v>0</v>
      </c>
      <c r="Q18" s="349">
        <v>45597</v>
      </c>
      <c r="R18" s="345">
        <v>0</v>
      </c>
      <c r="S18" s="346">
        <f t="shared" si="3"/>
        <v>0</v>
      </c>
      <c r="T18" s="347">
        <f>S18*'Cash-flow PLAN'!$D$57/12</f>
        <v>0</v>
      </c>
    </row>
    <row r="19" spans="2:20" ht="14">
      <c r="B19" s="349">
        <v>45627</v>
      </c>
      <c r="C19" s="345">
        <v>0</v>
      </c>
      <c r="D19" s="346">
        <f t="shared" si="0"/>
        <v>25555000</v>
      </c>
      <c r="E19" s="347">
        <f>D19*'Cash-flow Plan vc 2 etapa'!$D$57/12</f>
        <v>234254.16666666666</v>
      </c>
      <c r="G19" s="349">
        <v>45627</v>
      </c>
      <c r="H19" s="345">
        <v>0</v>
      </c>
      <c r="I19" s="346">
        <f t="shared" si="1"/>
        <v>0</v>
      </c>
      <c r="J19" s="347">
        <f>I19*'Cash-flow M 22.7.'!$D$58/12</f>
        <v>0</v>
      </c>
      <c r="L19" s="349">
        <v>45627</v>
      </c>
      <c r="M19" s="345">
        <v>0</v>
      </c>
      <c r="N19" s="346">
        <f t="shared" si="2"/>
        <v>0</v>
      </c>
      <c r="O19" s="347">
        <f>N19*'Cash-flow PLAN'!$D$56/12</f>
        <v>0</v>
      </c>
      <c r="Q19" s="349">
        <v>45627</v>
      </c>
      <c r="R19" s="345">
        <v>0</v>
      </c>
      <c r="S19" s="346">
        <f t="shared" si="3"/>
        <v>0</v>
      </c>
      <c r="T19" s="347">
        <f>S19*'Cash-flow PLAN'!$D$57/12</f>
        <v>0</v>
      </c>
    </row>
    <row r="20" spans="2:20" ht="14">
      <c r="B20" s="344">
        <v>45658</v>
      </c>
      <c r="C20" s="345">
        <v>0</v>
      </c>
      <c r="D20" s="346">
        <f t="shared" si="0"/>
        <v>25555000</v>
      </c>
      <c r="E20" s="347">
        <f>D20*'Cash-flow Plan vc 2 etapa'!$D$57/12</f>
        <v>234254.16666666666</v>
      </c>
      <c r="G20" s="344">
        <v>45658</v>
      </c>
      <c r="H20" s="345">
        <v>0</v>
      </c>
      <c r="I20" s="346">
        <f t="shared" si="1"/>
        <v>0</v>
      </c>
      <c r="J20" s="347">
        <f>I20*'Cash-flow M 22.7.'!$D$58/12</f>
        <v>0</v>
      </c>
      <c r="L20" s="344">
        <v>45658</v>
      </c>
      <c r="M20" s="345">
        <v>0</v>
      </c>
      <c r="N20" s="346">
        <f t="shared" si="2"/>
        <v>0</v>
      </c>
      <c r="O20" s="347">
        <f>N20*'Cash-flow PLAN'!$D$56/12</f>
        <v>0</v>
      </c>
      <c r="Q20" s="344">
        <v>45658</v>
      </c>
      <c r="R20" s="345">
        <v>0</v>
      </c>
      <c r="S20" s="346">
        <f t="shared" si="3"/>
        <v>0</v>
      </c>
      <c r="T20" s="347">
        <f>S20*'Cash-flow PLAN'!$D$57/12</f>
        <v>0</v>
      </c>
    </row>
    <row r="21" spans="2:20" ht="14">
      <c r="B21" s="349">
        <v>45689</v>
      </c>
      <c r="C21" s="345">
        <v>0</v>
      </c>
      <c r="D21" s="346">
        <f t="shared" si="0"/>
        <v>25555000</v>
      </c>
      <c r="E21" s="347">
        <f>D21*'Cash-flow Plan vc 2 etapa'!$D$57/12</f>
        <v>234254.16666666666</v>
      </c>
      <c r="G21" s="349">
        <v>45689</v>
      </c>
      <c r="H21" s="345">
        <v>0</v>
      </c>
      <c r="I21" s="346">
        <f t="shared" si="1"/>
        <v>0</v>
      </c>
      <c r="J21" s="347">
        <f>I21*'Cash-flow M 22.7.'!$D$58/12</f>
        <v>0</v>
      </c>
      <c r="L21" s="349">
        <v>45689</v>
      </c>
      <c r="M21" s="345">
        <v>0</v>
      </c>
      <c r="N21" s="346">
        <f t="shared" si="2"/>
        <v>0</v>
      </c>
      <c r="O21" s="347">
        <f>N21*'Cash-flow PLAN'!$D$56/12</f>
        <v>0</v>
      </c>
      <c r="Q21" s="349">
        <v>45689</v>
      </c>
      <c r="R21" s="345">
        <v>0</v>
      </c>
      <c r="S21" s="346">
        <f t="shared" si="3"/>
        <v>0</v>
      </c>
      <c r="T21" s="347">
        <f>S21*'Cash-flow PLAN'!$D$57/12</f>
        <v>0</v>
      </c>
    </row>
    <row r="22" spans="2:20" ht="14">
      <c r="B22" s="349">
        <v>45717</v>
      </c>
      <c r="C22" s="345">
        <v>0</v>
      </c>
      <c r="D22" s="346">
        <f t="shared" si="0"/>
        <v>25555000</v>
      </c>
      <c r="E22" s="347">
        <f>D22*'Cash-flow Plan vc 2 etapa'!$D$57/12</f>
        <v>234254.16666666666</v>
      </c>
      <c r="G22" s="349">
        <v>45717</v>
      </c>
      <c r="H22" s="345">
        <v>0</v>
      </c>
      <c r="I22" s="346">
        <f t="shared" si="1"/>
        <v>0</v>
      </c>
      <c r="J22" s="347">
        <f>I22*'Cash-flow M 22.7.'!$D$58/12</f>
        <v>0</v>
      </c>
      <c r="L22" s="349">
        <v>45717</v>
      </c>
      <c r="M22" s="345">
        <v>0</v>
      </c>
      <c r="N22" s="346">
        <f t="shared" si="2"/>
        <v>0</v>
      </c>
      <c r="O22" s="347">
        <f>N22*'Cash-flow PLAN'!$D$56/12</f>
        <v>0</v>
      </c>
      <c r="Q22" s="349">
        <v>45717</v>
      </c>
      <c r="R22" s="345">
        <v>0</v>
      </c>
      <c r="S22" s="346">
        <f t="shared" si="3"/>
        <v>0</v>
      </c>
      <c r="T22" s="347">
        <f>S22*'Cash-flow PLAN'!$D$57/12</f>
        <v>0</v>
      </c>
    </row>
    <row r="23" spans="2:20" ht="14">
      <c r="B23" s="349">
        <v>45748</v>
      </c>
      <c r="C23" s="345">
        <v>0</v>
      </c>
      <c r="D23" s="346">
        <f t="shared" si="0"/>
        <v>25555000</v>
      </c>
      <c r="E23" s="347">
        <f>D23*'Cash-flow Plan vc 2 etapa'!$D$57/12</f>
        <v>234254.16666666666</v>
      </c>
      <c r="G23" s="349">
        <v>45748</v>
      </c>
      <c r="H23" s="345">
        <v>0</v>
      </c>
      <c r="I23" s="346">
        <f t="shared" si="1"/>
        <v>0</v>
      </c>
      <c r="J23" s="347">
        <f>I23*'Cash-flow M 22.7.'!$D$58/12</f>
        <v>0</v>
      </c>
      <c r="L23" s="349">
        <v>45748</v>
      </c>
      <c r="M23" s="345">
        <v>0</v>
      </c>
      <c r="N23" s="346">
        <f t="shared" si="2"/>
        <v>0</v>
      </c>
      <c r="O23" s="347">
        <f>N23*'Cash-flow PLAN'!$D$56/12</f>
        <v>0</v>
      </c>
      <c r="Q23" s="349">
        <v>45748</v>
      </c>
      <c r="R23" s="345">
        <v>0</v>
      </c>
      <c r="S23" s="346">
        <f t="shared" si="3"/>
        <v>0</v>
      </c>
      <c r="T23" s="347">
        <f>S23*'Cash-flow PLAN'!$D$57/12</f>
        <v>0</v>
      </c>
    </row>
    <row r="24" spans="2:20" ht="14">
      <c r="B24" s="349">
        <v>45778</v>
      </c>
      <c r="C24" s="345">
        <v>41920002</v>
      </c>
      <c r="D24" s="346">
        <f t="shared" si="0"/>
        <v>-16365002</v>
      </c>
      <c r="E24" s="347">
        <f>D24*'Cash-flow PLAN'!$D$54/12</f>
        <v>-143193.76749999999</v>
      </c>
      <c r="G24" s="349">
        <v>45778</v>
      </c>
      <c r="H24" s="345">
        <v>0</v>
      </c>
      <c r="I24" s="346">
        <f t="shared" si="1"/>
        <v>0</v>
      </c>
      <c r="J24" s="347">
        <f>I24*'Cash-flow M 22.7.'!$D$58/12</f>
        <v>0</v>
      </c>
      <c r="L24" s="349">
        <v>45778</v>
      </c>
      <c r="M24" s="345">
        <v>0</v>
      </c>
      <c r="N24" s="346">
        <f t="shared" si="2"/>
        <v>0</v>
      </c>
      <c r="O24" s="347">
        <f>N24*'Cash-flow PLAN'!$D$56/12</f>
        <v>0</v>
      </c>
      <c r="Q24" s="349">
        <v>45778</v>
      </c>
      <c r="R24" s="345">
        <v>0</v>
      </c>
      <c r="S24" s="346">
        <f t="shared" si="3"/>
        <v>0</v>
      </c>
      <c r="T24" s="347">
        <f>S24*'Cash-flow PLAN'!$D$57/12</f>
        <v>0</v>
      </c>
    </row>
    <row r="25" spans="2:20" ht="14">
      <c r="B25" s="350">
        <v>45809</v>
      </c>
      <c r="C25" s="345"/>
      <c r="D25" s="346">
        <f t="shared" si="0"/>
        <v>-16365002</v>
      </c>
      <c r="E25" s="347">
        <f>D25*'Cash-flow PLAN'!$D$54/12</f>
        <v>-143193.76749999999</v>
      </c>
      <c r="G25" s="350">
        <v>45809</v>
      </c>
      <c r="H25" s="345">
        <v>0</v>
      </c>
      <c r="I25" s="346">
        <f t="shared" si="1"/>
        <v>0</v>
      </c>
      <c r="J25" s="347">
        <f>I25*'Cash-flow M 22.7.'!$D$58/12</f>
        <v>0</v>
      </c>
      <c r="L25" s="350">
        <v>45809</v>
      </c>
      <c r="M25" s="345">
        <v>0</v>
      </c>
      <c r="N25" s="346">
        <f t="shared" si="2"/>
        <v>0</v>
      </c>
      <c r="O25" s="347">
        <f>N25*'Cash-flow PLAN'!$D$56/12</f>
        <v>0</v>
      </c>
      <c r="Q25" s="350">
        <v>45809</v>
      </c>
      <c r="R25" s="345">
        <v>0</v>
      </c>
      <c r="S25" s="346">
        <f t="shared" si="3"/>
        <v>0</v>
      </c>
      <c r="T25" s="347">
        <f>S25*'Cash-flow PLAN'!$D$57/12</f>
        <v>0</v>
      </c>
    </row>
    <row r="26" spans="2:20" ht="14">
      <c r="B26" s="349">
        <v>45839</v>
      </c>
      <c r="C26" s="345"/>
      <c r="D26" s="346">
        <f t="shared" si="0"/>
        <v>-16365002</v>
      </c>
      <c r="E26" s="347">
        <f>D26*'Cash-flow PLAN'!$D$54/12</f>
        <v>-143193.76749999999</v>
      </c>
      <c r="G26" s="349">
        <v>45839</v>
      </c>
      <c r="H26" s="345">
        <v>0</v>
      </c>
      <c r="I26" s="346">
        <f t="shared" si="1"/>
        <v>0</v>
      </c>
      <c r="J26" s="347">
        <f>I26*'Cash-flow M 22.7.'!$D$58/12</f>
        <v>0</v>
      </c>
      <c r="L26" s="349">
        <v>45839</v>
      </c>
      <c r="M26" s="345">
        <v>0</v>
      </c>
      <c r="N26" s="346">
        <f t="shared" si="2"/>
        <v>0</v>
      </c>
      <c r="O26" s="347">
        <f>N26*'Cash-flow PLAN'!$D$56/12</f>
        <v>0</v>
      </c>
      <c r="Q26" s="349">
        <v>45839</v>
      </c>
      <c r="R26" s="345">
        <v>0</v>
      </c>
      <c r="S26" s="346">
        <f t="shared" si="3"/>
        <v>0</v>
      </c>
      <c r="T26" s="347">
        <f>S26*'Cash-flow PLAN'!$D$57/12</f>
        <v>0</v>
      </c>
    </row>
    <row r="27" spans="2:20" ht="14">
      <c r="B27" s="349">
        <v>45870</v>
      </c>
      <c r="C27" s="345"/>
      <c r="D27" s="346">
        <f t="shared" si="0"/>
        <v>-16365002</v>
      </c>
      <c r="E27" s="347">
        <f>D27*'Cash-flow PLAN'!$D$54/12</f>
        <v>-143193.76749999999</v>
      </c>
      <c r="G27" s="349">
        <v>45870</v>
      </c>
      <c r="H27" s="345">
        <v>0</v>
      </c>
      <c r="I27" s="346">
        <f t="shared" si="1"/>
        <v>0</v>
      </c>
      <c r="J27" s="347">
        <f>I27*'Cash-flow M 22.7.'!$D$58/12</f>
        <v>0</v>
      </c>
      <c r="L27" s="349">
        <v>45870</v>
      </c>
      <c r="M27" s="345">
        <v>0</v>
      </c>
      <c r="N27" s="346">
        <f t="shared" si="2"/>
        <v>0</v>
      </c>
      <c r="O27" s="347">
        <f>N27*'Cash-flow PLAN'!$D$56/12</f>
        <v>0</v>
      </c>
      <c r="Q27" s="349">
        <v>45870</v>
      </c>
      <c r="R27" s="345">
        <v>0</v>
      </c>
      <c r="S27" s="346">
        <f t="shared" si="3"/>
        <v>0</v>
      </c>
      <c r="T27" s="347">
        <f>S27*'Cash-flow PLAN'!$D$57/12</f>
        <v>0</v>
      </c>
    </row>
    <row r="28" spans="2:20" ht="14">
      <c r="B28" s="349">
        <v>45901</v>
      </c>
      <c r="C28" s="345"/>
      <c r="D28" s="346">
        <f t="shared" si="0"/>
        <v>-16365002</v>
      </c>
      <c r="E28" s="347">
        <f>D28*'Cash-flow PLAN'!$D$54/12</f>
        <v>-143193.76749999999</v>
      </c>
      <c r="G28" s="349">
        <v>45901</v>
      </c>
      <c r="H28" s="345">
        <v>0</v>
      </c>
      <c r="I28" s="346">
        <f t="shared" si="1"/>
        <v>0</v>
      </c>
      <c r="J28" s="347">
        <f>I28*'Cash-flow M 22.7.'!$D$58/12</f>
        <v>0</v>
      </c>
      <c r="L28" s="349">
        <v>45901</v>
      </c>
      <c r="M28" s="345">
        <v>0</v>
      </c>
      <c r="N28" s="346">
        <f t="shared" si="2"/>
        <v>0</v>
      </c>
      <c r="O28" s="347">
        <f>N28*'Cash-flow PLAN'!$D$56/12</f>
        <v>0</v>
      </c>
      <c r="Q28" s="349">
        <v>45901</v>
      </c>
      <c r="R28" s="345">
        <v>0</v>
      </c>
      <c r="S28" s="346">
        <f t="shared" si="3"/>
        <v>0</v>
      </c>
      <c r="T28" s="347">
        <f>S28*'Cash-flow PLAN'!$D$57/12</f>
        <v>0</v>
      </c>
    </row>
    <row r="29" spans="2:20" ht="14">
      <c r="B29" s="349">
        <v>45931</v>
      </c>
      <c r="C29" s="345"/>
      <c r="D29" s="346">
        <f t="shared" si="0"/>
        <v>-16365002</v>
      </c>
      <c r="E29" s="347">
        <f>D29*'Cash-flow PLAN'!$D$54/12</f>
        <v>-143193.76749999999</v>
      </c>
      <c r="G29" s="349">
        <v>45931</v>
      </c>
      <c r="H29" s="345">
        <v>0</v>
      </c>
      <c r="I29" s="346">
        <f t="shared" si="1"/>
        <v>0</v>
      </c>
      <c r="J29" s="347">
        <f>I29*'Cash-flow M 22.7.'!$D$58/12</f>
        <v>0</v>
      </c>
      <c r="L29" s="349">
        <v>45931</v>
      </c>
      <c r="M29" s="345">
        <v>0</v>
      </c>
      <c r="N29" s="346">
        <f t="shared" si="2"/>
        <v>0</v>
      </c>
      <c r="O29" s="347">
        <f>N29*'Cash-flow PLAN'!$D$56/12</f>
        <v>0</v>
      </c>
      <c r="Q29" s="349">
        <v>45931</v>
      </c>
      <c r="R29" s="345">
        <v>0</v>
      </c>
      <c r="S29" s="346">
        <f t="shared" si="3"/>
        <v>0</v>
      </c>
      <c r="T29" s="347">
        <f>S29*'Cash-flow PLAN'!$D$57/12</f>
        <v>0</v>
      </c>
    </row>
    <row r="30" spans="2:20" ht="14">
      <c r="B30" s="349">
        <v>45962</v>
      </c>
      <c r="C30" s="345"/>
      <c r="D30" s="346">
        <f t="shared" si="0"/>
        <v>-16365002</v>
      </c>
      <c r="E30" s="347">
        <f>D30*'Cash-flow PLAN'!$D$54/12</f>
        <v>-143193.76749999999</v>
      </c>
      <c r="G30" s="349">
        <v>45962</v>
      </c>
      <c r="H30" s="345">
        <v>0</v>
      </c>
      <c r="I30" s="346">
        <f t="shared" si="1"/>
        <v>0</v>
      </c>
      <c r="J30" s="347">
        <f>I30*'Cash-flow M 22.7.'!$D$58/12</f>
        <v>0</v>
      </c>
      <c r="L30" s="349">
        <v>45962</v>
      </c>
      <c r="M30" s="345">
        <v>0</v>
      </c>
      <c r="N30" s="346">
        <f t="shared" si="2"/>
        <v>0</v>
      </c>
      <c r="O30" s="347">
        <f>N30*'Cash-flow PLAN'!$D$56/12</f>
        <v>0</v>
      </c>
      <c r="Q30" s="349">
        <v>45962</v>
      </c>
      <c r="R30" s="345">
        <v>0</v>
      </c>
      <c r="S30" s="346">
        <f t="shared" si="3"/>
        <v>0</v>
      </c>
      <c r="T30" s="347">
        <f>S30*'Cash-flow PLAN'!$D$57/12</f>
        <v>0</v>
      </c>
    </row>
    <row r="31" spans="2:20" ht="14">
      <c r="B31" s="349">
        <v>45992</v>
      </c>
      <c r="C31" s="345"/>
      <c r="D31" s="346">
        <f t="shared" si="0"/>
        <v>-16365002</v>
      </c>
      <c r="E31" s="347">
        <f>D31*'Cash-flow PLAN'!$D$54/12</f>
        <v>-143193.76749999999</v>
      </c>
      <c r="G31" s="349">
        <v>45992</v>
      </c>
      <c r="H31" s="345">
        <v>0</v>
      </c>
      <c r="I31" s="346">
        <f t="shared" si="1"/>
        <v>0</v>
      </c>
      <c r="J31" s="347">
        <f>I31*'Cash-flow M 22.7.'!$D$58/12</f>
        <v>0</v>
      </c>
      <c r="L31" s="349">
        <v>45992</v>
      </c>
      <c r="M31" s="345">
        <v>0</v>
      </c>
      <c r="N31" s="346">
        <f t="shared" si="2"/>
        <v>0</v>
      </c>
      <c r="O31" s="347">
        <f>N31*'Cash-flow PLAN'!$D$56/12</f>
        <v>0</v>
      </c>
      <c r="Q31" s="349">
        <v>45992</v>
      </c>
      <c r="R31" s="345">
        <v>0</v>
      </c>
      <c r="S31" s="346">
        <f t="shared" si="3"/>
        <v>0</v>
      </c>
      <c r="T31" s="347">
        <f>S31*'Cash-flow PLAN'!$D$57/12</f>
        <v>0</v>
      </c>
    </row>
    <row r="32" spans="2:20" ht="14">
      <c r="B32" s="344">
        <v>46023</v>
      </c>
      <c r="C32" s="345"/>
      <c r="D32" s="346">
        <f t="shared" si="0"/>
        <v>-16365002</v>
      </c>
      <c r="E32" s="347">
        <f>D32*'Cash-flow PLAN'!$D$54/12</f>
        <v>-143193.76749999999</v>
      </c>
      <c r="G32" s="344">
        <v>46023</v>
      </c>
      <c r="H32" s="345">
        <v>0</v>
      </c>
      <c r="I32" s="346">
        <f t="shared" si="1"/>
        <v>0</v>
      </c>
      <c r="J32" s="347">
        <f>I32*'Cash-flow M 22.7.'!$D$58/12</f>
        <v>0</v>
      </c>
      <c r="K32" s="465">
        <f>-SUM(J14:J31)-J31</f>
        <v>0</v>
      </c>
      <c r="L32" s="344">
        <v>46023</v>
      </c>
      <c r="M32" s="345">
        <v>0</v>
      </c>
      <c r="N32" s="346">
        <f t="shared" si="2"/>
        <v>0</v>
      </c>
      <c r="O32" s="347">
        <f>N32*'Cash-flow PLAN'!$D$56/12</f>
        <v>0</v>
      </c>
      <c r="Q32" s="344">
        <v>46023</v>
      </c>
      <c r="R32" s="345">
        <v>0</v>
      </c>
      <c r="S32" s="346">
        <f t="shared" si="3"/>
        <v>0</v>
      </c>
      <c r="T32" s="347">
        <f>S32*'Cash-flow PLAN'!$D$57/12</f>
        <v>0</v>
      </c>
    </row>
    <row r="33" spans="2:20" ht="14">
      <c r="B33" s="349">
        <v>46054</v>
      </c>
      <c r="C33" s="345"/>
      <c r="D33" s="346">
        <f t="shared" si="0"/>
        <v>-16365002</v>
      </c>
      <c r="E33" s="347">
        <f>D33*'Cash-flow PLAN'!$D$54/12</f>
        <v>-143193.76749999999</v>
      </c>
      <c r="G33" s="349">
        <v>46054</v>
      </c>
      <c r="H33" s="345">
        <v>0</v>
      </c>
      <c r="I33" s="346">
        <f t="shared" si="1"/>
        <v>0</v>
      </c>
      <c r="J33" s="347">
        <f>I33*'Cash-flow M 22.7.'!$D$58/12</f>
        <v>0</v>
      </c>
      <c r="L33" s="349">
        <v>46054</v>
      </c>
      <c r="M33" s="345">
        <v>0</v>
      </c>
      <c r="N33" s="346">
        <f t="shared" si="2"/>
        <v>0</v>
      </c>
      <c r="O33" s="347">
        <f>N33*'Cash-flow PLAN'!$D$56/12</f>
        <v>0</v>
      </c>
      <c r="Q33" s="349">
        <v>46054</v>
      </c>
      <c r="R33" s="345">
        <v>0</v>
      </c>
      <c r="S33" s="346">
        <f t="shared" si="3"/>
        <v>0</v>
      </c>
      <c r="T33" s="347">
        <f>S33*'Cash-flow PLAN'!$D$57/12</f>
        <v>0</v>
      </c>
    </row>
    <row r="34" spans="2:20" ht="14">
      <c r="B34" s="349">
        <v>46082</v>
      </c>
      <c r="C34" s="345"/>
      <c r="D34" s="346">
        <f t="shared" si="0"/>
        <v>-16365002</v>
      </c>
      <c r="E34" s="347">
        <f>D34*'Cash-flow PLAN'!$D$54/12</f>
        <v>-143193.76749999999</v>
      </c>
      <c r="G34" s="349">
        <v>46082</v>
      </c>
      <c r="H34" s="345">
        <v>0</v>
      </c>
      <c r="I34" s="346">
        <f t="shared" si="1"/>
        <v>0</v>
      </c>
      <c r="J34" s="347">
        <f>I34*'Cash-flow M 22.7.'!$D$58/12</f>
        <v>0</v>
      </c>
      <c r="L34" s="349">
        <v>46082</v>
      </c>
      <c r="M34" s="345">
        <v>0</v>
      </c>
      <c r="N34" s="346">
        <f t="shared" si="2"/>
        <v>0</v>
      </c>
      <c r="O34" s="347">
        <f>N34*'Cash-flow PLAN'!$D$56/12</f>
        <v>0</v>
      </c>
      <c r="Q34" s="349">
        <v>46082</v>
      </c>
      <c r="R34" s="345">
        <v>0</v>
      </c>
      <c r="S34" s="346">
        <f t="shared" si="3"/>
        <v>0</v>
      </c>
      <c r="T34" s="347">
        <f>S34*'Cash-flow PLAN'!$D$57/12</f>
        <v>0</v>
      </c>
    </row>
    <row r="35" spans="2:20" ht="14">
      <c r="B35" s="349">
        <v>46113</v>
      </c>
      <c r="C35" s="345"/>
      <c r="D35" s="346">
        <f t="shared" si="0"/>
        <v>-16365002</v>
      </c>
      <c r="E35" s="347">
        <f>D35*'Cash-flow PLAN'!$D$54/12</f>
        <v>-143193.76749999999</v>
      </c>
      <c r="G35" s="349">
        <v>46113</v>
      </c>
      <c r="H35" s="345">
        <v>0</v>
      </c>
      <c r="I35" s="346">
        <f t="shared" si="1"/>
        <v>0</v>
      </c>
      <c r="J35" s="347">
        <f>I35*'Cash-flow M 22.7.'!$D$58/12</f>
        <v>0</v>
      </c>
      <c r="L35" s="349">
        <v>46113</v>
      </c>
      <c r="M35" s="345">
        <v>0</v>
      </c>
      <c r="N35" s="346">
        <f t="shared" si="2"/>
        <v>0</v>
      </c>
      <c r="O35" s="347">
        <f>N35*'Cash-flow PLAN'!$D$56/12</f>
        <v>0</v>
      </c>
      <c r="Q35" s="349">
        <v>46113</v>
      </c>
      <c r="R35" s="345">
        <v>0</v>
      </c>
      <c r="S35" s="346">
        <f t="shared" si="3"/>
        <v>0</v>
      </c>
      <c r="T35" s="347">
        <f>S35*'Cash-flow PLAN'!$D$57/12</f>
        <v>0</v>
      </c>
    </row>
    <row r="36" spans="2:20" ht="14">
      <c r="B36" s="349">
        <v>46143</v>
      </c>
      <c r="C36" s="345"/>
      <c r="D36" s="346">
        <f t="shared" si="0"/>
        <v>-16365002</v>
      </c>
      <c r="E36" s="347">
        <f>D36*'Cash-flow PLAN'!$D$54/12</f>
        <v>-143193.76749999999</v>
      </c>
      <c r="G36" s="349">
        <v>46143</v>
      </c>
      <c r="H36" s="345">
        <v>0</v>
      </c>
      <c r="I36" s="346">
        <f t="shared" si="1"/>
        <v>0</v>
      </c>
      <c r="J36" s="347">
        <f>I36*'Cash-flow M 22.7.'!$D$58/12</f>
        <v>0</v>
      </c>
      <c r="L36" s="349">
        <v>46143</v>
      </c>
      <c r="M36" s="345">
        <v>0</v>
      </c>
      <c r="N36" s="346">
        <f t="shared" si="2"/>
        <v>0</v>
      </c>
      <c r="O36" s="347">
        <f>N36*'Cash-flow PLAN'!$D$56/12</f>
        <v>0</v>
      </c>
      <c r="Q36" s="349">
        <v>46143</v>
      </c>
      <c r="R36" s="345">
        <v>0</v>
      </c>
      <c r="S36" s="346">
        <f t="shared" si="3"/>
        <v>0</v>
      </c>
      <c r="T36" s="347">
        <f>S36*'Cash-flow PLAN'!$D$57/12</f>
        <v>0</v>
      </c>
    </row>
    <row r="37" spans="2:20" ht="14">
      <c r="B37" s="350">
        <v>46174</v>
      </c>
      <c r="C37" s="345"/>
      <c r="D37" s="346">
        <f t="shared" si="0"/>
        <v>-16365002</v>
      </c>
      <c r="E37" s="347">
        <f>D37*'Cash-flow PLAN'!$D$54/12</f>
        <v>-143193.76749999999</v>
      </c>
      <c r="G37" s="350">
        <v>46174</v>
      </c>
      <c r="H37" s="345">
        <v>0</v>
      </c>
      <c r="I37" s="346">
        <f t="shared" si="1"/>
        <v>0</v>
      </c>
      <c r="J37" s="347">
        <f>I37*'Cash-flow M 22.7.'!$D$58/12</f>
        <v>0</v>
      </c>
      <c r="L37" s="350">
        <v>46174</v>
      </c>
      <c r="M37" s="345">
        <v>0</v>
      </c>
      <c r="N37" s="346">
        <f t="shared" si="2"/>
        <v>0</v>
      </c>
      <c r="O37" s="347">
        <f>N37*'Cash-flow PLAN'!$D$56/12</f>
        <v>0</v>
      </c>
      <c r="Q37" s="350">
        <v>46174</v>
      </c>
      <c r="R37" s="345">
        <v>0</v>
      </c>
      <c r="S37" s="346">
        <f t="shared" si="3"/>
        <v>0</v>
      </c>
      <c r="T37" s="347">
        <f>S37*'Cash-flow PLAN'!$D$57/12</f>
        <v>0</v>
      </c>
    </row>
    <row r="38" spans="2:20" ht="14">
      <c r="B38" s="349">
        <v>46204</v>
      </c>
      <c r="C38" s="345"/>
      <c r="D38" s="346">
        <f t="shared" si="0"/>
        <v>-16365002</v>
      </c>
      <c r="E38" s="347">
        <f>D38*'Cash-flow PLAN'!$D$54/12</f>
        <v>-143193.76749999999</v>
      </c>
      <c r="G38" s="349">
        <v>46204</v>
      </c>
      <c r="H38" s="345">
        <v>0</v>
      </c>
      <c r="I38" s="346">
        <f t="shared" si="1"/>
        <v>0</v>
      </c>
      <c r="J38" s="347">
        <f>I38*'Cash-flow M 22.7.'!$D$58/12</f>
        <v>0</v>
      </c>
      <c r="L38" s="349">
        <v>46204</v>
      </c>
      <c r="M38" s="345">
        <v>0</v>
      </c>
      <c r="N38" s="346">
        <f t="shared" si="2"/>
        <v>0</v>
      </c>
      <c r="O38" s="347">
        <f>N38*'Cash-flow PLAN'!$D$56/12</f>
        <v>0</v>
      </c>
      <c r="Q38" s="349">
        <v>46204</v>
      </c>
      <c r="R38" s="345">
        <v>0</v>
      </c>
      <c r="S38" s="346">
        <f t="shared" si="3"/>
        <v>0</v>
      </c>
      <c r="T38" s="347">
        <f>S38*'Cash-flow PLAN'!$D$57/12</f>
        <v>0</v>
      </c>
    </row>
    <row r="39" spans="2:20" ht="14">
      <c r="B39" s="349">
        <v>46235</v>
      </c>
      <c r="C39" s="345"/>
      <c r="D39" s="346">
        <f t="shared" si="0"/>
        <v>-16365002</v>
      </c>
      <c r="E39" s="347">
        <f>D39*'Cash-flow PLAN'!$D$54/12</f>
        <v>-143193.76749999999</v>
      </c>
      <c r="G39" s="349">
        <v>46235</v>
      </c>
      <c r="H39" s="345">
        <v>0</v>
      </c>
      <c r="I39" s="346">
        <f t="shared" si="1"/>
        <v>0</v>
      </c>
      <c r="J39" s="347">
        <f>I39*'Cash-flow M 22.7.'!$D$58/12</f>
        <v>0</v>
      </c>
      <c r="L39" s="349">
        <v>46235</v>
      </c>
      <c r="M39" s="345">
        <v>0</v>
      </c>
      <c r="N39" s="346">
        <f t="shared" si="2"/>
        <v>0</v>
      </c>
      <c r="O39" s="347">
        <f>N39*'Cash-flow PLAN'!$D$56/12</f>
        <v>0</v>
      </c>
      <c r="Q39" s="349">
        <v>46235</v>
      </c>
      <c r="R39" s="345">
        <v>0</v>
      </c>
      <c r="S39" s="346">
        <f t="shared" si="3"/>
        <v>0</v>
      </c>
      <c r="T39" s="347">
        <f>S39*'Cash-flow PLAN'!$D$57/12</f>
        <v>0</v>
      </c>
    </row>
    <row r="40" spans="2:20" ht="14">
      <c r="B40" s="349">
        <v>46266</v>
      </c>
      <c r="C40" s="345"/>
      <c r="D40" s="346">
        <f t="shared" si="0"/>
        <v>-16365002</v>
      </c>
      <c r="E40" s="347">
        <f>D40*'Cash-flow PLAN'!$D$54/12</f>
        <v>-143193.76749999999</v>
      </c>
      <c r="G40" s="349">
        <v>46266</v>
      </c>
      <c r="H40" s="345">
        <v>0</v>
      </c>
      <c r="I40" s="346">
        <f t="shared" si="1"/>
        <v>0</v>
      </c>
      <c r="J40" s="347">
        <f>I40*'Cash-flow M 22.7.'!$D$58/12</f>
        <v>0</v>
      </c>
      <c r="L40" s="349">
        <v>46266</v>
      </c>
      <c r="M40" s="345">
        <v>0</v>
      </c>
      <c r="N40" s="346">
        <f t="shared" si="2"/>
        <v>0</v>
      </c>
      <c r="O40" s="347">
        <f>N40*'Cash-flow PLAN'!$D$56/12</f>
        <v>0</v>
      </c>
      <c r="Q40" s="349">
        <v>46266</v>
      </c>
      <c r="R40" s="345">
        <v>0</v>
      </c>
      <c r="S40" s="346">
        <f t="shared" si="3"/>
        <v>0</v>
      </c>
      <c r="T40" s="347">
        <f>S40*'Cash-flow PLAN'!$D$57/12</f>
        <v>0</v>
      </c>
    </row>
    <row r="41" spans="2:20" ht="14">
      <c r="B41" s="349">
        <v>46296</v>
      </c>
      <c r="C41" s="345"/>
      <c r="D41" s="346">
        <f t="shared" si="0"/>
        <v>-16365002</v>
      </c>
      <c r="E41" s="347">
        <f>D41*'Cash-flow PLAN'!$D$54/12</f>
        <v>-143193.76749999999</v>
      </c>
      <c r="G41" s="349">
        <v>46296</v>
      </c>
      <c r="H41" s="345">
        <v>0</v>
      </c>
      <c r="I41" s="346">
        <f t="shared" si="1"/>
        <v>0</v>
      </c>
      <c r="J41" s="347">
        <f>I41*'Cash-flow M 22.7.'!$D$58/12</f>
        <v>0</v>
      </c>
      <c r="L41" s="349">
        <v>46296</v>
      </c>
      <c r="M41" s="345">
        <v>0</v>
      </c>
      <c r="N41" s="346">
        <f t="shared" si="2"/>
        <v>0</v>
      </c>
      <c r="O41" s="347">
        <f>N41*'Cash-flow PLAN'!$D$56/12</f>
        <v>0</v>
      </c>
      <c r="Q41" s="349">
        <v>46296</v>
      </c>
      <c r="R41" s="345">
        <v>0</v>
      </c>
      <c r="S41" s="346">
        <f t="shared" si="3"/>
        <v>0</v>
      </c>
      <c r="T41" s="347">
        <f>S41*'Cash-flow PLAN'!$D$57/12</f>
        <v>0</v>
      </c>
    </row>
    <row r="42" spans="2:20" ht="14">
      <c r="B42" s="349">
        <v>46327</v>
      </c>
      <c r="C42" s="345"/>
      <c r="D42" s="346">
        <f t="shared" si="0"/>
        <v>-16365002</v>
      </c>
      <c r="E42" s="347">
        <f>D42*'Cash-flow PLAN'!$D$54/12</f>
        <v>-143193.76749999999</v>
      </c>
      <c r="G42" s="349">
        <v>46327</v>
      </c>
      <c r="H42" s="345">
        <v>0</v>
      </c>
      <c r="I42" s="346">
        <f t="shared" si="1"/>
        <v>0</v>
      </c>
      <c r="J42" s="347">
        <f>I42*'Cash-flow M 22.7.'!$D$58/12</f>
        <v>0</v>
      </c>
      <c r="L42" s="349">
        <v>46327</v>
      </c>
      <c r="M42" s="345">
        <v>0</v>
      </c>
      <c r="N42" s="346">
        <f t="shared" si="2"/>
        <v>0</v>
      </c>
      <c r="O42" s="347">
        <f>N42*'Cash-flow PLAN'!$D$56/12</f>
        <v>0</v>
      </c>
      <c r="Q42" s="349">
        <v>46327</v>
      </c>
      <c r="R42" s="345">
        <v>0</v>
      </c>
      <c r="S42" s="346">
        <f t="shared" si="3"/>
        <v>0</v>
      </c>
      <c r="T42" s="347">
        <f>S42*'Cash-flow PLAN'!$D$57/12</f>
        <v>0</v>
      </c>
    </row>
    <row r="43" spans="2:20" ht="14">
      <c r="B43" s="349">
        <v>46357</v>
      </c>
      <c r="C43" s="345"/>
      <c r="D43" s="346">
        <f t="shared" si="0"/>
        <v>-16365002</v>
      </c>
      <c r="E43" s="347">
        <f>D43*'Cash-flow PLAN'!$D$54/12</f>
        <v>-143193.76749999999</v>
      </c>
      <c r="G43" s="349">
        <v>46357</v>
      </c>
      <c r="H43" s="345">
        <v>0</v>
      </c>
      <c r="I43" s="346">
        <f t="shared" si="1"/>
        <v>0</v>
      </c>
      <c r="J43" s="347">
        <f>I43*'Cash-flow M 22.7.'!$D$58/12</f>
        <v>0</v>
      </c>
      <c r="L43" s="349">
        <v>46357</v>
      </c>
      <c r="M43" s="345">
        <v>0</v>
      </c>
      <c r="N43" s="346">
        <f t="shared" si="2"/>
        <v>0</v>
      </c>
      <c r="O43" s="347">
        <f>N43*'Cash-flow PLAN'!$D$56/12</f>
        <v>0</v>
      </c>
      <c r="Q43" s="349">
        <v>46357</v>
      </c>
      <c r="R43" s="345">
        <v>0</v>
      </c>
      <c r="S43" s="346">
        <f t="shared" si="3"/>
        <v>0</v>
      </c>
      <c r="T43" s="347">
        <f>S43*'Cash-flow PLAN'!$D$57/12</f>
        <v>0</v>
      </c>
    </row>
    <row r="44" spans="2:20" ht="14">
      <c r="B44" s="344">
        <v>46388</v>
      </c>
      <c r="C44" s="345"/>
      <c r="D44" s="346">
        <f t="shared" si="0"/>
        <v>-16365002</v>
      </c>
      <c r="E44" s="347">
        <f>D44*'Cash-flow PLAN'!$D$54/12</f>
        <v>-143193.76749999999</v>
      </c>
      <c r="G44" s="344">
        <v>46388</v>
      </c>
      <c r="H44" s="345">
        <v>0</v>
      </c>
      <c r="I44" s="346">
        <f t="shared" si="1"/>
        <v>0</v>
      </c>
      <c r="J44" s="347">
        <f>I44*'Cash-flow M 22.7.'!$D$58/12</f>
        <v>0</v>
      </c>
      <c r="L44" s="344">
        <v>46388</v>
      </c>
      <c r="M44" s="345">
        <v>0</v>
      </c>
      <c r="N44" s="346">
        <f t="shared" si="2"/>
        <v>0</v>
      </c>
      <c r="O44" s="347">
        <f>N44*'Cash-flow PLAN'!$D$56/12</f>
        <v>0</v>
      </c>
      <c r="Q44" s="344">
        <v>46388</v>
      </c>
      <c r="R44" s="345">
        <v>0</v>
      </c>
      <c r="S44" s="346">
        <f t="shared" si="3"/>
        <v>0</v>
      </c>
      <c r="T44" s="347">
        <f>S44*'Cash-flow PLAN'!$D$57/12</f>
        <v>0</v>
      </c>
    </row>
    <row r="45" spans="2:20" ht="14">
      <c r="B45" s="349">
        <v>46419</v>
      </c>
      <c r="C45" s="345"/>
      <c r="D45" s="346">
        <f t="shared" si="0"/>
        <v>-16365002</v>
      </c>
      <c r="E45" s="347">
        <f>D45*'Cash-flow PLAN'!$D$54/12</f>
        <v>-143193.76749999999</v>
      </c>
      <c r="G45" s="349">
        <v>46419</v>
      </c>
      <c r="H45" s="345">
        <v>0</v>
      </c>
      <c r="I45" s="346">
        <f t="shared" si="1"/>
        <v>0</v>
      </c>
      <c r="J45" s="347">
        <f>I45*'Cash-flow M 22.7.'!$D$58/12</f>
        <v>0</v>
      </c>
      <c r="L45" s="349">
        <v>46419</v>
      </c>
      <c r="M45" s="345">
        <v>0</v>
      </c>
      <c r="N45" s="346">
        <f t="shared" si="2"/>
        <v>0</v>
      </c>
      <c r="O45" s="347">
        <f>N45*'Cash-flow PLAN'!$D$56/12</f>
        <v>0</v>
      </c>
      <c r="Q45" s="349">
        <v>46419</v>
      </c>
      <c r="R45" s="345">
        <v>0</v>
      </c>
      <c r="S45" s="346">
        <f t="shared" si="3"/>
        <v>0</v>
      </c>
      <c r="T45" s="347">
        <f>S45*'Cash-flow PLAN'!$D$57/12</f>
        <v>0</v>
      </c>
    </row>
    <row r="46" spans="2:20" ht="14">
      <c r="B46" s="349">
        <v>46447</v>
      </c>
      <c r="C46" s="345"/>
      <c r="D46" s="346">
        <f t="shared" si="0"/>
        <v>-16365002</v>
      </c>
      <c r="E46" s="347">
        <f>D46*'Cash-flow PLAN'!$D$54/12</f>
        <v>-143193.76749999999</v>
      </c>
      <c r="G46" s="349">
        <v>46447</v>
      </c>
      <c r="H46" s="345">
        <v>0</v>
      </c>
      <c r="I46" s="346">
        <f t="shared" si="1"/>
        <v>0</v>
      </c>
      <c r="J46" s="347">
        <f>I46*'Cash-flow M 22.7.'!$D$58/12</f>
        <v>0</v>
      </c>
      <c r="L46" s="349">
        <v>46447</v>
      </c>
      <c r="M46" s="345">
        <v>0</v>
      </c>
      <c r="N46" s="346">
        <f t="shared" si="2"/>
        <v>0</v>
      </c>
      <c r="O46" s="347">
        <f>N46*'Cash-flow PLAN'!$D$56/12</f>
        <v>0</v>
      </c>
      <c r="Q46" s="349">
        <v>46447</v>
      </c>
      <c r="R46" s="345">
        <v>0</v>
      </c>
      <c r="S46" s="346">
        <f t="shared" si="3"/>
        <v>0</v>
      </c>
      <c r="T46" s="347">
        <f>S46*'Cash-flow PLAN'!$D$57/12</f>
        <v>0</v>
      </c>
    </row>
    <row r="47" spans="2:20" ht="14">
      <c r="B47" s="349">
        <v>46478</v>
      </c>
      <c r="C47" s="345"/>
      <c r="D47" s="346">
        <f t="shared" si="0"/>
        <v>-16365002</v>
      </c>
      <c r="E47" s="347">
        <f>D47*'Cash-flow PLAN'!$D$54/12</f>
        <v>-143193.76749999999</v>
      </c>
      <c r="G47" s="349">
        <v>46478</v>
      </c>
      <c r="H47" s="345">
        <v>0</v>
      </c>
      <c r="I47" s="346">
        <f t="shared" si="1"/>
        <v>0</v>
      </c>
      <c r="J47" s="347">
        <f>I47*'Cash-flow M 22.7.'!$D$58/12</f>
        <v>0</v>
      </c>
      <c r="L47" s="349">
        <v>46478</v>
      </c>
      <c r="M47" s="345">
        <v>0</v>
      </c>
      <c r="N47" s="346">
        <f t="shared" si="2"/>
        <v>0</v>
      </c>
      <c r="O47" s="347">
        <f>N47*'Cash-flow PLAN'!$D$56/12</f>
        <v>0</v>
      </c>
      <c r="Q47" s="349">
        <v>46478</v>
      </c>
      <c r="R47" s="345">
        <v>0</v>
      </c>
      <c r="S47" s="346">
        <f t="shared" si="3"/>
        <v>0</v>
      </c>
      <c r="T47" s="347">
        <f>S47*'Cash-flow PLAN'!$D$57/12</f>
        <v>0</v>
      </c>
    </row>
    <row r="48" spans="2:20" ht="14">
      <c r="B48" s="349">
        <v>46508</v>
      </c>
      <c r="C48" s="345"/>
      <c r="D48" s="346">
        <f t="shared" si="0"/>
        <v>-16365002</v>
      </c>
      <c r="E48" s="347">
        <f>D48*'Cash-flow PLAN'!$D$54/12</f>
        <v>-143193.76749999999</v>
      </c>
      <c r="G48" s="349">
        <v>46508</v>
      </c>
      <c r="H48" s="345">
        <v>0</v>
      </c>
      <c r="I48" s="346">
        <f t="shared" si="1"/>
        <v>0</v>
      </c>
      <c r="J48" s="347">
        <f>I48*'Cash-flow M 22.7.'!$D$58/12</f>
        <v>0</v>
      </c>
      <c r="L48" s="349">
        <v>46508</v>
      </c>
      <c r="M48" s="345">
        <v>0</v>
      </c>
      <c r="N48" s="346">
        <f t="shared" si="2"/>
        <v>0</v>
      </c>
      <c r="O48" s="347">
        <f>N48*'Cash-flow PLAN'!$D$56/12</f>
        <v>0</v>
      </c>
      <c r="Q48" s="349">
        <v>46508</v>
      </c>
      <c r="R48" s="345">
        <v>0</v>
      </c>
      <c r="S48" s="346">
        <f t="shared" si="3"/>
        <v>0</v>
      </c>
      <c r="T48" s="347">
        <f>S48*'Cash-flow PLAN'!$D$57/12</f>
        <v>0</v>
      </c>
    </row>
    <row r="49" spans="2:20" ht="14">
      <c r="B49" s="350">
        <v>46539</v>
      </c>
      <c r="C49" s="345"/>
      <c r="D49" s="346">
        <f t="shared" si="0"/>
        <v>-16365002</v>
      </c>
      <c r="E49" s="347">
        <f>D49*'Cash-flow PLAN'!$D$54/12</f>
        <v>-143193.76749999999</v>
      </c>
      <c r="G49" s="350">
        <v>46539</v>
      </c>
      <c r="H49" s="345">
        <v>0</v>
      </c>
      <c r="I49" s="346">
        <f t="shared" si="1"/>
        <v>0</v>
      </c>
      <c r="J49" s="347">
        <f>I49*'Cash-flow M 22.7.'!$D$58/12</f>
        <v>0</v>
      </c>
      <c r="L49" s="350">
        <v>46539</v>
      </c>
      <c r="M49" s="345">
        <v>0</v>
      </c>
      <c r="N49" s="346">
        <f t="shared" si="2"/>
        <v>0</v>
      </c>
      <c r="O49" s="347">
        <f>N49*'Cash-flow PLAN'!$D$56/12</f>
        <v>0</v>
      </c>
      <c r="Q49" s="350">
        <v>46539</v>
      </c>
      <c r="R49" s="345">
        <v>0</v>
      </c>
      <c r="S49" s="346">
        <f t="shared" si="3"/>
        <v>0</v>
      </c>
      <c r="T49" s="347">
        <f>S49*'Cash-flow PLAN'!$D$57/12</f>
        <v>0</v>
      </c>
    </row>
    <row r="50" spans="2:20" ht="14">
      <c r="B50" s="349">
        <v>46569</v>
      </c>
      <c r="C50" s="345"/>
      <c r="D50" s="346">
        <f t="shared" si="0"/>
        <v>-16365002</v>
      </c>
      <c r="E50" s="347">
        <f>D50*'Cash-flow PLAN'!$D$54/12</f>
        <v>-143193.76749999999</v>
      </c>
      <c r="G50" s="349">
        <v>46569</v>
      </c>
      <c r="H50" s="345">
        <v>0</v>
      </c>
      <c r="I50" s="346">
        <f t="shared" si="1"/>
        <v>0</v>
      </c>
      <c r="J50" s="347">
        <f>I50*'Cash-flow M 22.7.'!$D$58/12</f>
        <v>0</v>
      </c>
      <c r="L50" s="349">
        <v>46569</v>
      </c>
      <c r="M50" s="345">
        <v>0</v>
      </c>
      <c r="N50" s="346">
        <f t="shared" si="2"/>
        <v>0</v>
      </c>
      <c r="O50" s="347">
        <f>N50*'Cash-flow PLAN'!$D$56/12</f>
        <v>0</v>
      </c>
      <c r="Q50" s="349">
        <v>46569</v>
      </c>
      <c r="R50" s="345">
        <v>0</v>
      </c>
      <c r="S50" s="346">
        <f t="shared" si="3"/>
        <v>0</v>
      </c>
      <c r="T50" s="347">
        <f>S50*'Cash-flow PLAN'!$D$57/12</f>
        <v>0</v>
      </c>
    </row>
    <row r="51" spans="2:20" ht="14">
      <c r="B51" s="349">
        <v>46600</v>
      </c>
      <c r="C51" s="345"/>
      <c r="D51" s="346">
        <f t="shared" si="0"/>
        <v>-16365002</v>
      </c>
      <c r="E51" s="347">
        <f>D51*'Cash-flow PLAN'!$D$54/12</f>
        <v>-143193.76749999999</v>
      </c>
      <c r="G51" s="349">
        <v>46600</v>
      </c>
      <c r="H51" s="345">
        <v>0</v>
      </c>
      <c r="I51" s="346">
        <f t="shared" si="1"/>
        <v>0</v>
      </c>
      <c r="J51" s="347">
        <f>I51*'Cash-flow M 22.7.'!$D$58/12</f>
        <v>0</v>
      </c>
      <c r="L51" s="349">
        <v>46600</v>
      </c>
      <c r="M51" s="345">
        <v>0</v>
      </c>
      <c r="N51" s="346">
        <f t="shared" si="2"/>
        <v>0</v>
      </c>
      <c r="O51" s="347">
        <f>N51*'Cash-flow PLAN'!$D$56/12</f>
        <v>0</v>
      </c>
      <c r="Q51" s="349">
        <v>46600</v>
      </c>
      <c r="R51" s="345">
        <v>0</v>
      </c>
      <c r="S51" s="346">
        <f t="shared" si="3"/>
        <v>0</v>
      </c>
      <c r="T51" s="347">
        <f>S51*'Cash-flow PLAN'!$D$57/12</f>
        <v>0</v>
      </c>
    </row>
    <row r="52" spans="2:20" ht="14">
      <c r="B52" s="349">
        <v>46631</v>
      </c>
      <c r="C52" s="345"/>
      <c r="D52" s="346">
        <f t="shared" si="0"/>
        <v>-16365002</v>
      </c>
      <c r="E52" s="347">
        <f>D52*'Cash-flow PLAN'!$D$54/12</f>
        <v>-143193.76749999999</v>
      </c>
      <c r="G52" s="349">
        <v>46631</v>
      </c>
      <c r="H52" s="345">
        <v>0</v>
      </c>
      <c r="I52" s="346">
        <f t="shared" si="1"/>
        <v>0</v>
      </c>
      <c r="J52" s="347">
        <f>I52*'Cash-flow M 22.7.'!$D$58/12</f>
        <v>0</v>
      </c>
      <c r="L52" s="349">
        <v>46631</v>
      </c>
      <c r="M52" s="345">
        <v>0</v>
      </c>
      <c r="N52" s="346">
        <f t="shared" si="2"/>
        <v>0</v>
      </c>
      <c r="O52" s="347">
        <f>N52*'Cash-flow PLAN'!$D$56/12</f>
        <v>0</v>
      </c>
      <c r="Q52" s="349">
        <v>46631</v>
      </c>
      <c r="R52" s="345">
        <v>0</v>
      </c>
      <c r="S52" s="346">
        <f t="shared" si="3"/>
        <v>0</v>
      </c>
      <c r="T52" s="347">
        <f>S52*'Cash-flow PLAN'!$D$57/12</f>
        <v>0</v>
      </c>
    </row>
    <row r="53" spans="2:20" ht="14">
      <c r="B53" s="349">
        <v>46661</v>
      </c>
      <c r="C53" s="345"/>
      <c r="D53" s="346">
        <f t="shared" si="0"/>
        <v>-16365002</v>
      </c>
      <c r="E53" s="347">
        <f>D53*'Cash-flow PLAN'!$D$54/12</f>
        <v>-143193.76749999999</v>
      </c>
      <c r="G53" s="349">
        <v>46661</v>
      </c>
      <c r="H53" s="345">
        <v>0</v>
      </c>
      <c r="I53" s="346">
        <f t="shared" si="1"/>
        <v>0</v>
      </c>
      <c r="J53" s="347">
        <f>I53*'Cash-flow M 22.7.'!$D$58/12</f>
        <v>0</v>
      </c>
      <c r="L53" s="349">
        <v>46661</v>
      </c>
      <c r="M53" s="345">
        <v>0</v>
      </c>
      <c r="N53" s="346">
        <f t="shared" si="2"/>
        <v>0</v>
      </c>
      <c r="O53" s="347">
        <f>N53*'Cash-flow PLAN'!$D$56/12</f>
        <v>0</v>
      </c>
      <c r="Q53" s="349">
        <v>46661</v>
      </c>
      <c r="R53" s="345">
        <v>0</v>
      </c>
      <c r="S53" s="346">
        <f t="shared" si="3"/>
        <v>0</v>
      </c>
      <c r="T53" s="347">
        <f>S53*'Cash-flow PLAN'!$D$57/12</f>
        <v>0</v>
      </c>
    </row>
    <row r="54" spans="2:20" ht="14">
      <c r="B54" s="349">
        <v>46692</v>
      </c>
      <c r="C54" s="345"/>
      <c r="D54" s="346">
        <f t="shared" si="0"/>
        <v>-16365002</v>
      </c>
      <c r="E54" s="347">
        <f>D54*'Cash-flow PLAN'!$D$54/12</f>
        <v>-143193.76749999999</v>
      </c>
      <c r="G54" s="349">
        <v>46692</v>
      </c>
      <c r="H54" s="345">
        <v>0</v>
      </c>
      <c r="I54" s="346">
        <f t="shared" si="1"/>
        <v>0</v>
      </c>
      <c r="J54" s="347">
        <f>I54*'Cash-flow M 22.7.'!$D$58/12</f>
        <v>0</v>
      </c>
      <c r="L54" s="349">
        <v>46692</v>
      </c>
      <c r="M54" s="345">
        <v>0</v>
      </c>
      <c r="N54" s="346">
        <f t="shared" si="2"/>
        <v>0</v>
      </c>
      <c r="O54" s="347">
        <f>N54*'Cash-flow PLAN'!$D$56/12</f>
        <v>0</v>
      </c>
      <c r="Q54" s="349">
        <v>46692</v>
      </c>
      <c r="R54" s="345">
        <v>0</v>
      </c>
      <c r="S54" s="346">
        <f t="shared" si="3"/>
        <v>0</v>
      </c>
      <c r="T54" s="347">
        <f>S54*'Cash-flow PLAN'!$D$57/12</f>
        <v>0</v>
      </c>
    </row>
    <row r="55" spans="2:20" ht="14">
      <c r="B55" s="349">
        <v>46722</v>
      </c>
      <c r="C55" s="345"/>
      <c r="D55" s="346">
        <f t="shared" si="0"/>
        <v>-16365002</v>
      </c>
      <c r="E55" s="347">
        <f>D55*'Cash-flow PLAN'!$D$54/12</f>
        <v>-143193.76749999999</v>
      </c>
      <c r="G55" s="349">
        <v>46722</v>
      </c>
      <c r="H55" s="345">
        <v>0</v>
      </c>
      <c r="I55" s="346">
        <f t="shared" si="1"/>
        <v>0</v>
      </c>
      <c r="J55" s="347">
        <f>I55*'Cash-flow M 22.7.'!$D$58/12</f>
        <v>0</v>
      </c>
      <c r="L55" s="349">
        <v>46722</v>
      </c>
      <c r="M55" s="345">
        <v>0</v>
      </c>
      <c r="N55" s="346">
        <f t="shared" si="2"/>
        <v>0</v>
      </c>
      <c r="O55" s="347">
        <f>N55*'Cash-flow PLAN'!$D$56/12</f>
        <v>0</v>
      </c>
      <c r="Q55" s="349">
        <v>46722</v>
      </c>
      <c r="R55" s="345">
        <v>0</v>
      </c>
      <c r="S55" s="346">
        <f t="shared" si="3"/>
        <v>0</v>
      </c>
      <c r="T55" s="347">
        <f>S55*'Cash-flow PLAN'!$D$57/12</f>
        <v>0</v>
      </c>
    </row>
    <row r="56" spans="2:20" ht="14">
      <c r="B56" s="344">
        <v>46753</v>
      </c>
      <c r="C56" s="345"/>
      <c r="D56" s="346">
        <f t="shared" si="0"/>
        <v>-16365002</v>
      </c>
      <c r="E56" s="347">
        <f>D56*'Cash-flow PLAN'!$D$54/12</f>
        <v>-143193.76749999999</v>
      </c>
      <c r="G56" s="344">
        <v>46753</v>
      </c>
      <c r="H56" s="345">
        <v>0</v>
      </c>
      <c r="I56" s="346">
        <f t="shared" si="1"/>
        <v>0</v>
      </c>
      <c r="J56" s="347">
        <f>I56*'Cash-flow M 22.7.'!$D$58/12</f>
        <v>0</v>
      </c>
      <c r="L56" s="344">
        <v>46753</v>
      </c>
      <c r="M56" s="345">
        <v>0</v>
      </c>
      <c r="N56" s="346">
        <f t="shared" si="2"/>
        <v>0</v>
      </c>
      <c r="O56" s="347">
        <f>N56*'Cash-flow PLAN'!$D$56/12</f>
        <v>0</v>
      </c>
      <c r="Q56" s="344">
        <v>46753</v>
      </c>
      <c r="R56" s="345">
        <v>0</v>
      </c>
      <c r="S56" s="346">
        <f t="shared" si="3"/>
        <v>0</v>
      </c>
      <c r="T56" s="347">
        <f>S56*'Cash-flow PLAN'!$D$57/12</f>
        <v>0</v>
      </c>
    </row>
    <row r="57" spans="2:20" ht="14">
      <c r="B57" s="349">
        <v>46784</v>
      </c>
      <c r="C57" s="345"/>
      <c r="D57" s="346">
        <f t="shared" si="0"/>
        <v>-16365002</v>
      </c>
      <c r="E57" s="347">
        <f>D57*'Cash-flow PLAN'!$D$54/12</f>
        <v>-143193.76749999999</v>
      </c>
      <c r="G57" s="349">
        <v>46784</v>
      </c>
      <c r="H57" s="345">
        <v>0</v>
      </c>
      <c r="I57" s="346">
        <f t="shared" si="1"/>
        <v>0</v>
      </c>
      <c r="J57" s="347">
        <f>I57*'Cash-flow M 22.7.'!$D$58/12</f>
        <v>0</v>
      </c>
      <c r="L57" s="349">
        <v>46784</v>
      </c>
      <c r="M57" s="345">
        <v>0</v>
      </c>
      <c r="N57" s="346">
        <f t="shared" si="2"/>
        <v>0</v>
      </c>
      <c r="O57" s="347">
        <f>N57*'Cash-flow PLAN'!$D$56/12</f>
        <v>0</v>
      </c>
      <c r="Q57" s="349">
        <v>46784</v>
      </c>
      <c r="R57" s="345">
        <v>0</v>
      </c>
      <c r="S57" s="346">
        <f t="shared" si="3"/>
        <v>0</v>
      </c>
      <c r="T57" s="347">
        <f>S57*'Cash-flow PLAN'!$D$57/12</f>
        <v>0</v>
      </c>
    </row>
    <row r="58" spans="2:20" ht="14">
      <c r="B58" s="349">
        <v>46813</v>
      </c>
      <c r="C58" s="345"/>
      <c r="D58" s="346">
        <f t="shared" si="0"/>
        <v>-16365002</v>
      </c>
      <c r="E58" s="347">
        <f>D58*'Cash-flow PLAN'!$D$54/12</f>
        <v>-143193.76749999999</v>
      </c>
      <c r="G58" s="349">
        <v>46813</v>
      </c>
      <c r="H58" s="345">
        <v>0</v>
      </c>
      <c r="I58" s="346">
        <f t="shared" si="1"/>
        <v>0</v>
      </c>
      <c r="J58" s="347">
        <f>I58*'Cash-flow M 22.7.'!$D$58/12</f>
        <v>0</v>
      </c>
      <c r="L58" s="349">
        <v>46813</v>
      </c>
      <c r="M58" s="345">
        <v>0</v>
      </c>
      <c r="N58" s="346">
        <f t="shared" si="2"/>
        <v>0</v>
      </c>
      <c r="O58" s="347">
        <f>N58*'Cash-flow PLAN'!$D$56/12</f>
        <v>0</v>
      </c>
      <c r="Q58" s="349">
        <v>46813</v>
      </c>
      <c r="R58" s="345">
        <v>0</v>
      </c>
      <c r="S58" s="346">
        <f t="shared" si="3"/>
        <v>0</v>
      </c>
      <c r="T58" s="347">
        <f>S58*'Cash-flow PLAN'!$D$57/12</f>
        <v>0</v>
      </c>
    </row>
    <row r="59" spans="2:20" ht="14">
      <c r="B59" s="349">
        <v>46844</v>
      </c>
      <c r="C59" s="345"/>
      <c r="D59" s="346">
        <f t="shared" si="0"/>
        <v>-16365002</v>
      </c>
      <c r="E59" s="347">
        <f>D59*'Cash-flow PLAN'!$D$54/12</f>
        <v>-143193.76749999999</v>
      </c>
      <c r="G59" s="349">
        <v>46844</v>
      </c>
      <c r="H59" s="345">
        <v>0</v>
      </c>
      <c r="I59" s="346">
        <f t="shared" si="1"/>
        <v>0</v>
      </c>
      <c r="J59" s="347">
        <f>I59*'Cash-flow M 22.7.'!$D$58/12</f>
        <v>0</v>
      </c>
      <c r="L59" s="349">
        <v>46844</v>
      </c>
      <c r="M59" s="345">
        <v>0</v>
      </c>
      <c r="N59" s="346">
        <f t="shared" si="2"/>
        <v>0</v>
      </c>
      <c r="O59" s="347">
        <f>N59*'Cash-flow PLAN'!$D$56/12</f>
        <v>0</v>
      </c>
      <c r="Q59" s="349">
        <v>46844</v>
      </c>
      <c r="R59" s="345">
        <v>0</v>
      </c>
      <c r="S59" s="346">
        <f t="shared" si="3"/>
        <v>0</v>
      </c>
      <c r="T59" s="347">
        <f>S59*'Cash-flow PLAN'!$D$57/12</f>
        <v>0</v>
      </c>
    </row>
    <row r="60" spans="2:20" ht="14">
      <c r="B60" s="349">
        <v>46874</v>
      </c>
      <c r="C60" s="345"/>
      <c r="D60" s="346">
        <f t="shared" si="0"/>
        <v>-16365002</v>
      </c>
      <c r="E60" s="347">
        <f>D60*'Cash-flow PLAN'!$D$54/12</f>
        <v>-143193.76749999999</v>
      </c>
      <c r="G60" s="349">
        <v>46874</v>
      </c>
      <c r="H60" s="345">
        <v>0</v>
      </c>
      <c r="I60" s="346">
        <f t="shared" si="1"/>
        <v>0</v>
      </c>
      <c r="J60" s="347">
        <f>I60*'Cash-flow M 22.7.'!$D$58/12</f>
        <v>0</v>
      </c>
      <c r="L60" s="349">
        <v>46874</v>
      </c>
      <c r="M60" s="345">
        <v>0</v>
      </c>
      <c r="N60" s="346">
        <f t="shared" si="2"/>
        <v>0</v>
      </c>
      <c r="O60" s="347">
        <f>N60*'Cash-flow PLAN'!$D$56/12</f>
        <v>0</v>
      </c>
      <c r="Q60" s="349">
        <v>46874</v>
      </c>
      <c r="R60" s="345">
        <v>0</v>
      </c>
      <c r="S60" s="346">
        <f t="shared" si="3"/>
        <v>0</v>
      </c>
      <c r="T60" s="347">
        <f>S60*'Cash-flow PLAN'!$D$57/12</f>
        <v>0</v>
      </c>
    </row>
    <row r="61" spans="2:20" ht="14">
      <c r="B61" s="350">
        <v>46905</v>
      </c>
      <c r="C61" s="345"/>
      <c r="D61" s="346">
        <f t="shared" si="0"/>
        <v>-16365002</v>
      </c>
      <c r="E61" s="347">
        <f>D61*'Cash-flow PLAN'!$D$54/12</f>
        <v>-143193.76749999999</v>
      </c>
      <c r="G61" s="350">
        <v>46905</v>
      </c>
      <c r="H61" s="345">
        <v>0</v>
      </c>
      <c r="I61" s="346">
        <f t="shared" si="1"/>
        <v>0</v>
      </c>
      <c r="J61" s="347">
        <f>I61*'Cash-flow M 22.7.'!$D$58/12</f>
        <v>0</v>
      </c>
      <c r="L61" s="350">
        <v>46905</v>
      </c>
      <c r="M61" s="345">
        <v>0</v>
      </c>
      <c r="N61" s="346">
        <f t="shared" si="2"/>
        <v>0</v>
      </c>
      <c r="O61" s="347">
        <f>N61*'Cash-flow PLAN'!$D$56/12</f>
        <v>0</v>
      </c>
      <c r="Q61" s="350">
        <v>46905</v>
      </c>
      <c r="R61" s="345">
        <v>0</v>
      </c>
      <c r="S61" s="346">
        <f t="shared" si="3"/>
        <v>0</v>
      </c>
      <c r="T61" s="347">
        <f>S61*'Cash-flow PLAN'!$D$57/12</f>
        <v>0</v>
      </c>
    </row>
    <row r="62" spans="2:20" ht="14">
      <c r="B62" s="349">
        <v>46935</v>
      </c>
      <c r="C62" s="345"/>
      <c r="D62" s="346">
        <f t="shared" si="0"/>
        <v>-16365002</v>
      </c>
      <c r="E62" s="347">
        <f>D62*'Cash-flow PLAN'!$D$54/12</f>
        <v>-143193.76749999999</v>
      </c>
      <c r="G62" s="349">
        <v>46935</v>
      </c>
      <c r="H62" s="345">
        <v>0</v>
      </c>
      <c r="I62" s="346">
        <f t="shared" si="1"/>
        <v>0</v>
      </c>
      <c r="J62" s="347">
        <f>I62*'Cash-flow M 22.7.'!$D$58/12</f>
        <v>0</v>
      </c>
      <c r="L62" s="349">
        <v>46935</v>
      </c>
      <c r="M62" s="345">
        <v>0</v>
      </c>
      <c r="N62" s="346">
        <f t="shared" si="2"/>
        <v>0</v>
      </c>
      <c r="O62" s="347">
        <f>N62*'Cash-flow PLAN'!$D$56/12</f>
        <v>0</v>
      </c>
      <c r="Q62" s="349">
        <v>46935</v>
      </c>
      <c r="R62" s="345">
        <v>0</v>
      </c>
      <c r="S62" s="346">
        <f t="shared" si="3"/>
        <v>0</v>
      </c>
      <c r="T62" s="347">
        <f>S62*'Cash-flow PLAN'!$D$57/12</f>
        <v>0</v>
      </c>
    </row>
    <row r="63" spans="2:20" ht="14">
      <c r="B63" s="349">
        <v>46966</v>
      </c>
      <c r="C63" s="345"/>
      <c r="D63" s="346">
        <f t="shared" si="0"/>
        <v>-16365002</v>
      </c>
      <c r="E63" s="347">
        <f>D63*'Cash-flow PLAN'!$D$54/12</f>
        <v>-143193.76749999999</v>
      </c>
      <c r="G63" s="349">
        <v>46966</v>
      </c>
      <c r="H63" s="345">
        <v>0</v>
      </c>
      <c r="I63" s="346">
        <f t="shared" si="1"/>
        <v>0</v>
      </c>
      <c r="J63" s="347">
        <f>I63*'Cash-flow M 22.7.'!$D$58/12</f>
        <v>0</v>
      </c>
      <c r="L63" s="349">
        <v>46966</v>
      </c>
      <c r="M63" s="345">
        <v>0</v>
      </c>
      <c r="N63" s="346">
        <f t="shared" si="2"/>
        <v>0</v>
      </c>
      <c r="O63" s="347">
        <f>N63*'Cash-flow PLAN'!$D$56/12</f>
        <v>0</v>
      </c>
      <c r="Q63" s="349">
        <v>46966</v>
      </c>
      <c r="R63" s="345">
        <v>0</v>
      </c>
      <c r="S63" s="346">
        <f t="shared" si="3"/>
        <v>0</v>
      </c>
      <c r="T63" s="347">
        <f>S63*'Cash-flow PLAN'!$D$57/12</f>
        <v>0</v>
      </c>
    </row>
    <row r="64" spans="2:20" ht="14">
      <c r="B64" s="349">
        <v>46997</v>
      </c>
      <c r="C64" s="345"/>
      <c r="D64" s="346">
        <f t="shared" si="0"/>
        <v>-16365002</v>
      </c>
      <c r="E64" s="347">
        <f>D64*'Cash-flow PLAN'!$D$54/12</f>
        <v>-143193.76749999999</v>
      </c>
      <c r="G64" s="349">
        <v>46997</v>
      </c>
      <c r="H64" s="345">
        <v>0</v>
      </c>
      <c r="I64" s="346">
        <f t="shared" si="1"/>
        <v>0</v>
      </c>
      <c r="J64" s="347">
        <f>I64*'Cash-flow M 22.7.'!$D$58/12</f>
        <v>0</v>
      </c>
      <c r="L64" s="349">
        <v>46997</v>
      </c>
      <c r="M64" s="345">
        <v>0</v>
      </c>
      <c r="N64" s="346">
        <f t="shared" si="2"/>
        <v>0</v>
      </c>
      <c r="O64" s="347">
        <f>N64*'Cash-flow PLAN'!$D$56/12</f>
        <v>0</v>
      </c>
      <c r="Q64" s="349">
        <v>46997</v>
      </c>
      <c r="R64" s="345">
        <v>0</v>
      </c>
      <c r="S64" s="346">
        <f t="shared" si="3"/>
        <v>0</v>
      </c>
      <c r="T64" s="347">
        <f>S64*'Cash-flow PLAN'!$D$57/12</f>
        <v>0</v>
      </c>
    </row>
    <row r="65" spans="2:20" ht="14">
      <c r="B65" s="349">
        <v>47027</v>
      </c>
      <c r="C65" s="345"/>
      <c r="D65" s="346">
        <f t="shared" si="0"/>
        <v>-16365002</v>
      </c>
      <c r="E65" s="347">
        <f>D65*'Cash-flow PLAN'!$D$54/12</f>
        <v>-143193.76749999999</v>
      </c>
      <c r="G65" s="349">
        <v>47027</v>
      </c>
      <c r="H65" s="345">
        <v>0</v>
      </c>
      <c r="I65" s="346">
        <f t="shared" si="1"/>
        <v>0</v>
      </c>
      <c r="J65" s="347">
        <f>I65*'Cash-flow M 22.7.'!$D$58/12</f>
        <v>0</v>
      </c>
      <c r="L65" s="349">
        <v>47027</v>
      </c>
      <c r="M65" s="345">
        <v>0</v>
      </c>
      <c r="N65" s="346">
        <f t="shared" si="2"/>
        <v>0</v>
      </c>
      <c r="O65" s="347">
        <f>N65*'Cash-flow PLAN'!$D$56/12</f>
        <v>0</v>
      </c>
      <c r="Q65" s="349">
        <v>47027</v>
      </c>
      <c r="R65" s="345">
        <v>0</v>
      </c>
      <c r="S65" s="346">
        <f t="shared" si="3"/>
        <v>0</v>
      </c>
      <c r="T65" s="347">
        <f>S65*'Cash-flow PLAN'!$D$57/12</f>
        <v>0</v>
      </c>
    </row>
    <row r="66" spans="2:20" ht="14">
      <c r="B66" s="349">
        <v>47058</v>
      </c>
      <c r="C66" s="345"/>
      <c r="D66" s="346">
        <f t="shared" si="0"/>
        <v>-16365002</v>
      </c>
      <c r="E66" s="347">
        <f>D66*'Cash-flow PLAN'!$D$54/12</f>
        <v>-143193.76749999999</v>
      </c>
      <c r="G66" s="349">
        <v>47058</v>
      </c>
      <c r="H66" s="345">
        <v>0</v>
      </c>
      <c r="I66" s="346">
        <f t="shared" si="1"/>
        <v>0</v>
      </c>
      <c r="J66" s="347">
        <f>I66*'Cash-flow M 22.7.'!$D$58/12</f>
        <v>0</v>
      </c>
      <c r="L66" s="349">
        <v>47058</v>
      </c>
      <c r="M66" s="345">
        <v>0</v>
      </c>
      <c r="N66" s="346">
        <f t="shared" si="2"/>
        <v>0</v>
      </c>
      <c r="O66" s="347">
        <f>N66*'Cash-flow PLAN'!$D$56/12</f>
        <v>0</v>
      </c>
      <c r="Q66" s="349">
        <v>47058</v>
      </c>
      <c r="R66" s="345">
        <v>0</v>
      </c>
      <c r="S66" s="346">
        <f t="shared" si="3"/>
        <v>0</v>
      </c>
      <c r="T66" s="347">
        <f>S66*'Cash-flow PLAN'!$D$57/12</f>
        <v>0</v>
      </c>
    </row>
    <row r="67" spans="2:20" ht="14">
      <c r="B67" s="349">
        <v>47088</v>
      </c>
      <c r="C67" s="466"/>
      <c r="D67" s="346">
        <f t="shared" si="0"/>
        <v>-16365002</v>
      </c>
      <c r="E67" s="347">
        <f>D67*'Cash-flow PLAN'!$D$54/12</f>
        <v>-143193.76749999999</v>
      </c>
      <c r="G67" s="349">
        <v>47088</v>
      </c>
      <c r="H67" s="345">
        <v>0</v>
      </c>
      <c r="I67" s="346">
        <f t="shared" si="1"/>
        <v>0</v>
      </c>
      <c r="J67" s="347">
        <f>I67*'Cash-flow M 22.7.'!$D$58/12</f>
        <v>0</v>
      </c>
      <c r="L67" s="349">
        <v>47088</v>
      </c>
      <c r="M67" s="345">
        <v>0</v>
      </c>
      <c r="N67" s="346">
        <f t="shared" si="2"/>
        <v>0</v>
      </c>
      <c r="O67" s="347">
        <f>N67*'Cash-flow PLAN'!$D$56/12</f>
        <v>0</v>
      </c>
      <c r="Q67" s="349">
        <v>47088</v>
      </c>
      <c r="R67" s="345">
        <v>0</v>
      </c>
      <c r="S67" s="346">
        <f t="shared" si="3"/>
        <v>0</v>
      </c>
      <c r="T67" s="347">
        <f>S67*'Cash-flow PLAN'!$D$57/12</f>
        <v>0</v>
      </c>
    </row>
    <row r="68" spans="2:20" ht="14">
      <c r="B68" s="344">
        <v>47119</v>
      </c>
      <c r="C68" s="466"/>
      <c r="D68" s="346">
        <f t="shared" si="0"/>
        <v>-16365002</v>
      </c>
      <c r="E68" s="347">
        <f>D68*'Cash-flow PLAN'!$D$54/12</f>
        <v>-143193.76749999999</v>
      </c>
      <c r="G68" s="344">
        <v>47119</v>
      </c>
      <c r="H68" s="345">
        <v>0</v>
      </c>
      <c r="I68" s="346">
        <f t="shared" si="1"/>
        <v>0</v>
      </c>
      <c r="J68" s="347">
        <f>I68*'Cash-flow M 22.7.'!$D$58/12</f>
        <v>0</v>
      </c>
      <c r="L68" s="344">
        <v>47119</v>
      </c>
      <c r="M68" s="345">
        <v>0</v>
      </c>
      <c r="N68" s="346">
        <f t="shared" si="2"/>
        <v>0</v>
      </c>
      <c r="O68" s="347">
        <f>N68*'Cash-flow PLAN'!$D$56/12</f>
        <v>0</v>
      </c>
      <c r="Q68" s="344">
        <v>47119</v>
      </c>
      <c r="R68" s="345">
        <v>0</v>
      </c>
      <c r="S68" s="346">
        <f t="shared" si="3"/>
        <v>0</v>
      </c>
      <c r="T68" s="347">
        <f>S68*'Cash-flow PLAN'!$D$57/12</f>
        <v>0</v>
      </c>
    </row>
    <row r="69" spans="2:20" ht="14">
      <c r="B69" s="349">
        <v>47150</v>
      </c>
      <c r="C69" s="466"/>
      <c r="D69" s="346">
        <f t="shared" si="0"/>
        <v>-16365002</v>
      </c>
      <c r="E69" s="347">
        <f>D69*'Cash-flow PLAN'!$D$54/12</f>
        <v>-143193.76749999999</v>
      </c>
      <c r="G69" s="349">
        <v>47150</v>
      </c>
      <c r="H69" s="345">
        <v>0</v>
      </c>
      <c r="I69" s="346">
        <f t="shared" si="1"/>
        <v>0</v>
      </c>
      <c r="J69" s="347">
        <f>I69*'Cash-flow M 22.7.'!$D$58/12</f>
        <v>0</v>
      </c>
      <c r="L69" s="349">
        <v>47150</v>
      </c>
      <c r="M69" s="345">
        <v>0</v>
      </c>
      <c r="N69" s="346">
        <f t="shared" si="2"/>
        <v>0</v>
      </c>
      <c r="O69" s="347">
        <f>N69*'Cash-flow PLAN'!$D$56/12</f>
        <v>0</v>
      </c>
      <c r="Q69" s="349">
        <v>47150</v>
      </c>
      <c r="R69" s="345">
        <v>0</v>
      </c>
      <c r="S69" s="346">
        <f t="shared" si="3"/>
        <v>0</v>
      </c>
      <c r="T69" s="347">
        <f>S69*'Cash-flow PLAN'!$D$57/12</f>
        <v>0</v>
      </c>
    </row>
    <row r="70" spans="2:20" ht="14">
      <c r="B70" s="349">
        <v>47178</v>
      </c>
      <c r="C70" s="466"/>
      <c r="D70" s="346">
        <f t="shared" si="0"/>
        <v>-16365002</v>
      </c>
      <c r="E70" s="347">
        <f>D70*'Cash-flow PLAN'!$D$54/12</f>
        <v>-143193.76749999999</v>
      </c>
      <c r="G70" s="349">
        <v>47178</v>
      </c>
      <c r="H70" s="345">
        <v>0</v>
      </c>
      <c r="I70" s="346">
        <f t="shared" si="1"/>
        <v>0</v>
      </c>
      <c r="J70" s="347">
        <f>I70*'Cash-flow M 22.7.'!$D$58/12</f>
        <v>0</v>
      </c>
      <c r="L70" s="349">
        <v>47178</v>
      </c>
      <c r="M70" s="345">
        <v>0</v>
      </c>
      <c r="N70" s="346">
        <f t="shared" si="2"/>
        <v>0</v>
      </c>
      <c r="O70" s="347">
        <f>N70*'Cash-flow PLAN'!$D$56/12</f>
        <v>0</v>
      </c>
      <c r="Q70" s="349">
        <v>47178</v>
      </c>
      <c r="R70" s="345">
        <v>0</v>
      </c>
      <c r="S70" s="346">
        <f t="shared" si="3"/>
        <v>0</v>
      </c>
      <c r="T70" s="347">
        <f>S70*'Cash-flow PLAN'!$D$57/12</f>
        <v>0</v>
      </c>
    </row>
    <row r="71" spans="2:20" ht="14">
      <c r="B71" s="349">
        <v>47209</v>
      </c>
      <c r="C71" s="466"/>
      <c r="D71" s="346">
        <f t="shared" si="0"/>
        <v>-16365002</v>
      </c>
      <c r="E71" s="347">
        <f>D71*'Cash-flow PLAN'!$D$54/12</f>
        <v>-143193.76749999999</v>
      </c>
      <c r="G71" s="349">
        <v>47209</v>
      </c>
      <c r="H71" s="345">
        <v>0</v>
      </c>
      <c r="I71" s="346">
        <f t="shared" si="1"/>
        <v>0</v>
      </c>
      <c r="J71" s="347">
        <f>I71*'Cash-flow M 22.7.'!$D$58/12</f>
        <v>0</v>
      </c>
      <c r="L71" s="349">
        <v>47209</v>
      </c>
      <c r="M71" s="345">
        <v>0</v>
      </c>
      <c r="N71" s="346">
        <f t="shared" si="2"/>
        <v>0</v>
      </c>
      <c r="O71" s="347">
        <f>N71*'Cash-flow PLAN'!$D$56/12</f>
        <v>0</v>
      </c>
      <c r="Q71" s="349">
        <v>47209</v>
      </c>
      <c r="R71" s="345">
        <v>0</v>
      </c>
      <c r="S71" s="346">
        <f t="shared" si="3"/>
        <v>0</v>
      </c>
      <c r="T71" s="347">
        <f>S71*'Cash-flow PLAN'!$D$57/12</f>
        <v>0</v>
      </c>
    </row>
    <row r="72" spans="2:20" ht="14">
      <c r="B72" s="349">
        <v>47239</v>
      </c>
      <c r="C72" s="466"/>
      <c r="D72" s="346">
        <f t="shared" si="0"/>
        <v>-16365002</v>
      </c>
      <c r="E72" s="347">
        <f>D72*'Cash-flow PLAN'!$D$54/12</f>
        <v>-143193.76749999999</v>
      </c>
      <c r="G72" s="349">
        <v>47239</v>
      </c>
      <c r="H72" s="345">
        <v>0</v>
      </c>
      <c r="I72" s="346">
        <f t="shared" si="1"/>
        <v>0</v>
      </c>
      <c r="J72" s="347">
        <f>I72*'Cash-flow M 22.7.'!$D$58/12</f>
        <v>0</v>
      </c>
      <c r="L72" s="349">
        <v>47239</v>
      </c>
      <c r="M72" s="345">
        <v>0</v>
      </c>
      <c r="N72" s="346">
        <f t="shared" si="2"/>
        <v>0</v>
      </c>
      <c r="O72" s="347">
        <f>N72*'Cash-flow PLAN'!$D$56/12</f>
        <v>0</v>
      </c>
      <c r="Q72" s="349">
        <v>47239</v>
      </c>
      <c r="R72" s="345">
        <v>0</v>
      </c>
      <c r="S72" s="346">
        <f t="shared" si="3"/>
        <v>0</v>
      </c>
      <c r="T72" s="347">
        <f>S72*'Cash-flow PLAN'!$D$57/12</f>
        <v>0</v>
      </c>
    </row>
    <row r="73" spans="2:20" ht="14">
      <c r="B73" s="350">
        <v>47270</v>
      </c>
      <c r="C73" s="466"/>
      <c r="D73" s="346">
        <f t="shared" si="0"/>
        <v>-16365002</v>
      </c>
      <c r="E73" s="347">
        <f>D73*'Cash-flow PLAN'!$D$54/12</f>
        <v>-143193.76749999999</v>
      </c>
      <c r="G73" s="350">
        <v>47270</v>
      </c>
      <c r="H73" s="345">
        <v>0</v>
      </c>
      <c r="I73" s="346">
        <f t="shared" si="1"/>
        <v>0</v>
      </c>
      <c r="J73" s="347">
        <f>I73*'Cash-flow M 22.7.'!$D$58/12</f>
        <v>0</v>
      </c>
      <c r="L73" s="350">
        <v>47270</v>
      </c>
      <c r="M73" s="345">
        <v>0</v>
      </c>
      <c r="N73" s="346">
        <f t="shared" si="2"/>
        <v>0</v>
      </c>
      <c r="O73" s="347">
        <f>N73*'Cash-flow PLAN'!$D$56/12</f>
        <v>0</v>
      </c>
      <c r="Q73" s="350">
        <v>47270</v>
      </c>
      <c r="R73" s="345">
        <v>0</v>
      </c>
      <c r="S73" s="346">
        <f t="shared" si="3"/>
        <v>0</v>
      </c>
      <c r="T73" s="347">
        <f>S73*'Cash-flow PLAN'!$D$57/12</f>
        <v>0</v>
      </c>
    </row>
    <row r="74" spans="2:20" ht="14">
      <c r="B74" s="349">
        <v>47300</v>
      </c>
      <c r="C74" s="466"/>
      <c r="D74" s="346">
        <f t="shared" si="0"/>
        <v>-16365002</v>
      </c>
      <c r="E74" s="347">
        <f>D74*'Cash-flow PLAN'!$D$54/12</f>
        <v>-143193.76749999999</v>
      </c>
      <c r="G74" s="349">
        <v>47300</v>
      </c>
      <c r="H74" s="345">
        <v>0</v>
      </c>
      <c r="I74" s="346">
        <f t="shared" si="1"/>
        <v>0</v>
      </c>
      <c r="J74" s="347">
        <f>I74*'Cash-flow M 22.7.'!$D$58/12</f>
        <v>0</v>
      </c>
      <c r="L74" s="349">
        <v>47300</v>
      </c>
      <c r="M74" s="345">
        <v>0</v>
      </c>
      <c r="N74" s="346">
        <f t="shared" si="2"/>
        <v>0</v>
      </c>
      <c r="O74" s="347">
        <f>N74*'Cash-flow PLAN'!$D$56/12</f>
        <v>0</v>
      </c>
      <c r="Q74" s="349">
        <v>47300</v>
      </c>
      <c r="R74" s="345">
        <v>0</v>
      </c>
      <c r="S74" s="346">
        <f t="shared" si="3"/>
        <v>0</v>
      </c>
      <c r="T74" s="347">
        <f>S74*'Cash-flow PLAN'!$D$57/12</f>
        <v>0</v>
      </c>
    </row>
    <row r="75" spans="2:20" ht="14">
      <c r="B75" s="349">
        <v>47331</v>
      </c>
      <c r="C75" s="466"/>
      <c r="D75" s="346">
        <f t="shared" si="0"/>
        <v>-16365002</v>
      </c>
      <c r="E75" s="347">
        <f>D75*'Cash-flow PLAN'!$D$54/12</f>
        <v>-143193.76749999999</v>
      </c>
      <c r="G75" s="349">
        <v>47331</v>
      </c>
      <c r="H75" s="345">
        <v>0</v>
      </c>
      <c r="I75" s="346">
        <f t="shared" si="1"/>
        <v>0</v>
      </c>
      <c r="J75" s="347">
        <f>I75*'Cash-flow M 22.7.'!$D$58/12</f>
        <v>0</v>
      </c>
      <c r="L75" s="349">
        <v>47331</v>
      </c>
      <c r="M75" s="345">
        <v>0</v>
      </c>
      <c r="N75" s="346">
        <f t="shared" si="2"/>
        <v>0</v>
      </c>
      <c r="O75" s="347">
        <f>N75*'Cash-flow PLAN'!$D$56/12</f>
        <v>0</v>
      </c>
      <c r="Q75" s="349">
        <v>47331</v>
      </c>
      <c r="R75" s="345">
        <v>0</v>
      </c>
      <c r="S75" s="346">
        <f t="shared" si="3"/>
        <v>0</v>
      </c>
      <c r="T75" s="347">
        <f>S75*'Cash-flow PLAN'!$D$57/12</f>
        <v>0</v>
      </c>
    </row>
    <row r="76" spans="2:20" ht="14">
      <c r="B76" s="349">
        <v>47362</v>
      </c>
      <c r="C76" s="466"/>
      <c r="D76" s="346">
        <f t="shared" si="0"/>
        <v>-16365002</v>
      </c>
      <c r="E76" s="347">
        <f>D76*'Cash-flow PLAN'!$D$54/12</f>
        <v>-143193.76749999999</v>
      </c>
      <c r="G76" s="349">
        <v>47362</v>
      </c>
      <c r="H76" s="345">
        <v>0</v>
      </c>
      <c r="I76" s="346">
        <f t="shared" si="1"/>
        <v>0</v>
      </c>
      <c r="J76" s="347">
        <f>I76*'Cash-flow M 22.7.'!$D$58/12</f>
        <v>0</v>
      </c>
      <c r="L76" s="349">
        <v>47362</v>
      </c>
      <c r="M76" s="345">
        <v>0</v>
      </c>
      <c r="N76" s="346">
        <f t="shared" si="2"/>
        <v>0</v>
      </c>
      <c r="O76" s="347">
        <f>N76*'Cash-flow PLAN'!$D$56/12</f>
        <v>0</v>
      </c>
      <c r="Q76" s="349">
        <v>47362</v>
      </c>
      <c r="R76" s="345">
        <v>0</v>
      </c>
      <c r="S76" s="346">
        <f t="shared" si="3"/>
        <v>0</v>
      </c>
      <c r="T76" s="347">
        <f>S76*'Cash-flow PLAN'!$D$57/12</f>
        <v>0</v>
      </c>
    </row>
    <row r="77" spans="2:20" ht="14">
      <c r="B77" s="349">
        <v>47392</v>
      </c>
      <c r="C77" s="466"/>
      <c r="D77" s="346">
        <f t="shared" si="0"/>
        <v>-16365002</v>
      </c>
      <c r="E77" s="347">
        <f>D77*'Cash-flow PLAN'!$D$54/12</f>
        <v>-143193.76749999999</v>
      </c>
      <c r="G77" s="349">
        <v>47392</v>
      </c>
      <c r="H77" s="345">
        <v>0</v>
      </c>
      <c r="I77" s="346">
        <f t="shared" si="1"/>
        <v>0</v>
      </c>
      <c r="J77" s="347">
        <f>I77*'Cash-flow M 22.7.'!$D$58/12</f>
        <v>0</v>
      </c>
      <c r="L77" s="349">
        <v>47392</v>
      </c>
      <c r="M77" s="345">
        <v>0</v>
      </c>
      <c r="N77" s="346">
        <f t="shared" si="2"/>
        <v>0</v>
      </c>
      <c r="O77" s="347">
        <f>N77*'Cash-flow PLAN'!$D$56/12</f>
        <v>0</v>
      </c>
      <c r="Q77" s="349">
        <v>47392</v>
      </c>
      <c r="R77" s="345">
        <v>0</v>
      </c>
      <c r="S77" s="346">
        <f t="shared" si="3"/>
        <v>0</v>
      </c>
      <c r="T77" s="347">
        <f>S77*'Cash-flow PLAN'!$D$57/12</f>
        <v>0</v>
      </c>
    </row>
    <row r="78" spans="2:20" ht="14">
      <c r="B78" s="349">
        <v>47423</v>
      </c>
      <c r="C78" s="466"/>
      <c r="D78" s="346">
        <f t="shared" si="0"/>
        <v>-16365002</v>
      </c>
      <c r="E78" s="347">
        <f>D78*'Cash-flow PLAN'!$D$54/12</f>
        <v>-143193.76749999999</v>
      </c>
      <c r="G78" s="349">
        <v>47423</v>
      </c>
      <c r="H78" s="345">
        <v>0</v>
      </c>
      <c r="I78" s="346">
        <f t="shared" si="1"/>
        <v>0</v>
      </c>
      <c r="J78" s="347">
        <f>I78*'Cash-flow M 22.7.'!$D$58/12</f>
        <v>0</v>
      </c>
      <c r="L78" s="349">
        <v>47423</v>
      </c>
      <c r="M78" s="345">
        <v>0</v>
      </c>
      <c r="N78" s="346">
        <f t="shared" si="2"/>
        <v>0</v>
      </c>
      <c r="O78" s="347">
        <f>N78*'Cash-flow PLAN'!$D$56/12</f>
        <v>0</v>
      </c>
      <c r="Q78" s="349">
        <v>47423</v>
      </c>
      <c r="R78" s="345">
        <v>0</v>
      </c>
      <c r="S78" s="346">
        <f t="shared" si="3"/>
        <v>0</v>
      </c>
      <c r="T78" s="347">
        <f>S78*'Cash-flow PLAN'!$D$57/12</f>
        <v>0</v>
      </c>
    </row>
    <row r="79" spans="2:20" ht="14">
      <c r="B79" s="349">
        <v>47453</v>
      </c>
      <c r="C79" s="466"/>
      <c r="D79" s="346">
        <f>D78</f>
        <v>-16365002</v>
      </c>
      <c r="E79" s="347">
        <f>D79*'Cash-flow PLAN'!$D$54/12</f>
        <v>-143193.76749999999</v>
      </c>
      <c r="G79" s="349">
        <v>47453</v>
      </c>
      <c r="H79" s="345">
        <v>0</v>
      </c>
      <c r="I79" s="346">
        <f>I78</f>
        <v>0</v>
      </c>
      <c r="J79" s="347">
        <f>I79*'Cash-flow M 22.7.'!$D$58/12</f>
        <v>0</v>
      </c>
      <c r="L79" s="349">
        <v>47453</v>
      </c>
      <c r="M79" s="345">
        <v>0</v>
      </c>
      <c r="N79" s="346">
        <f>N78</f>
        <v>0</v>
      </c>
      <c r="O79" s="347">
        <f>N79*'Cash-flow PLAN'!$D$56/12</f>
        <v>0</v>
      </c>
      <c r="Q79" s="349">
        <v>47453</v>
      </c>
      <c r="R79" s="345">
        <v>0</v>
      </c>
      <c r="S79" s="346">
        <f>S78</f>
        <v>0</v>
      </c>
      <c r="T79" s="347">
        <f>S79*'Cash-flow PLAN'!$D$57/12</f>
        <v>0</v>
      </c>
    </row>
  </sheetData>
  <mergeCells count="4">
    <mergeCell ref="B2:E3"/>
    <mergeCell ref="G2:J3"/>
    <mergeCell ref="L2:O3"/>
    <mergeCell ref="Q2:T3"/>
  </mergeCells>
  <pageMargins left="0" right="0" top="0" bottom="0" header="0" footer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B1:CL35"/>
  <sheetViews>
    <sheetView workbookViewId="0"/>
  </sheetViews>
  <sheetFormatPr baseColWidth="10" defaultColWidth="12.6640625" defaultRowHeight="15" customHeight="1"/>
  <cols>
    <col min="1" max="1" width="2.1640625" customWidth="1"/>
    <col min="2" max="2" width="6.6640625" customWidth="1"/>
    <col min="3" max="3" width="36.5" customWidth="1"/>
    <col min="4" max="4" width="9.6640625" customWidth="1"/>
    <col min="5" max="75" width="5.6640625" customWidth="1"/>
    <col min="76" max="76" width="10.6640625" customWidth="1"/>
    <col min="77" max="88" width="5.6640625" customWidth="1"/>
    <col min="89" max="89" width="8.5" customWidth="1"/>
    <col min="90" max="90" width="13.1640625" customWidth="1"/>
    <col min="91" max="92" width="5.6640625" customWidth="1"/>
  </cols>
  <sheetData>
    <row r="1" spans="2:90">
      <c r="E1" s="859">
        <v>2024</v>
      </c>
      <c r="F1" s="767"/>
      <c r="G1" s="767"/>
      <c r="H1" s="767"/>
      <c r="I1" s="767"/>
      <c r="J1" s="767"/>
      <c r="K1" s="767"/>
      <c r="L1" s="767"/>
      <c r="M1" s="767"/>
      <c r="N1" s="767"/>
      <c r="O1" s="767"/>
      <c r="P1" s="768"/>
      <c r="Q1" s="859">
        <f>E1+1</f>
        <v>2025</v>
      </c>
      <c r="R1" s="767"/>
      <c r="S1" s="767"/>
      <c r="T1" s="767"/>
      <c r="U1" s="767"/>
      <c r="V1" s="767"/>
      <c r="W1" s="767"/>
      <c r="X1" s="767"/>
      <c r="Y1" s="767"/>
      <c r="Z1" s="767"/>
      <c r="AA1" s="767"/>
      <c r="AB1" s="768"/>
      <c r="AC1" s="859">
        <f>Q1+1</f>
        <v>2026</v>
      </c>
      <c r="AD1" s="767"/>
      <c r="AE1" s="767"/>
      <c r="AF1" s="767"/>
      <c r="AG1" s="767"/>
      <c r="AH1" s="767"/>
      <c r="AI1" s="767"/>
      <c r="AJ1" s="767"/>
      <c r="AK1" s="767"/>
      <c r="AL1" s="767"/>
      <c r="AM1" s="767"/>
      <c r="AN1" s="768"/>
      <c r="AO1" s="859">
        <f>AC1+1</f>
        <v>2027</v>
      </c>
      <c r="AP1" s="767"/>
      <c r="AQ1" s="767"/>
      <c r="AR1" s="767"/>
      <c r="AS1" s="767"/>
      <c r="AT1" s="767"/>
      <c r="AU1" s="767"/>
      <c r="AV1" s="767"/>
      <c r="AW1" s="767"/>
      <c r="AX1" s="767"/>
      <c r="AY1" s="767"/>
      <c r="AZ1" s="768"/>
      <c r="BA1" s="859">
        <f>AO1+1</f>
        <v>2028</v>
      </c>
      <c r="BB1" s="767"/>
      <c r="BC1" s="767"/>
      <c r="BD1" s="767"/>
      <c r="BE1" s="767"/>
      <c r="BF1" s="767"/>
      <c r="BG1" s="767"/>
      <c r="BH1" s="767"/>
      <c r="BI1" s="767"/>
      <c r="BJ1" s="767"/>
      <c r="BK1" s="767"/>
      <c r="BL1" s="768"/>
      <c r="BM1" s="859">
        <f>BA1+1</f>
        <v>2029</v>
      </c>
      <c r="BN1" s="767"/>
      <c r="BO1" s="767"/>
      <c r="BP1" s="767"/>
      <c r="BQ1" s="767"/>
      <c r="BR1" s="767"/>
      <c r="BS1" s="767"/>
      <c r="BT1" s="767"/>
      <c r="BU1" s="767"/>
      <c r="BV1" s="767"/>
      <c r="BW1" s="767"/>
      <c r="BX1" s="768"/>
      <c r="BY1" s="859">
        <f>BM1+1</f>
        <v>2030</v>
      </c>
      <c r="BZ1" s="767"/>
      <c r="CA1" s="767"/>
      <c r="CB1" s="767"/>
      <c r="CC1" s="767"/>
      <c r="CD1" s="767"/>
      <c r="CE1" s="767"/>
      <c r="CF1" s="767"/>
      <c r="CG1" s="767"/>
      <c r="CH1" s="767"/>
      <c r="CI1" s="767"/>
      <c r="CJ1" s="768"/>
    </row>
    <row r="2" spans="2:90">
      <c r="E2" s="467">
        <v>45292</v>
      </c>
      <c r="F2" s="467">
        <v>45323</v>
      </c>
      <c r="G2" s="467">
        <v>45352</v>
      </c>
      <c r="H2" s="467">
        <v>45383</v>
      </c>
      <c r="I2" s="467">
        <v>45413</v>
      </c>
      <c r="J2" s="467">
        <v>45444</v>
      </c>
      <c r="K2" s="467">
        <v>45474</v>
      </c>
      <c r="L2" s="467">
        <v>45505</v>
      </c>
      <c r="M2" s="467">
        <v>45536</v>
      </c>
      <c r="N2" s="467">
        <v>45566</v>
      </c>
      <c r="O2" s="467">
        <v>45597</v>
      </c>
      <c r="P2" s="467">
        <v>45627</v>
      </c>
      <c r="Q2" s="467">
        <v>45292</v>
      </c>
      <c r="R2" s="467">
        <v>45323</v>
      </c>
      <c r="S2" s="467">
        <v>45352</v>
      </c>
      <c r="T2" s="467">
        <v>45383</v>
      </c>
      <c r="U2" s="467">
        <v>45413</v>
      </c>
      <c r="V2" s="467">
        <v>45444</v>
      </c>
      <c r="W2" s="467">
        <v>45474</v>
      </c>
      <c r="X2" s="467">
        <v>45505</v>
      </c>
      <c r="Y2" s="467">
        <v>45536</v>
      </c>
      <c r="Z2" s="467">
        <v>45566</v>
      </c>
      <c r="AA2" s="467">
        <v>45597</v>
      </c>
      <c r="AB2" s="467">
        <v>45627</v>
      </c>
      <c r="AC2" s="467">
        <v>45292</v>
      </c>
      <c r="AD2" s="467">
        <v>45323</v>
      </c>
      <c r="AE2" s="467">
        <v>45352</v>
      </c>
      <c r="AF2" s="467">
        <v>45383</v>
      </c>
      <c r="AG2" s="467">
        <v>45413</v>
      </c>
      <c r="AH2" s="467">
        <v>45444</v>
      </c>
      <c r="AI2" s="467">
        <v>45474</v>
      </c>
      <c r="AJ2" s="467">
        <v>45505</v>
      </c>
      <c r="AK2" s="467">
        <v>45536</v>
      </c>
      <c r="AL2" s="467">
        <v>45566</v>
      </c>
      <c r="AM2" s="467">
        <v>45597</v>
      </c>
      <c r="AN2" s="467">
        <v>45627</v>
      </c>
      <c r="AO2" s="467">
        <v>45292</v>
      </c>
      <c r="AP2" s="467">
        <v>45323</v>
      </c>
      <c r="AQ2" s="467">
        <v>45352</v>
      </c>
      <c r="AR2" s="467">
        <v>45383</v>
      </c>
      <c r="AS2" s="467">
        <v>45413</v>
      </c>
      <c r="AT2" s="467">
        <v>45444</v>
      </c>
      <c r="AU2" s="467">
        <v>45474</v>
      </c>
      <c r="AV2" s="467">
        <v>45505</v>
      </c>
      <c r="AW2" s="467">
        <v>45536</v>
      </c>
      <c r="AX2" s="467">
        <v>45566</v>
      </c>
      <c r="AY2" s="467">
        <v>45597</v>
      </c>
      <c r="AZ2" s="467">
        <v>45627</v>
      </c>
      <c r="BA2" s="467">
        <v>45292</v>
      </c>
      <c r="BB2" s="467">
        <v>45323</v>
      </c>
      <c r="BC2" s="467">
        <v>45352</v>
      </c>
      <c r="BD2" s="467">
        <v>45383</v>
      </c>
      <c r="BE2" s="467">
        <v>45413</v>
      </c>
      <c r="BF2" s="467">
        <v>45444</v>
      </c>
      <c r="BG2" s="467">
        <v>45474</v>
      </c>
      <c r="BH2" s="467">
        <v>45505</v>
      </c>
      <c r="BI2" s="467">
        <v>45536</v>
      </c>
      <c r="BJ2" s="467">
        <v>45566</v>
      </c>
      <c r="BK2" s="467">
        <v>45597</v>
      </c>
      <c r="BL2" s="467">
        <v>45627</v>
      </c>
      <c r="BM2" s="467">
        <v>45292</v>
      </c>
      <c r="BN2" s="467">
        <v>45323</v>
      </c>
      <c r="BO2" s="467">
        <v>45352</v>
      </c>
      <c r="BP2" s="467">
        <v>45383</v>
      </c>
      <c r="BQ2" s="467">
        <v>45413</v>
      </c>
      <c r="BR2" s="467">
        <v>45444</v>
      </c>
      <c r="BS2" s="467">
        <v>45474</v>
      </c>
      <c r="BT2" s="467">
        <v>45505</v>
      </c>
      <c r="BU2" s="467">
        <v>45536</v>
      </c>
      <c r="BV2" s="467">
        <v>45566</v>
      </c>
      <c r="BW2" s="467">
        <v>45597</v>
      </c>
      <c r="BX2" s="467">
        <v>45627</v>
      </c>
      <c r="BY2" s="467">
        <v>45292</v>
      </c>
      <c r="BZ2" s="467">
        <v>45323</v>
      </c>
      <c r="CA2" s="467">
        <v>45352</v>
      </c>
      <c r="CB2" s="467">
        <v>45383</v>
      </c>
      <c r="CC2" s="467">
        <v>45413</v>
      </c>
      <c r="CD2" s="467">
        <v>45444</v>
      </c>
      <c r="CE2" s="467">
        <v>45474</v>
      </c>
      <c r="CF2" s="467">
        <v>45505</v>
      </c>
      <c r="CG2" s="467">
        <v>45536</v>
      </c>
      <c r="CH2" s="467">
        <v>45566</v>
      </c>
      <c r="CI2" s="467">
        <v>45597</v>
      </c>
      <c r="CJ2" s="467">
        <v>45627</v>
      </c>
    </row>
    <row r="3" spans="2:90">
      <c r="B3" s="870" t="s">
        <v>251</v>
      </c>
      <c r="C3" s="468" t="s">
        <v>631</v>
      </c>
      <c r="D3" s="469" t="s">
        <v>253</v>
      </c>
      <c r="E3" s="470">
        <f>'Cash-flow PLAN'!E5</f>
        <v>0</v>
      </c>
      <c r="F3" s="470">
        <f>'Cash-flow PLAN'!F5</f>
        <v>0</v>
      </c>
      <c r="G3" s="470">
        <f>'Cash-flow PLAN'!G5</f>
        <v>0</v>
      </c>
      <c r="H3" s="470">
        <f>'Cash-flow PLAN'!H5</f>
        <v>16365002</v>
      </c>
      <c r="I3" s="470">
        <f>'Cash-flow PLAN'!I5</f>
        <v>0</v>
      </c>
      <c r="J3" s="470">
        <f>'Cash-flow PLAN'!J5</f>
        <v>0</v>
      </c>
      <c r="K3" s="470">
        <f>'Cash-flow PLAN'!K5</f>
        <v>0</v>
      </c>
      <c r="L3" s="470">
        <f>'Cash-flow PLAN'!L5</f>
        <v>0</v>
      </c>
      <c r="M3" s="470">
        <f>'Cash-flow PLAN'!M5</f>
        <v>0</v>
      </c>
      <c r="N3" s="470">
        <f>'Cash-flow PLAN'!N5</f>
        <v>0</v>
      </c>
      <c r="O3" s="470">
        <f>'Cash-flow PLAN'!O5</f>
        <v>3000000</v>
      </c>
      <c r="P3" s="470">
        <f>'Cash-flow PLAN'!P5</f>
        <v>0</v>
      </c>
      <c r="Q3" s="470">
        <f>'Cash-flow PLAN'!Q5</f>
        <v>0</v>
      </c>
      <c r="R3" s="470">
        <f>'Cash-flow PLAN'!R5</f>
        <v>0</v>
      </c>
      <c r="S3" s="470">
        <f>'Cash-flow PLAN'!S5</f>
        <v>0</v>
      </c>
      <c r="T3" s="470">
        <f>'Cash-flow PLAN'!T5</f>
        <v>0</v>
      </c>
      <c r="U3" s="470">
        <f>'Cash-flow PLAN'!U5</f>
        <v>0</v>
      </c>
      <c r="V3" s="470">
        <f>'Cash-flow PLAN'!V5</f>
        <v>0</v>
      </c>
      <c r="W3" s="470">
        <f>'Cash-flow PLAN'!W5</f>
        <v>0</v>
      </c>
      <c r="X3" s="470">
        <f>'Cash-flow PLAN'!X5</f>
        <v>0</v>
      </c>
      <c r="Y3" s="470">
        <f>'Cash-flow PLAN'!Y5</f>
        <v>0</v>
      </c>
      <c r="Z3" s="470">
        <f>'Cash-flow PLAN'!Z5</f>
        <v>0</v>
      </c>
      <c r="AA3" s="470">
        <f>'Cash-flow PLAN'!AA5</f>
        <v>0</v>
      </c>
      <c r="AB3" s="470">
        <f>'Cash-flow PLAN'!AB5</f>
        <v>0</v>
      </c>
      <c r="AC3" s="470">
        <f>'Cash-flow PLAN'!AC5</f>
        <v>0</v>
      </c>
      <c r="AD3" s="470">
        <f>'Cash-flow PLAN'!AD5</f>
        <v>0</v>
      </c>
      <c r="AE3" s="470">
        <f>'Cash-flow PLAN'!AE5</f>
        <v>0</v>
      </c>
      <c r="AF3" s="470">
        <f>'Cash-flow PLAN'!AF5</f>
        <v>0</v>
      </c>
      <c r="AG3" s="470">
        <f>'Cash-flow PLAN'!AG5</f>
        <v>0</v>
      </c>
      <c r="AH3" s="470">
        <f>'Cash-flow PLAN'!AH5</f>
        <v>0</v>
      </c>
      <c r="AI3" s="470">
        <f>'Cash-flow PLAN'!AI5</f>
        <v>0</v>
      </c>
      <c r="AJ3" s="470">
        <f>'Cash-flow PLAN'!AJ5</f>
        <v>0</v>
      </c>
      <c r="AK3" s="470">
        <f>'Cash-flow PLAN'!AK5</f>
        <v>0</v>
      </c>
      <c r="AL3" s="470">
        <f>'Cash-flow PLAN'!AL5</f>
        <v>0</v>
      </c>
      <c r="AM3" s="470">
        <f>'Cash-flow PLAN'!AM5</f>
        <v>0</v>
      </c>
      <c r="AN3" s="470">
        <f>'Cash-flow PLAN'!AN5</f>
        <v>0</v>
      </c>
      <c r="AO3" s="470">
        <f>'Cash-flow PLAN'!AO5</f>
        <v>0</v>
      </c>
      <c r="AP3" s="470">
        <f>'Cash-flow PLAN'!AP5</f>
        <v>0</v>
      </c>
      <c r="AQ3" s="470">
        <f>'Cash-flow PLAN'!AQ5</f>
        <v>0</v>
      </c>
      <c r="AR3" s="470">
        <f>'Cash-flow PLAN'!AR5</f>
        <v>0</v>
      </c>
      <c r="AS3" s="470">
        <f>'Cash-flow PLAN'!AS5</f>
        <v>0</v>
      </c>
      <c r="AT3" s="470">
        <f>'Cash-flow PLAN'!AT5</f>
        <v>0</v>
      </c>
      <c r="AU3" s="470">
        <f>'Cash-flow PLAN'!AU5</f>
        <v>0</v>
      </c>
      <c r="AV3" s="470">
        <f>'Cash-flow PLAN'!AV5</f>
        <v>0</v>
      </c>
      <c r="AW3" s="470">
        <f>'Cash-flow PLAN'!AW5</f>
        <v>0</v>
      </c>
      <c r="AX3" s="470">
        <f>'Cash-flow PLAN'!AX5</f>
        <v>0</v>
      </c>
      <c r="AY3" s="470">
        <f>'Cash-flow PLAN'!AY5</f>
        <v>0</v>
      </c>
      <c r="AZ3" s="470">
        <f>'Cash-flow PLAN'!AZ5</f>
        <v>0</v>
      </c>
      <c r="BA3" s="470">
        <f>'Cash-flow PLAN'!BA5</f>
        <v>0</v>
      </c>
      <c r="BB3" s="470">
        <f>'Cash-flow PLAN'!BB5</f>
        <v>0</v>
      </c>
      <c r="BC3" s="470">
        <f>'Cash-flow PLAN'!BC5</f>
        <v>0</v>
      </c>
      <c r="BD3" s="470">
        <f>'Cash-flow PLAN'!BD5</f>
        <v>0</v>
      </c>
      <c r="BE3" s="470">
        <f>'Cash-flow PLAN'!BE5</f>
        <v>0</v>
      </c>
      <c r="BF3" s="470">
        <f>'Cash-flow PLAN'!BF5</f>
        <v>0</v>
      </c>
      <c r="BG3" s="470">
        <f>'Cash-flow PLAN'!BG5</f>
        <v>0</v>
      </c>
      <c r="BH3" s="470">
        <f>'Cash-flow PLAN'!BH5</f>
        <v>0</v>
      </c>
      <c r="BI3" s="470">
        <f>'Cash-flow PLAN'!BI5</f>
        <v>0</v>
      </c>
      <c r="BJ3" s="470">
        <f>'Cash-flow PLAN'!BJ5</f>
        <v>0</v>
      </c>
      <c r="BK3" s="470">
        <f>'Cash-flow PLAN'!BK5</f>
        <v>0</v>
      </c>
      <c r="BL3" s="470">
        <f>'Cash-flow PLAN'!BL5</f>
        <v>0</v>
      </c>
      <c r="BM3" s="470">
        <f>'Cash-flow PLAN'!BM5</f>
        <v>0</v>
      </c>
      <c r="BN3" s="470">
        <f>'Cash-flow PLAN'!BN5</f>
        <v>0</v>
      </c>
      <c r="BO3" s="470">
        <f>'Cash-flow PLAN'!BO5</f>
        <v>0</v>
      </c>
      <c r="BP3" s="470">
        <f>'Cash-flow PLAN'!BP5</f>
        <v>0</v>
      </c>
      <c r="BQ3" s="470">
        <f>'Cash-flow PLAN'!BQ5</f>
        <v>0</v>
      </c>
      <c r="BR3" s="470">
        <f>'Cash-flow PLAN'!BR5</f>
        <v>0</v>
      </c>
      <c r="BS3" s="470">
        <f>'Cash-flow PLAN'!BS5</f>
        <v>0</v>
      </c>
      <c r="BT3" s="470">
        <f>'Cash-flow PLAN'!BT5</f>
        <v>0</v>
      </c>
      <c r="BU3" s="470">
        <f>'Cash-flow PLAN'!BU5</f>
        <v>0</v>
      </c>
      <c r="BV3" s="470">
        <f>'Cash-flow PLAN'!BV5</f>
        <v>0</v>
      </c>
      <c r="BW3" s="470">
        <f>'Cash-flow PLAN'!BW5</f>
        <v>0</v>
      </c>
      <c r="BX3" s="470">
        <f>'Cash-flow PLAN'!BX5</f>
        <v>0</v>
      </c>
      <c r="BY3" s="470"/>
      <c r="BZ3" s="470"/>
      <c r="CA3" s="470">
        <f>'Cash-flow PLAN'!CA5</f>
        <v>0</v>
      </c>
      <c r="CB3" s="470">
        <f>'Cash-flow PLAN'!CB5</f>
        <v>61195006</v>
      </c>
      <c r="CC3" s="470">
        <f>'Cash-flow PLAN'!CC5</f>
        <v>128715673</v>
      </c>
      <c r="CD3" s="470">
        <f>'Cash-flow PLAN'!CD5</f>
        <v>0</v>
      </c>
      <c r="CE3" s="470">
        <f>'Cash-flow PLAN'!CE5</f>
        <v>0</v>
      </c>
      <c r="CF3" s="470">
        <f>'Cash-flow PLAN'!CF5</f>
        <v>0</v>
      </c>
      <c r="CG3" s="470">
        <f>'Cash-flow PLAN'!CG5</f>
        <v>0</v>
      </c>
      <c r="CH3" s="470">
        <f>'Cash-flow PLAN'!CH5</f>
        <v>0</v>
      </c>
      <c r="CI3" s="470">
        <f>'Cash-flow PLAN'!CI5</f>
        <v>0</v>
      </c>
      <c r="CJ3" s="470">
        <f>'Cash-flow PLAN'!CJ5</f>
        <v>0</v>
      </c>
      <c r="CK3" s="471">
        <f>SUM(E3:CJ3)</f>
        <v>209275681</v>
      </c>
      <c r="CL3" s="860">
        <f>CK3+CK6</f>
        <v>209275681</v>
      </c>
    </row>
    <row r="4" spans="2:90">
      <c r="B4" s="866"/>
      <c r="C4" s="236" t="s">
        <v>121</v>
      </c>
      <c r="D4" s="233" t="s">
        <v>253</v>
      </c>
      <c r="E4" s="472">
        <f>'Cash-flow PLAN'!E6</f>
        <v>0</v>
      </c>
      <c r="F4" s="472">
        <f>'Cash-flow PLAN'!F6</f>
        <v>0</v>
      </c>
      <c r="G4" s="472">
        <f>'Cash-flow PLAN'!G6</f>
        <v>0</v>
      </c>
      <c r="H4" s="472">
        <f>'Cash-flow PLAN'!H6</f>
        <v>0</v>
      </c>
      <c r="I4" s="472">
        <f>'Cash-flow PLAN'!I6</f>
        <v>1000000</v>
      </c>
      <c r="J4" s="472">
        <f>'Cash-flow PLAN'!J6</f>
        <v>0</v>
      </c>
      <c r="K4" s="472">
        <f>'Cash-flow PLAN'!K6</f>
        <v>0</v>
      </c>
      <c r="L4" s="472">
        <f>'Cash-flow PLAN'!L6</f>
        <v>0</v>
      </c>
      <c r="M4" s="472">
        <f>'Cash-flow PLAN'!M6</f>
        <v>0</v>
      </c>
      <c r="N4" s="472">
        <f>'Cash-flow PLAN'!N6</f>
        <v>0</v>
      </c>
      <c r="O4" s="472">
        <f>'Cash-flow PLAN'!O6</f>
        <v>0</v>
      </c>
      <c r="P4" s="472">
        <f>'Cash-flow PLAN'!P6</f>
        <v>2100000</v>
      </c>
      <c r="Q4" s="472">
        <f>'Cash-flow PLAN'!Q6</f>
        <v>0</v>
      </c>
      <c r="R4" s="472">
        <f>'Cash-flow PLAN'!R6</f>
        <v>0</v>
      </c>
      <c r="S4" s="472">
        <f>'Cash-flow PLAN'!S6</f>
        <v>0</v>
      </c>
      <c r="T4" s="472">
        <f>'Cash-flow PLAN'!T6</f>
        <v>0</v>
      </c>
      <c r="U4" s="472">
        <f>'Cash-flow PLAN'!U6</f>
        <v>0</v>
      </c>
      <c r="V4" s="472">
        <f>'Cash-flow PLAN'!V6</f>
        <v>0</v>
      </c>
      <c r="W4" s="472">
        <f>'Cash-flow PLAN'!W6</f>
        <v>0</v>
      </c>
      <c r="X4" s="472">
        <f>'Cash-flow PLAN'!X6</f>
        <v>0</v>
      </c>
      <c r="Y4" s="472">
        <f>'Cash-flow PLAN'!Y6</f>
        <v>0</v>
      </c>
      <c r="Z4" s="472">
        <f>'Cash-flow PLAN'!Z6</f>
        <v>0</v>
      </c>
      <c r="AA4" s="472">
        <f>'Cash-flow PLAN'!AA6</f>
        <v>0</v>
      </c>
      <c r="AB4" s="472">
        <f>'Cash-flow PLAN'!AB6</f>
        <v>0</v>
      </c>
      <c r="AC4" s="472">
        <f>'Cash-flow PLAN'!AC6</f>
        <v>0</v>
      </c>
      <c r="AD4" s="472">
        <f>'Cash-flow PLAN'!AD6</f>
        <v>0</v>
      </c>
      <c r="AE4" s="472">
        <f>'Cash-flow PLAN'!AE6</f>
        <v>0</v>
      </c>
      <c r="AF4" s="472">
        <f>'Cash-flow PLAN'!AF6</f>
        <v>0</v>
      </c>
      <c r="AG4" s="472">
        <f>'Cash-flow PLAN'!AG6</f>
        <v>0</v>
      </c>
      <c r="AH4" s="472">
        <f>'Cash-flow PLAN'!AH6</f>
        <v>0</v>
      </c>
      <c r="AI4" s="472">
        <f>'Cash-flow PLAN'!AI6</f>
        <v>0</v>
      </c>
      <c r="AJ4" s="472">
        <f>'Cash-flow PLAN'!AJ6</f>
        <v>0</v>
      </c>
      <c r="AK4" s="472">
        <f>'Cash-flow PLAN'!AK6</f>
        <v>0</v>
      </c>
      <c r="AL4" s="472">
        <f>'Cash-flow PLAN'!AL6</f>
        <v>0</v>
      </c>
      <c r="AM4" s="472">
        <f>'Cash-flow PLAN'!AM6</f>
        <v>0</v>
      </c>
      <c r="AN4" s="472">
        <f>'Cash-flow PLAN'!AN6</f>
        <v>0</v>
      </c>
      <c r="AO4" s="472">
        <f>'Cash-flow PLAN'!AO6</f>
        <v>0</v>
      </c>
      <c r="AP4" s="472">
        <f>'Cash-flow PLAN'!AP6</f>
        <v>0</v>
      </c>
      <c r="AQ4" s="472">
        <f>'Cash-flow PLAN'!AQ6</f>
        <v>0</v>
      </c>
      <c r="AR4" s="472">
        <f>'Cash-flow PLAN'!AR6</f>
        <v>0</v>
      </c>
      <c r="AS4" s="472">
        <f>'Cash-flow PLAN'!AS6</f>
        <v>0</v>
      </c>
      <c r="AT4" s="472">
        <f>'Cash-flow PLAN'!AT6</f>
        <v>0</v>
      </c>
      <c r="AU4" s="472">
        <f>'Cash-flow PLAN'!AU6</f>
        <v>0</v>
      </c>
      <c r="AV4" s="472">
        <f>'Cash-flow PLAN'!AV6</f>
        <v>0</v>
      </c>
      <c r="AW4" s="472">
        <f>'Cash-flow PLAN'!AW6</f>
        <v>0</v>
      </c>
      <c r="AX4" s="472">
        <f>'Cash-flow PLAN'!AX6</f>
        <v>0</v>
      </c>
      <c r="AY4" s="472">
        <f>'Cash-flow PLAN'!AY6</f>
        <v>0</v>
      </c>
      <c r="AZ4" s="472">
        <f>'Cash-flow PLAN'!AZ6</f>
        <v>0</v>
      </c>
      <c r="BA4" s="472">
        <f>'Cash-flow PLAN'!BA6</f>
        <v>0</v>
      </c>
      <c r="BB4" s="472">
        <f>'Cash-flow PLAN'!BB6</f>
        <v>0</v>
      </c>
      <c r="BC4" s="472">
        <f>'Cash-flow PLAN'!BC6</f>
        <v>0</v>
      </c>
      <c r="BD4" s="472">
        <f>'Cash-flow PLAN'!BD6</f>
        <v>0</v>
      </c>
      <c r="BE4" s="472">
        <f>'Cash-flow PLAN'!BE6</f>
        <v>0</v>
      </c>
      <c r="BF4" s="472">
        <f>'Cash-flow PLAN'!BF6</f>
        <v>0</v>
      </c>
      <c r="BG4" s="472">
        <f>'Cash-flow PLAN'!BG6</f>
        <v>0</v>
      </c>
      <c r="BH4" s="472">
        <f>'Cash-flow PLAN'!BH6</f>
        <v>0</v>
      </c>
      <c r="BI4" s="472">
        <f>'Cash-flow PLAN'!BI6</f>
        <v>0</v>
      </c>
      <c r="BJ4" s="472">
        <f>'Cash-flow PLAN'!BJ6</f>
        <v>0</v>
      </c>
      <c r="BK4" s="472">
        <f>'Cash-flow PLAN'!BK6</f>
        <v>0</v>
      </c>
      <c r="BL4" s="472">
        <f>'Cash-flow PLAN'!BL6</f>
        <v>0</v>
      </c>
      <c r="BM4" s="472">
        <f>'Cash-flow PLAN'!BM6</f>
        <v>0</v>
      </c>
      <c r="BN4" s="472">
        <f>'Cash-flow PLAN'!BN6</f>
        <v>0</v>
      </c>
      <c r="BO4" s="472">
        <f>'Cash-flow PLAN'!BO6</f>
        <v>0</v>
      </c>
      <c r="BP4" s="472">
        <f>'Cash-flow PLAN'!BP6</f>
        <v>0</v>
      </c>
      <c r="BQ4" s="472">
        <f>'Cash-flow PLAN'!BQ6</f>
        <v>0</v>
      </c>
      <c r="BR4" s="472">
        <f>'Cash-flow PLAN'!BR6</f>
        <v>0</v>
      </c>
      <c r="BS4" s="472">
        <f>'Cash-flow PLAN'!BS6</f>
        <v>0</v>
      </c>
      <c r="BT4" s="472">
        <f>'Cash-flow PLAN'!BT6</f>
        <v>0</v>
      </c>
      <c r="BU4" s="472">
        <f>'Cash-flow PLAN'!BU6</f>
        <v>0</v>
      </c>
      <c r="BV4" s="472">
        <f>'Cash-flow PLAN'!BV6</f>
        <v>0</v>
      </c>
      <c r="BW4" s="472">
        <f>'Cash-flow PLAN'!BW6</f>
        <v>0</v>
      </c>
      <c r="BX4" s="472">
        <f>'Cash-flow PLAN'!BX6</f>
        <v>0</v>
      </c>
      <c r="BY4" s="473"/>
      <c r="BZ4" s="473"/>
      <c r="CA4" s="473"/>
      <c r="CB4" s="473"/>
      <c r="CC4" s="473"/>
      <c r="CD4" s="473"/>
      <c r="CE4" s="473"/>
      <c r="CF4" s="473"/>
      <c r="CG4" s="473"/>
      <c r="CH4" s="473"/>
      <c r="CI4" s="473"/>
      <c r="CJ4" s="473"/>
      <c r="CK4" s="474"/>
      <c r="CL4" s="861"/>
    </row>
    <row r="5" spans="2:90">
      <c r="B5" s="866"/>
      <c r="C5" s="236" t="s">
        <v>121</v>
      </c>
      <c r="D5" s="233" t="s">
        <v>253</v>
      </c>
      <c r="E5" s="472">
        <f>'Cash-flow PLAN'!E7</f>
        <v>0</v>
      </c>
      <c r="F5" s="472">
        <f>'Cash-flow PLAN'!F7</f>
        <v>0</v>
      </c>
      <c r="G5" s="472">
        <f>'Cash-flow PLAN'!G7</f>
        <v>0</v>
      </c>
      <c r="H5" s="472">
        <f>'Cash-flow PLAN'!H7</f>
        <v>0</v>
      </c>
      <c r="I5" s="472">
        <f>'Cash-flow PLAN'!I7</f>
        <v>0</v>
      </c>
      <c r="J5" s="472">
        <f>'Cash-flow PLAN'!J7</f>
        <v>0</v>
      </c>
      <c r="K5" s="472">
        <f>'Cash-flow PLAN'!K7</f>
        <v>0</v>
      </c>
      <c r="L5" s="472">
        <f>'Cash-flow PLAN'!L7</f>
        <v>0</v>
      </c>
      <c r="M5" s="472">
        <f>'Cash-flow PLAN'!M7</f>
        <v>0</v>
      </c>
      <c r="N5" s="472">
        <f>'Cash-flow PLAN'!N7</f>
        <v>0</v>
      </c>
      <c r="O5" s="472">
        <f>'Cash-flow PLAN'!O7</f>
        <v>0</v>
      </c>
      <c r="P5" s="472">
        <f>'Cash-flow PLAN'!P7</f>
        <v>0</v>
      </c>
      <c r="Q5" s="472">
        <f>'Cash-flow PLAN'!Q7</f>
        <v>0</v>
      </c>
      <c r="R5" s="472">
        <f>'Cash-flow PLAN'!R7</f>
        <v>0</v>
      </c>
      <c r="S5" s="472">
        <f>'Cash-flow PLAN'!S7</f>
        <v>0</v>
      </c>
      <c r="T5" s="472">
        <f>'Cash-flow PLAN'!T7</f>
        <v>0</v>
      </c>
      <c r="U5" s="472">
        <f>'Cash-flow PLAN'!U7</f>
        <v>0</v>
      </c>
      <c r="V5" s="472">
        <f>'Cash-flow PLAN'!V7</f>
        <v>0</v>
      </c>
      <c r="W5" s="472">
        <f>'Cash-flow PLAN'!W7</f>
        <v>0</v>
      </c>
      <c r="X5" s="472">
        <f>'Cash-flow PLAN'!X7</f>
        <v>0</v>
      </c>
      <c r="Y5" s="472">
        <f>'Cash-flow PLAN'!Y7</f>
        <v>0</v>
      </c>
      <c r="Z5" s="472">
        <f>'Cash-flow PLAN'!Z7</f>
        <v>0</v>
      </c>
      <c r="AA5" s="472">
        <f>'Cash-flow PLAN'!AA7</f>
        <v>0</v>
      </c>
      <c r="AB5" s="472">
        <f>'Cash-flow PLAN'!AB7</f>
        <v>0</v>
      </c>
      <c r="AC5" s="472">
        <f>'Cash-flow PLAN'!AC7</f>
        <v>0</v>
      </c>
      <c r="AD5" s="472">
        <f>'Cash-flow PLAN'!AD7</f>
        <v>0</v>
      </c>
      <c r="AE5" s="472">
        <f>'Cash-flow PLAN'!AE7</f>
        <v>0</v>
      </c>
      <c r="AF5" s="472">
        <f>'Cash-flow PLAN'!AF7</f>
        <v>0</v>
      </c>
      <c r="AG5" s="472">
        <f>'Cash-flow PLAN'!AG7</f>
        <v>0</v>
      </c>
      <c r="AH5" s="472">
        <f>'Cash-flow PLAN'!AH7</f>
        <v>0</v>
      </c>
      <c r="AI5" s="472">
        <f>'Cash-flow PLAN'!AI7</f>
        <v>0</v>
      </c>
      <c r="AJ5" s="472">
        <f>'Cash-flow PLAN'!AJ7</f>
        <v>0</v>
      </c>
      <c r="AK5" s="472">
        <f>'Cash-flow PLAN'!AK7</f>
        <v>0</v>
      </c>
      <c r="AL5" s="472">
        <f>'Cash-flow PLAN'!AL7</f>
        <v>0</v>
      </c>
      <c r="AM5" s="472">
        <f>'Cash-flow PLAN'!AM7</f>
        <v>0</v>
      </c>
      <c r="AN5" s="472">
        <f>'Cash-flow PLAN'!AN7</f>
        <v>0</v>
      </c>
      <c r="AO5" s="472">
        <f>'Cash-flow PLAN'!AO7</f>
        <v>0</v>
      </c>
      <c r="AP5" s="472">
        <f>'Cash-flow PLAN'!AP7</f>
        <v>0</v>
      </c>
      <c r="AQ5" s="472">
        <f>'Cash-flow PLAN'!AQ7</f>
        <v>0</v>
      </c>
      <c r="AR5" s="472">
        <f>'Cash-flow PLAN'!AR7</f>
        <v>0</v>
      </c>
      <c r="AS5" s="472">
        <f>'Cash-flow PLAN'!AS7</f>
        <v>0</v>
      </c>
      <c r="AT5" s="472">
        <f>'Cash-flow PLAN'!AT7</f>
        <v>0</v>
      </c>
      <c r="AU5" s="472">
        <f>'Cash-flow PLAN'!AU7</f>
        <v>0</v>
      </c>
      <c r="AV5" s="472">
        <f>'Cash-flow PLAN'!AV7</f>
        <v>0</v>
      </c>
      <c r="AW5" s="472">
        <f>'Cash-flow PLAN'!AW7</f>
        <v>0</v>
      </c>
      <c r="AX5" s="472">
        <f>'Cash-flow PLAN'!AX7</f>
        <v>0</v>
      </c>
      <c r="AY5" s="472">
        <f>'Cash-flow PLAN'!AY7</f>
        <v>0</v>
      </c>
      <c r="AZ5" s="472">
        <f>'Cash-flow PLAN'!AZ7</f>
        <v>0</v>
      </c>
      <c r="BA5" s="472">
        <f>'Cash-flow PLAN'!BA7</f>
        <v>0</v>
      </c>
      <c r="BB5" s="472">
        <f>'Cash-flow PLAN'!BB7</f>
        <v>0</v>
      </c>
      <c r="BC5" s="472">
        <f>'Cash-flow PLAN'!BC7</f>
        <v>0</v>
      </c>
      <c r="BD5" s="472">
        <f>'Cash-flow PLAN'!BD7</f>
        <v>0</v>
      </c>
      <c r="BE5" s="472">
        <f>'Cash-flow PLAN'!BE7</f>
        <v>0</v>
      </c>
      <c r="BF5" s="472">
        <f>'Cash-flow PLAN'!BF7</f>
        <v>0</v>
      </c>
      <c r="BG5" s="472">
        <f>'Cash-flow PLAN'!BG7</f>
        <v>0</v>
      </c>
      <c r="BH5" s="472">
        <f>'Cash-flow PLAN'!BH7</f>
        <v>0</v>
      </c>
      <c r="BI5" s="472">
        <f>'Cash-flow PLAN'!BI7</f>
        <v>0</v>
      </c>
      <c r="BJ5" s="472">
        <f>'Cash-flow PLAN'!BJ7</f>
        <v>0</v>
      </c>
      <c r="BK5" s="472">
        <f>'Cash-flow PLAN'!BK7</f>
        <v>0</v>
      </c>
      <c r="BL5" s="472">
        <f>'Cash-flow PLAN'!BL7</f>
        <v>0</v>
      </c>
      <c r="BM5" s="472">
        <f>'Cash-flow PLAN'!BM7</f>
        <v>0</v>
      </c>
      <c r="BN5" s="472">
        <f>'Cash-flow PLAN'!BN7</f>
        <v>0</v>
      </c>
      <c r="BO5" s="472">
        <f>'Cash-flow PLAN'!BO7</f>
        <v>0</v>
      </c>
      <c r="BP5" s="472">
        <f>'Cash-flow PLAN'!BP7</f>
        <v>0</v>
      </c>
      <c r="BQ5" s="472">
        <f>'Cash-flow PLAN'!BQ7</f>
        <v>0</v>
      </c>
      <c r="BR5" s="472">
        <f>'Cash-flow PLAN'!BR7</f>
        <v>0</v>
      </c>
      <c r="BS5" s="472">
        <f>'Cash-flow PLAN'!BS7</f>
        <v>0</v>
      </c>
      <c r="BT5" s="472">
        <f>'Cash-flow PLAN'!BT7</f>
        <v>0</v>
      </c>
      <c r="BU5" s="472">
        <f>'Cash-flow PLAN'!BU7</f>
        <v>0</v>
      </c>
      <c r="BV5" s="472">
        <f>'Cash-flow PLAN'!BV7</f>
        <v>0</v>
      </c>
      <c r="BW5" s="472">
        <f>'Cash-flow PLAN'!BW7</f>
        <v>0</v>
      </c>
      <c r="BX5" s="472">
        <f>'Cash-flow PLAN'!BX7</f>
        <v>0</v>
      </c>
      <c r="BY5" s="473"/>
      <c r="BZ5" s="473"/>
      <c r="CA5" s="473"/>
      <c r="CB5" s="473"/>
      <c r="CC5" s="473"/>
      <c r="CD5" s="473"/>
      <c r="CE5" s="473"/>
      <c r="CF5" s="473"/>
      <c r="CG5" s="473"/>
      <c r="CH5" s="473"/>
      <c r="CI5" s="473"/>
      <c r="CJ5" s="473"/>
      <c r="CK5" s="474"/>
      <c r="CL5" s="861"/>
    </row>
    <row r="6" spans="2:90">
      <c r="B6" s="871"/>
      <c r="C6" s="238" t="s">
        <v>121</v>
      </c>
      <c r="D6" s="239" t="s">
        <v>253</v>
      </c>
      <c r="E6" s="240">
        <f>'Cash-flow PLAN'!E8</f>
        <v>0</v>
      </c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  <c r="AS6" s="240"/>
      <c r="AT6" s="240"/>
      <c r="AU6" s="240"/>
      <c r="AV6" s="240"/>
      <c r="AW6" s="240"/>
      <c r="AX6" s="240"/>
      <c r="AY6" s="240"/>
      <c r="AZ6" s="240"/>
      <c r="BA6" s="240"/>
      <c r="BB6" s="240"/>
      <c r="BC6" s="240"/>
      <c r="BD6" s="240"/>
      <c r="BE6" s="240"/>
      <c r="BF6" s="240"/>
      <c r="BG6" s="240"/>
      <c r="BH6" s="240"/>
      <c r="BI6" s="240"/>
      <c r="BJ6" s="240"/>
      <c r="BK6" s="240"/>
      <c r="BL6" s="240"/>
      <c r="BM6" s="240"/>
      <c r="BN6" s="240"/>
      <c r="BO6" s="240"/>
      <c r="BP6" s="240"/>
      <c r="BQ6" s="240"/>
      <c r="BR6" s="240"/>
      <c r="BS6" s="240"/>
      <c r="BT6" s="240"/>
      <c r="BU6" s="240"/>
      <c r="BV6" s="240"/>
      <c r="BW6" s="240"/>
      <c r="BX6" s="240"/>
      <c r="BY6" s="240"/>
      <c r="BZ6" s="240"/>
      <c r="CA6" s="240"/>
      <c r="CB6" s="240"/>
      <c r="CC6" s="240"/>
      <c r="CD6" s="240"/>
      <c r="CE6" s="240"/>
      <c r="CF6" s="240"/>
      <c r="CG6" s="240"/>
      <c r="CH6" s="240"/>
      <c r="CI6" s="240"/>
      <c r="CJ6" s="238"/>
      <c r="CK6" s="475">
        <f>SUM(E6:CJ6)</f>
        <v>0</v>
      </c>
      <c r="CL6" s="862"/>
    </row>
    <row r="7" spans="2:90" ht="18" customHeight="1">
      <c r="B7" s="865" t="s">
        <v>257</v>
      </c>
      <c r="C7" s="236" t="s">
        <v>632</v>
      </c>
      <c r="D7" s="233" t="s">
        <v>253</v>
      </c>
      <c r="E7" s="476"/>
      <c r="F7" s="476"/>
      <c r="G7" s="476"/>
      <c r="H7" s="476"/>
      <c r="I7" s="476"/>
      <c r="J7" s="476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34"/>
      <c r="AA7" s="234"/>
      <c r="AB7" s="234"/>
      <c r="AC7" s="234"/>
      <c r="AD7" s="234"/>
      <c r="AE7" s="234"/>
      <c r="AF7" s="234"/>
      <c r="AG7" s="234"/>
      <c r="AH7" s="234"/>
      <c r="AI7" s="234"/>
      <c r="AJ7" s="234"/>
      <c r="AK7" s="234"/>
      <c r="AL7" s="234"/>
      <c r="AM7" s="234"/>
      <c r="AN7" s="234"/>
      <c r="AO7" s="234"/>
      <c r="AP7" s="234"/>
      <c r="AQ7" s="234"/>
      <c r="AR7" s="234"/>
      <c r="AS7" s="234"/>
      <c r="AT7" s="234"/>
      <c r="AU7" s="234"/>
      <c r="AV7" s="234"/>
      <c r="AW7" s="234"/>
      <c r="AX7" s="234"/>
      <c r="AY7" s="234"/>
      <c r="AZ7" s="234"/>
      <c r="BA7" s="234"/>
      <c r="BB7" s="234"/>
      <c r="BC7" s="234"/>
      <c r="BD7" s="234"/>
      <c r="BE7" s="234"/>
      <c r="BF7" s="234"/>
      <c r="BG7" s="234"/>
      <c r="BH7" s="234"/>
      <c r="BI7" s="234"/>
      <c r="BJ7" s="234"/>
      <c r="BK7" s="234"/>
      <c r="BL7" s="234"/>
      <c r="BM7" s="234"/>
      <c r="BN7" s="234"/>
      <c r="BO7" s="234"/>
      <c r="BP7" s="234"/>
      <c r="BQ7" s="234"/>
      <c r="BR7" s="234"/>
      <c r="BS7" s="234"/>
      <c r="BT7" s="234"/>
      <c r="BU7" s="234"/>
      <c r="BV7" s="234"/>
      <c r="BW7" s="234"/>
      <c r="BX7" s="234"/>
      <c r="BY7" s="234"/>
      <c r="BZ7" s="234"/>
      <c r="CA7" s="234"/>
      <c r="CB7" s="234"/>
      <c r="CC7" s="234"/>
      <c r="CD7" s="234"/>
      <c r="CE7" s="234"/>
      <c r="CF7" s="234"/>
      <c r="CG7" s="234"/>
      <c r="CH7" s="234"/>
      <c r="CI7" s="234"/>
      <c r="CJ7" s="236"/>
      <c r="CK7" s="477">
        <f t="shared" ref="CK7:CK10" si="0">SUM(AC7:CJ7)</f>
        <v>0</v>
      </c>
      <c r="CL7" s="478">
        <f t="shared" ref="CL7:CL10" si="1">CK7+CK8</f>
        <v>0</v>
      </c>
    </row>
    <row r="8" spans="2:90" ht="18" customHeight="1">
      <c r="B8" s="866"/>
      <c r="C8" s="236" t="s">
        <v>633</v>
      </c>
      <c r="D8" s="233" t="s">
        <v>253</v>
      </c>
      <c r="E8" s="476"/>
      <c r="F8" s="476"/>
      <c r="G8" s="476"/>
      <c r="H8" s="476"/>
      <c r="I8" s="476"/>
      <c r="J8" s="476"/>
      <c r="K8" s="476"/>
      <c r="L8" s="476"/>
      <c r="M8" s="476"/>
      <c r="N8" s="476"/>
      <c r="O8" s="476"/>
      <c r="P8" s="476"/>
      <c r="Q8" s="476"/>
      <c r="R8" s="476"/>
      <c r="S8" s="476"/>
      <c r="T8" s="476"/>
      <c r="U8" s="476"/>
      <c r="V8" s="476"/>
      <c r="W8" s="476"/>
      <c r="X8" s="476"/>
      <c r="Y8" s="476"/>
      <c r="Z8" s="476"/>
      <c r="AA8" s="476"/>
      <c r="AB8" s="476"/>
      <c r="AC8" s="234"/>
      <c r="AD8" s="234"/>
      <c r="AE8" s="234"/>
      <c r="AF8" s="234"/>
      <c r="AG8" s="234"/>
      <c r="AH8" s="234"/>
      <c r="AI8" s="234"/>
      <c r="AJ8" s="234"/>
      <c r="AK8" s="234"/>
      <c r="AL8" s="234"/>
      <c r="AM8" s="234"/>
      <c r="AN8" s="234"/>
      <c r="AO8" s="234"/>
      <c r="AP8" s="234"/>
      <c r="AQ8" s="234"/>
      <c r="AR8" s="234"/>
      <c r="AS8" s="234"/>
      <c r="AT8" s="234"/>
      <c r="AU8" s="234"/>
      <c r="AV8" s="234"/>
      <c r="AW8" s="234"/>
      <c r="AX8" s="234"/>
      <c r="AY8" s="234"/>
      <c r="AZ8" s="234"/>
      <c r="BA8" s="234"/>
      <c r="BB8" s="234"/>
      <c r="BC8" s="234"/>
      <c r="BD8" s="234"/>
      <c r="BE8" s="234"/>
      <c r="BF8" s="234"/>
      <c r="BG8" s="234"/>
      <c r="BH8" s="234"/>
      <c r="BI8" s="234"/>
      <c r="BJ8" s="234"/>
      <c r="BK8" s="234"/>
      <c r="BL8" s="234"/>
      <c r="BM8" s="234"/>
      <c r="BN8" s="234"/>
      <c r="BO8" s="234"/>
      <c r="BP8" s="234"/>
      <c r="BQ8" s="234"/>
      <c r="BR8" s="234"/>
      <c r="BS8" s="234"/>
      <c r="BT8" s="234"/>
      <c r="BU8" s="234"/>
      <c r="BV8" s="234"/>
      <c r="BW8" s="234"/>
      <c r="BX8" s="234"/>
      <c r="BY8" s="234"/>
      <c r="BZ8" s="234"/>
      <c r="CA8" s="234"/>
      <c r="CB8" s="234"/>
      <c r="CC8" s="234"/>
      <c r="CD8" s="234"/>
      <c r="CE8" s="234"/>
      <c r="CF8" s="234"/>
      <c r="CG8" s="234"/>
      <c r="CH8" s="234"/>
      <c r="CI8" s="234"/>
      <c r="CJ8" s="236"/>
      <c r="CK8" s="477">
        <f t="shared" si="0"/>
        <v>0</v>
      </c>
      <c r="CL8" s="478">
        <f t="shared" si="1"/>
        <v>0</v>
      </c>
    </row>
    <row r="9" spans="2:90" ht="18" customHeight="1">
      <c r="B9" s="866"/>
      <c r="C9" s="236" t="s">
        <v>634</v>
      </c>
      <c r="D9" s="233" t="s">
        <v>253</v>
      </c>
      <c r="E9" s="476"/>
      <c r="F9" s="476"/>
      <c r="G9" s="476"/>
      <c r="H9" s="476"/>
      <c r="I9" s="476"/>
      <c r="J9" s="476"/>
      <c r="K9" s="476"/>
      <c r="L9" s="476"/>
      <c r="M9" s="476"/>
      <c r="N9" s="476"/>
      <c r="O9" s="476"/>
      <c r="P9" s="476"/>
      <c r="Q9" s="476"/>
      <c r="R9" s="476"/>
      <c r="S9" s="476"/>
      <c r="T9" s="476"/>
      <c r="U9" s="476"/>
      <c r="V9" s="476"/>
      <c r="W9" s="476"/>
      <c r="X9" s="476"/>
      <c r="Y9" s="476"/>
      <c r="Z9" s="476"/>
      <c r="AA9" s="476"/>
      <c r="AB9" s="476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4"/>
      <c r="BY9" s="234"/>
      <c r="BZ9" s="234"/>
      <c r="CA9" s="234"/>
      <c r="CB9" s="234"/>
      <c r="CC9" s="234"/>
      <c r="CD9" s="234"/>
      <c r="CE9" s="234"/>
      <c r="CF9" s="234"/>
      <c r="CG9" s="234"/>
      <c r="CH9" s="234"/>
      <c r="CI9" s="234"/>
      <c r="CJ9" s="236"/>
      <c r="CK9" s="477">
        <f t="shared" si="0"/>
        <v>0</v>
      </c>
      <c r="CL9" s="478">
        <f t="shared" si="1"/>
        <v>0</v>
      </c>
    </row>
    <row r="10" spans="2:90" ht="18" customHeight="1">
      <c r="B10" s="867"/>
      <c r="C10" s="479" t="s">
        <v>635</v>
      </c>
      <c r="D10" s="480" t="s">
        <v>253</v>
      </c>
      <c r="E10" s="481"/>
      <c r="F10" s="481"/>
      <c r="G10" s="481"/>
      <c r="H10" s="481"/>
      <c r="I10" s="481"/>
      <c r="J10" s="481"/>
      <c r="K10" s="481"/>
      <c r="L10" s="481"/>
      <c r="M10" s="481"/>
      <c r="N10" s="481"/>
      <c r="O10" s="481"/>
      <c r="P10" s="481"/>
      <c r="Q10" s="481"/>
      <c r="R10" s="481"/>
      <c r="S10" s="481"/>
      <c r="T10" s="481"/>
      <c r="U10" s="481"/>
      <c r="V10" s="481"/>
      <c r="W10" s="481"/>
      <c r="X10" s="481"/>
      <c r="Y10" s="481"/>
      <c r="Z10" s="481"/>
      <c r="AA10" s="481"/>
      <c r="AB10" s="481"/>
      <c r="AC10" s="482"/>
      <c r="AD10" s="482"/>
      <c r="AE10" s="482"/>
      <c r="AF10" s="482"/>
      <c r="AG10" s="482"/>
      <c r="AH10" s="482"/>
      <c r="AI10" s="482"/>
      <c r="AJ10" s="482"/>
      <c r="AK10" s="482"/>
      <c r="AL10" s="482"/>
      <c r="AM10" s="482"/>
      <c r="AN10" s="482"/>
      <c r="AO10" s="482"/>
      <c r="AP10" s="482"/>
      <c r="AQ10" s="482"/>
      <c r="AR10" s="482"/>
      <c r="AS10" s="482"/>
      <c r="AT10" s="482"/>
      <c r="AU10" s="482"/>
      <c r="AV10" s="482"/>
      <c r="AW10" s="482"/>
      <c r="AX10" s="482"/>
      <c r="AY10" s="482"/>
      <c r="AZ10" s="482"/>
      <c r="BA10" s="482"/>
      <c r="BB10" s="482"/>
      <c r="BC10" s="482"/>
      <c r="BD10" s="482"/>
      <c r="BE10" s="482"/>
      <c r="BF10" s="482"/>
      <c r="BG10" s="482"/>
      <c r="BH10" s="482"/>
      <c r="BI10" s="482"/>
      <c r="BJ10" s="482"/>
      <c r="BK10" s="482"/>
      <c r="BL10" s="482"/>
      <c r="BM10" s="482"/>
      <c r="BN10" s="482"/>
      <c r="BO10" s="482"/>
      <c r="BP10" s="482"/>
      <c r="BQ10" s="482"/>
      <c r="BR10" s="482"/>
      <c r="BS10" s="482"/>
      <c r="BT10" s="482"/>
      <c r="BU10" s="482"/>
      <c r="BV10" s="482"/>
      <c r="BW10" s="482"/>
      <c r="BX10" s="482"/>
      <c r="BY10" s="482"/>
      <c r="BZ10" s="482"/>
      <c r="CA10" s="482"/>
      <c r="CB10" s="482"/>
      <c r="CC10" s="482"/>
      <c r="CD10" s="482"/>
      <c r="CE10" s="482"/>
      <c r="CF10" s="482"/>
      <c r="CG10" s="482"/>
      <c r="CH10" s="482"/>
      <c r="CI10" s="482"/>
      <c r="CJ10" s="479"/>
      <c r="CK10" s="483">
        <f t="shared" si="0"/>
        <v>0</v>
      </c>
      <c r="CL10" s="484">
        <f t="shared" si="1"/>
        <v>0</v>
      </c>
    </row>
    <row r="13" spans="2:90">
      <c r="B13" s="665"/>
      <c r="C13" s="485" t="s">
        <v>636</v>
      </c>
      <c r="D13" s="486">
        <v>0.105</v>
      </c>
      <c r="E13" s="666">
        <f>'Cash-flow PLAN'!E54</f>
        <v>0</v>
      </c>
      <c r="F13" s="666">
        <f>'Cash-flow PLAN'!F54</f>
        <v>0</v>
      </c>
      <c r="G13" s="666">
        <f>'Cash-flow PLAN'!G54</f>
        <v>0</v>
      </c>
      <c r="H13" s="666">
        <f>'Cash-flow PLAN'!H54</f>
        <v>0</v>
      </c>
      <c r="I13" s="666">
        <f>'Cash-flow PLAN'!I54</f>
        <v>0</v>
      </c>
      <c r="J13" s="666">
        <f>'Cash-flow PLAN'!J54</f>
        <v>0</v>
      </c>
      <c r="K13" s="666">
        <f>'Cash-flow PLAN'!K54</f>
        <v>0</v>
      </c>
      <c r="L13" s="666">
        <f>'Cash-flow PLAN'!L54</f>
        <v>0</v>
      </c>
      <c r="M13" s="666">
        <f>'Cash-flow PLAN'!M54</f>
        <v>0</v>
      </c>
      <c r="N13" s="666">
        <f>'Cash-flow PLAN'!N54</f>
        <v>0</v>
      </c>
      <c r="O13" s="666">
        <f>'Cash-flow PLAN'!O54</f>
        <v>0</v>
      </c>
      <c r="P13" s="666">
        <f>'Cash-flow PLAN'!P54</f>
        <v>0</v>
      </c>
      <c r="Q13" s="666">
        <f>'Cash-flow PLAN'!Q54</f>
        <v>0</v>
      </c>
      <c r="R13" s="666">
        <f>'Cash-flow PLAN'!R54</f>
        <v>0</v>
      </c>
      <c r="S13" s="666">
        <f>'Cash-flow PLAN'!S54</f>
        <v>0</v>
      </c>
      <c r="T13" s="666">
        <f>'Cash-flow PLAN'!T54</f>
        <v>0</v>
      </c>
      <c r="U13" s="666">
        <f>'Cash-flow PLAN'!U54</f>
        <v>0</v>
      </c>
      <c r="V13" s="666">
        <f>'Cash-flow PLAN'!V54</f>
        <v>0</v>
      </c>
      <c r="W13" s="666">
        <f>'Cash-flow PLAN'!W54</f>
        <v>0</v>
      </c>
      <c r="X13" s="666">
        <f>'Cash-flow PLAN'!X54</f>
        <v>0</v>
      </c>
      <c r="Y13" s="666">
        <f>'Cash-flow PLAN'!Y54</f>
        <v>0</v>
      </c>
      <c r="Z13" s="666">
        <f>'Cash-flow PLAN'!Z54</f>
        <v>0</v>
      </c>
      <c r="AA13" s="666">
        <f>'Cash-flow PLAN'!AA54</f>
        <v>0</v>
      </c>
      <c r="AB13" s="666">
        <f>'Cash-flow PLAN'!AB54</f>
        <v>0</v>
      </c>
      <c r="AC13" s="666">
        <f>'Cash-flow PLAN'!AC54</f>
        <v>0</v>
      </c>
      <c r="AD13" s="666">
        <f>'Cash-flow PLAN'!AD54</f>
        <v>0</v>
      </c>
      <c r="AE13" s="666">
        <f>'Cash-flow PLAN'!AE54</f>
        <v>0</v>
      </c>
      <c r="AF13" s="666">
        <f>'Cash-flow PLAN'!AF54</f>
        <v>0</v>
      </c>
      <c r="AG13" s="666">
        <f>'Cash-flow PLAN'!AG54</f>
        <v>0</v>
      </c>
      <c r="AH13" s="666">
        <f>'Cash-flow PLAN'!AH54</f>
        <v>0</v>
      </c>
      <c r="AI13" s="666">
        <f>'Cash-flow PLAN'!AI54</f>
        <v>0</v>
      </c>
      <c r="AJ13" s="666">
        <f>'Cash-flow PLAN'!AJ54</f>
        <v>0</v>
      </c>
      <c r="AK13" s="666">
        <f>'Cash-flow PLAN'!AK54</f>
        <v>0</v>
      </c>
      <c r="AL13" s="666">
        <f>'Cash-flow PLAN'!AL54</f>
        <v>0</v>
      </c>
      <c r="AM13" s="666">
        <f>'Cash-flow PLAN'!AM54</f>
        <v>0</v>
      </c>
      <c r="AN13" s="666">
        <f>'Cash-flow PLAN'!AN54</f>
        <v>0</v>
      </c>
      <c r="AO13" s="666">
        <f>'Cash-flow PLAN'!AO54</f>
        <v>0</v>
      </c>
      <c r="AP13" s="666">
        <f>'Cash-flow PLAN'!AP54</f>
        <v>0</v>
      </c>
      <c r="AQ13" s="666">
        <f>'Cash-flow PLAN'!AQ54</f>
        <v>0</v>
      </c>
      <c r="AR13" s="666">
        <f>'Cash-flow PLAN'!AR54</f>
        <v>0</v>
      </c>
      <c r="AS13" s="666">
        <f>'Cash-flow PLAN'!AS54</f>
        <v>0</v>
      </c>
      <c r="AT13" s="666">
        <f>'Cash-flow PLAN'!AT54</f>
        <v>0</v>
      </c>
      <c r="AU13" s="666">
        <f>'Cash-flow PLAN'!AU54</f>
        <v>0</v>
      </c>
      <c r="AV13" s="666">
        <f>'Cash-flow PLAN'!AV54</f>
        <v>0</v>
      </c>
      <c r="AW13" s="666">
        <f>'Cash-flow PLAN'!AW54</f>
        <v>0</v>
      </c>
      <c r="AX13" s="666">
        <f>'Cash-flow PLAN'!AX54</f>
        <v>0</v>
      </c>
      <c r="AY13" s="666">
        <f>'Cash-flow PLAN'!AY54</f>
        <v>0</v>
      </c>
      <c r="AZ13" s="666">
        <f>'Cash-flow PLAN'!AZ54</f>
        <v>0</v>
      </c>
      <c r="BA13" s="666">
        <f>'Cash-flow PLAN'!BA54</f>
        <v>0</v>
      </c>
      <c r="BB13" s="666">
        <f>'Cash-flow PLAN'!BB54</f>
        <v>0</v>
      </c>
      <c r="BC13" s="666">
        <f>'Cash-flow PLAN'!BC54</f>
        <v>0</v>
      </c>
      <c r="BD13" s="666">
        <f>'Cash-flow PLAN'!BD54</f>
        <v>0</v>
      </c>
      <c r="BE13" s="666">
        <f>'Cash-flow PLAN'!BE54</f>
        <v>0</v>
      </c>
      <c r="BF13" s="666">
        <f>'Cash-flow PLAN'!BF54</f>
        <v>0</v>
      </c>
      <c r="BG13" s="666">
        <f>'Cash-flow PLAN'!BG54</f>
        <v>0</v>
      </c>
      <c r="BH13" s="666">
        <f>'Cash-flow PLAN'!BH54</f>
        <v>0</v>
      </c>
      <c r="BI13" s="666">
        <f>'Cash-flow PLAN'!BI54</f>
        <v>0</v>
      </c>
      <c r="BJ13" s="666">
        <f>'Cash-flow PLAN'!BJ54</f>
        <v>0</v>
      </c>
      <c r="BK13" s="666">
        <f>'Cash-flow PLAN'!BK54</f>
        <v>0</v>
      </c>
      <c r="BL13" s="666">
        <f>'Cash-flow PLAN'!BL54</f>
        <v>0</v>
      </c>
      <c r="BM13" s="666">
        <f>'Cash-flow PLAN'!BM54</f>
        <v>0</v>
      </c>
      <c r="BN13" s="666">
        <f>'Cash-flow PLAN'!BN54</f>
        <v>0</v>
      </c>
      <c r="BO13" s="666">
        <f>'Cash-flow PLAN'!BO54</f>
        <v>0</v>
      </c>
      <c r="BP13" s="666">
        <f>'Cash-flow PLAN'!BP54</f>
        <v>0</v>
      </c>
      <c r="BQ13" s="666">
        <f>'Cash-flow PLAN'!BQ54</f>
        <v>0</v>
      </c>
      <c r="BR13" s="666">
        <f>'Cash-flow PLAN'!BR54</f>
        <v>0</v>
      </c>
      <c r="BS13" s="666">
        <f>'Cash-flow PLAN'!BS54</f>
        <v>0</v>
      </c>
      <c r="BT13" s="666">
        <f>'Cash-flow PLAN'!BT54</f>
        <v>0</v>
      </c>
      <c r="BU13" s="666">
        <f>'Cash-flow PLAN'!BU54</f>
        <v>0</v>
      </c>
      <c r="BV13" s="666">
        <f>'Cash-flow PLAN'!BV54</f>
        <v>0</v>
      </c>
      <c r="BW13" s="666">
        <f>'Cash-flow PLAN'!BW54</f>
        <v>0</v>
      </c>
      <c r="BX13" s="667">
        <f>'Cash-flow PLAN'!BX54</f>
        <v>0</v>
      </c>
      <c r="BY13" s="668"/>
      <c r="BZ13" s="668"/>
      <c r="CA13" s="668"/>
      <c r="CB13" s="668"/>
      <c r="CC13" s="668"/>
      <c r="CD13" s="668"/>
      <c r="CE13" s="668"/>
      <c r="CF13" s="668"/>
      <c r="CG13" s="668"/>
      <c r="CH13" s="668"/>
      <c r="CI13" s="668"/>
      <c r="CJ13" s="487" t="e" vm="1">
        <v>#VALUE!</v>
      </c>
      <c r="CK13" s="488" t="e" vm="2">
        <f>SUM(E13:CJ13)</f>
        <v>#VALUE!</v>
      </c>
      <c r="CL13" s="863" t="e" vm="2">
        <f>SUM(CK13:CK20)</f>
        <v>#VALUE!</v>
      </c>
    </row>
    <row r="14" spans="2:90">
      <c r="B14" s="669"/>
      <c r="C14" s="253" t="s">
        <v>298</v>
      </c>
      <c r="D14" s="279">
        <v>0.105</v>
      </c>
      <c r="E14" s="670"/>
      <c r="F14" s="670"/>
      <c r="G14" s="670"/>
      <c r="H14" s="670"/>
      <c r="I14" s="670"/>
      <c r="J14" s="670"/>
      <c r="K14" s="670"/>
      <c r="L14" s="670"/>
      <c r="M14" s="670"/>
      <c r="N14" s="670"/>
      <c r="O14" s="670"/>
      <c r="P14" s="670"/>
      <c r="Q14" s="670"/>
      <c r="R14" s="670"/>
      <c r="S14" s="670"/>
      <c r="T14" s="670"/>
      <c r="U14" s="670"/>
      <c r="V14" s="670"/>
      <c r="W14" s="670"/>
      <c r="X14" s="670"/>
      <c r="Y14" s="670"/>
      <c r="Z14" s="670"/>
      <c r="AA14" s="670"/>
      <c r="AB14" s="670"/>
      <c r="AC14" s="671"/>
      <c r="AD14" s="671"/>
      <c r="AE14" s="671"/>
      <c r="AF14" s="671"/>
      <c r="AG14" s="671"/>
      <c r="AH14" s="671"/>
      <c r="AI14" s="671"/>
      <c r="AJ14" s="671"/>
      <c r="AK14" s="671"/>
      <c r="AL14" s="671"/>
      <c r="AM14" s="671"/>
      <c r="AN14" s="671"/>
      <c r="AO14" s="671"/>
      <c r="AP14" s="671"/>
      <c r="AQ14" s="671"/>
      <c r="AR14" s="671"/>
      <c r="AS14" s="671"/>
      <c r="AT14" s="671"/>
      <c r="AU14" s="671"/>
      <c r="AV14" s="671"/>
      <c r="AW14" s="671"/>
      <c r="AX14" s="671"/>
      <c r="AY14" s="671"/>
      <c r="AZ14" s="671"/>
      <c r="BA14" s="671"/>
      <c r="BB14" s="671"/>
      <c r="BC14" s="671"/>
      <c r="BD14" s="671"/>
      <c r="BE14" s="671"/>
      <c r="BF14" s="671"/>
      <c r="BG14" s="671"/>
      <c r="BH14" s="671"/>
      <c r="BI14" s="671"/>
      <c r="BJ14" s="671"/>
      <c r="BK14" s="671"/>
      <c r="BL14" s="671"/>
      <c r="BM14" s="671"/>
      <c r="BN14" s="671"/>
      <c r="BO14" s="671"/>
      <c r="BP14" s="671"/>
      <c r="BQ14" s="671"/>
      <c r="BR14" s="671"/>
      <c r="BS14" s="671"/>
      <c r="BT14" s="671"/>
      <c r="BU14" s="671"/>
      <c r="BV14" s="671"/>
      <c r="BW14" s="671"/>
      <c r="BX14" s="671"/>
      <c r="BY14" s="672"/>
      <c r="BZ14" s="672"/>
      <c r="CA14" s="672"/>
      <c r="CB14" s="672"/>
      <c r="CC14" s="672"/>
      <c r="CD14" s="672"/>
      <c r="CE14" s="672"/>
      <c r="CF14" s="672"/>
      <c r="CG14" s="672"/>
      <c r="CH14" s="672"/>
      <c r="CI14" s="672"/>
      <c r="CJ14" s="253"/>
      <c r="CK14" s="489"/>
      <c r="CL14" s="861"/>
    </row>
    <row r="15" spans="2:90">
      <c r="B15" s="669"/>
      <c r="C15" s="253" t="s">
        <v>299</v>
      </c>
      <c r="D15" s="279">
        <v>0.105</v>
      </c>
      <c r="E15" s="670"/>
      <c r="F15" s="670"/>
      <c r="G15" s="670"/>
      <c r="H15" s="670"/>
      <c r="I15" s="670"/>
      <c r="J15" s="670"/>
      <c r="K15" s="670"/>
      <c r="L15" s="670"/>
      <c r="M15" s="670"/>
      <c r="N15" s="670"/>
      <c r="O15" s="670"/>
      <c r="P15" s="670"/>
      <c r="Q15" s="670"/>
      <c r="R15" s="670"/>
      <c r="S15" s="670"/>
      <c r="T15" s="670"/>
      <c r="U15" s="670"/>
      <c r="V15" s="670"/>
      <c r="W15" s="670"/>
      <c r="X15" s="670"/>
      <c r="Y15" s="670"/>
      <c r="Z15" s="670"/>
      <c r="AA15" s="670"/>
      <c r="AB15" s="670"/>
      <c r="AC15" s="671"/>
      <c r="AD15" s="671"/>
      <c r="AE15" s="671"/>
      <c r="AF15" s="671"/>
      <c r="AG15" s="671"/>
      <c r="AH15" s="671"/>
      <c r="AI15" s="671"/>
      <c r="AJ15" s="671"/>
      <c r="AK15" s="671"/>
      <c r="AL15" s="671"/>
      <c r="AM15" s="671"/>
      <c r="AN15" s="671"/>
      <c r="AO15" s="671"/>
      <c r="AP15" s="671"/>
      <c r="AQ15" s="671"/>
      <c r="AR15" s="671"/>
      <c r="AS15" s="671"/>
      <c r="AT15" s="671"/>
      <c r="AU15" s="671"/>
      <c r="AV15" s="671"/>
      <c r="AW15" s="671"/>
      <c r="AX15" s="671"/>
      <c r="AY15" s="671"/>
      <c r="AZ15" s="671"/>
      <c r="BA15" s="671"/>
      <c r="BB15" s="671"/>
      <c r="BC15" s="671"/>
      <c r="BD15" s="671"/>
      <c r="BE15" s="671"/>
      <c r="BF15" s="671"/>
      <c r="BG15" s="671"/>
      <c r="BH15" s="671"/>
      <c r="BI15" s="671"/>
      <c r="BJ15" s="671"/>
      <c r="BK15" s="671"/>
      <c r="BL15" s="671"/>
      <c r="BM15" s="671"/>
      <c r="BN15" s="671"/>
      <c r="BO15" s="671"/>
      <c r="BP15" s="671"/>
      <c r="BQ15" s="671"/>
      <c r="BR15" s="671"/>
      <c r="BS15" s="671"/>
      <c r="BT15" s="671"/>
      <c r="BU15" s="671"/>
      <c r="BV15" s="671"/>
      <c r="BW15" s="671"/>
      <c r="BX15" s="671"/>
      <c r="BY15" s="672"/>
      <c r="BZ15" s="672"/>
      <c r="CA15" s="672"/>
      <c r="CB15" s="672"/>
      <c r="CC15" s="672"/>
      <c r="CD15" s="672"/>
      <c r="CE15" s="672"/>
      <c r="CF15" s="672"/>
      <c r="CG15" s="672"/>
      <c r="CH15" s="672"/>
      <c r="CI15" s="672"/>
      <c r="CJ15" s="253"/>
      <c r="CK15" s="489"/>
      <c r="CL15" s="861"/>
    </row>
    <row r="16" spans="2:90">
      <c r="B16" s="669"/>
      <c r="C16" s="253" t="s">
        <v>637</v>
      </c>
      <c r="D16" s="279">
        <v>0.105</v>
      </c>
      <c r="E16" s="670"/>
      <c r="F16" s="670"/>
      <c r="G16" s="670"/>
      <c r="H16" s="670"/>
      <c r="I16" s="670"/>
      <c r="J16" s="670"/>
      <c r="K16" s="670"/>
      <c r="L16" s="670"/>
      <c r="M16" s="670"/>
      <c r="N16" s="670"/>
      <c r="O16" s="670"/>
      <c r="P16" s="670"/>
      <c r="Q16" s="670"/>
      <c r="R16" s="670"/>
      <c r="S16" s="670"/>
      <c r="T16" s="670"/>
      <c r="U16" s="670"/>
      <c r="V16" s="670"/>
      <c r="W16" s="670"/>
      <c r="X16" s="670"/>
      <c r="Y16" s="670"/>
      <c r="Z16" s="670"/>
      <c r="AA16" s="670"/>
      <c r="AB16" s="670"/>
      <c r="AC16" s="672"/>
      <c r="AD16" s="672"/>
      <c r="AE16" s="672"/>
      <c r="AF16" s="672"/>
      <c r="AG16" s="672"/>
      <c r="AH16" s="672"/>
      <c r="AI16" s="672"/>
      <c r="AJ16" s="672"/>
      <c r="AK16" s="672"/>
      <c r="AL16" s="672"/>
      <c r="AM16" s="672"/>
      <c r="AN16" s="672"/>
      <c r="AO16" s="672"/>
      <c r="AP16" s="672"/>
      <c r="AQ16" s="672"/>
      <c r="AR16" s="672"/>
      <c r="AS16" s="672"/>
      <c r="AT16" s="672"/>
      <c r="AU16" s="672"/>
      <c r="AV16" s="672"/>
      <c r="AW16" s="672"/>
      <c r="AX16" s="672"/>
      <c r="AY16" s="672"/>
      <c r="AZ16" s="672"/>
      <c r="BA16" s="672"/>
      <c r="BB16" s="672"/>
      <c r="BC16" s="672"/>
      <c r="BD16" s="672"/>
      <c r="BE16" s="672"/>
      <c r="BF16" s="672"/>
      <c r="BG16" s="672"/>
      <c r="BH16" s="672"/>
      <c r="BI16" s="672"/>
      <c r="BJ16" s="672"/>
      <c r="BK16" s="672"/>
      <c r="BL16" s="672"/>
      <c r="BM16" s="672"/>
      <c r="BN16" s="672"/>
      <c r="BO16" s="672"/>
      <c r="BP16" s="672"/>
      <c r="BQ16" s="672"/>
      <c r="BR16" s="672"/>
      <c r="BS16" s="672"/>
      <c r="BT16" s="672"/>
      <c r="BU16" s="672"/>
      <c r="BV16" s="672"/>
      <c r="BW16" s="672"/>
      <c r="BX16" s="672"/>
      <c r="BY16" s="672"/>
      <c r="BZ16" s="672"/>
      <c r="CA16" s="672"/>
      <c r="CB16" s="672"/>
      <c r="CC16" s="672"/>
      <c r="CD16" s="672"/>
      <c r="CE16" s="672"/>
      <c r="CF16" s="672"/>
      <c r="CG16" s="672"/>
      <c r="CH16" s="672"/>
      <c r="CI16" s="672"/>
      <c r="CJ16" s="253"/>
      <c r="CK16" s="489">
        <f t="shared" ref="CK16:CK20" si="2">SUM(AC16:CJ16)</f>
        <v>0</v>
      </c>
      <c r="CL16" s="861"/>
    </row>
    <row r="17" spans="3:90">
      <c r="C17" s="253" t="s">
        <v>638</v>
      </c>
      <c r="D17" s="279">
        <v>0.12</v>
      </c>
      <c r="E17" s="670"/>
      <c r="F17" s="670"/>
      <c r="G17" s="670"/>
      <c r="H17" s="670"/>
      <c r="I17" s="670"/>
      <c r="J17" s="670"/>
      <c r="K17" s="670"/>
      <c r="L17" s="670"/>
      <c r="M17" s="670"/>
      <c r="N17" s="670"/>
      <c r="O17" s="670"/>
      <c r="P17" s="670"/>
      <c r="Q17" s="670"/>
      <c r="R17" s="670"/>
      <c r="S17" s="670"/>
      <c r="T17" s="670"/>
      <c r="U17" s="670"/>
      <c r="V17" s="670"/>
      <c r="W17" s="670"/>
      <c r="X17" s="670"/>
      <c r="Y17" s="670"/>
      <c r="Z17" s="670"/>
      <c r="AA17" s="670"/>
      <c r="AB17" s="670"/>
      <c r="AC17" s="672"/>
      <c r="AD17" s="672"/>
      <c r="AE17" s="672"/>
      <c r="AF17" s="672"/>
      <c r="AG17" s="672"/>
      <c r="AH17" s="672"/>
      <c r="AI17" s="672"/>
      <c r="AJ17" s="672"/>
      <c r="AK17" s="672"/>
      <c r="AL17" s="672"/>
      <c r="AM17" s="672"/>
      <c r="AN17" s="672"/>
      <c r="AO17" s="672"/>
      <c r="AP17" s="672"/>
      <c r="AQ17" s="672"/>
      <c r="AR17" s="672"/>
      <c r="AS17" s="672"/>
      <c r="AT17" s="672"/>
      <c r="AU17" s="672"/>
      <c r="AV17" s="672"/>
      <c r="AW17" s="672"/>
      <c r="AX17" s="672"/>
      <c r="AY17" s="672"/>
      <c r="AZ17" s="672"/>
      <c r="BA17" s="672"/>
      <c r="BB17" s="672"/>
      <c r="BC17" s="672"/>
      <c r="BD17" s="672"/>
      <c r="BE17" s="672"/>
      <c r="BF17" s="672"/>
      <c r="BG17" s="672"/>
      <c r="BH17" s="672"/>
      <c r="BI17" s="672"/>
      <c r="BJ17" s="672"/>
      <c r="BK17" s="672"/>
      <c r="BL17" s="672"/>
      <c r="BM17" s="672"/>
      <c r="BN17" s="672"/>
      <c r="BO17" s="672"/>
      <c r="BP17" s="672"/>
      <c r="BQ17" s="672"/>
      <c r="BR17" s="672"/>
      <c r="BS17" s="672"/>
      <c r="BT17" s="672"/>
      <c r="BU17" s="672"/>
      <c r="BV17" s="672"/>
      <c r="BW17" s="672"/>
      <c r="BX17" s="672"/>
      <c r="BY17" s="672"/>
      <c r="BZ17" s="672"/>
      <c r="CA17" s="672"/>
      <c r="CB17" s="672"/>
      <c r="CC17" s="672"/>
      <c r="CD17" s="672"/>
      <c r="CE17" s="672"/>
      <c r="CF17" s="672"/>
      <c r="CG17" s="672"/>
      <c r="CH17" s="672"/>
      <c r="CI17" s="672"/>
      <c r="CJ17" s="253"/>
      <c r="CK17" s="489">
        <f t="shared" si="2"/>
        <v>0</v>
      </c>
      <c r="CL17" s="861"/>
    </row>
    <row r="18" spans="3:90">
      <c r="C18" s="253" t="s">
        <v>639</v>
      </c>
      <c r="D18" s="279">
        <v>0.12</v>
      </c>
      <c r="E18" s="670"/>
      <c r="F18" s="670"/>
      <c r="G18" s="670"/>
      <c r="H18" s="670"/>
      <c r="I18" s="670"/>
      <c r="J18" s="670"/>
      <c r="K18" s="670"/>
      <c r="L18" s="670"/>
      <c r="M18" s="670"/>
      <c r="N18" s="670"/>
      <c r="O18" s="670"/>
      <c r="P18" s="670"/>
      <c r="Q18" s="670"/>
      <c r="R18" s="670"/>
      <c r="S18" s="670"/>
      <c r="T18" s="670"/>
      <c r="U18" s="670"/>
      <c r="V18" s="670"/>
      <c r="W18" s="670"/>
      <c r="X18" s="670"/>
      <c r="Y18" s="670"/>
      <c r="Z18" s="670"/>
      <c r="AA18" s="670"/>
      <c r="AB18" s="670"/>
      <c r="AC18" s="672"/>
      <c r="AD18" s="672"/>
      <c r="AE18" s="672"/>
      <c r="AF18" s="672"/>
      <c r="AG18" s="672"/>
      <c r="AH18" s="672"/>
      <c r="AI18" s="672"/>
      <c r="AJ18" s="672"/>
      <c r="AK18" s="672"/>
      <c r="AL18" s="672"/>
      <c r="AM18" s="672"/>
      <c r="AN18" s="672"/>
      <c r="AO18" s="672"/>
      <c r="AP18" s="672"/>
      <c r="AQ18" s="672"/>
      <c r="AR18" s="672"/>
      <c r="AS18" s="672"/>
      <c r="AT18" s="672"/>
      <c r="AU18" s="672"/>
      <c r="AV18" s="672"/>
      <c r="AW18" s="672"/>
      <c r="AX18" s="672"/>
      <c r="AY18" s="672"/>
      <c r="AZ18" s="672"/>
      <c r="BA18" s="672"/>
      <c r="BB18" s="672"/>
      <c r="BC18" s="672"/>
      <c r="BD18" s="672"/>
      <c r="BE18" s="672"/>
      <c r="BF18" s="672"/>
      <c r="BG18" s="672"/>
      <c r="BH18" s="672"/>
      <c r="BI18" s="672"/>
      <c r="BJ18" s="672"/>
      <c r="BK18" s="672"/>
      <c r="BL18" s="672"/>
      <c r="BM18" s="672"/>
      <c r="BN18" s="672"/>
      <c r="BO18" s="672"/>
      <c r="BP18" s="672"/>
      <c r="BQ18" s="672"/>
      <c r="BR18" s="672"/>
      <c r="BS18" s="672"/>
      <c r="BT18" s="672"/>
      <c r="BU18" s="672"/>
      <c r="BV18" s="672"/>
      <c r="BW18" s="672"/>
      <c r="BX18" s="672"/>
      <c r="BY18" s="672"/>
      <c r="BZ18" s="672"/>
      <c r="CA18" s="672"/>
      <c r="CB18" s="672"/>
      <c r="CC18" s="672"/>
      <c r="CD18" s="672"/>
      <c r="CE18" s="672"/>
      <c r="CF18" s="672"/>
      <c r="CG18" s="672"/>
      <c r="CH18" s="672"/>
      <c r="CI18" s="672"/>
      <c r="CJ18" s="253"/>
      <c r="CK18" s="489">
        <f t="shared" si="2"/>
        <v>0</v>
      </c>
      <c r="CL18" s="861"/>
    </row>
    <row r="19" spans="3:90">
      <c r="C19" s="253" t="s">
        <v>640</v>
      </c>
      <c r="D19" s="279">
        <v>0.12</v>
      </c>
      <c r="E19" s="670"/>
      <c r="F19" s="670"/>
      <c r="G19" s="670"/>
      <c r="H19" s="670"/>
      <c r="I19" s="670"/>
      <c r="J19" s="670"/>
      <c r="K19" s="670"/>
      <c r="L19" s="670"/>
      <c r="M19" s="670"/>
      <c r="N19" s="670"/>
      <c r="O19" s="670"/>
      <c r="P19" s="670"/>
      <c r="Q19" s="670"/>
      <c r="R19" s="670"/>
      <c r="S19" s="670"/>
      <c r="T19" s="670"/>
      <c r="U19" s="670"/>
      <c r="V19" s="670"/>
      <c r="W19" s="670"/>
      <c r="X19" s="670"/>
      <c r="Y19" s="670"/>
      <c r="Z19" s="670"/>
      <c r="AA19" s="670"/>
      <c r="AB19" s="670"/>
      <c r="AC19" s="672"/>
      <c r="AD19" s="672"/>
      <c r="AE19" s="672"/>
      <c r="AF19" s="672"/>
      <c r="AG19" s="672"/>
      <c r="AH19" s="672"/>
      <c r="AI19" s="672"/>
      <c r="AJ19" s="672"/>
      <c r="AK19" s="672"/>
      <c r="AL19" s="672"/>
      <c r="AM19" s="672"/>
      <c r="AN19" s="672"/>
      <c r="AO19" s="672"/>
      <c r="AP19" s="672"/>
      <c r="AQ19" s="672"/>
      <c r="AR19" s="672"/>
      <c r="AS19" s="672"/>
      <c r="AT19" s="672"/>
      <c r="AU19" s="672"/>
      <c r="AV19" s="672"/>
      <c r="AW19" s="672"/>
      <c r="AX19" s="672"/>
      <c r="AY19" s="672"/>
      <c r="AZ19" s="672"/>
      <c r="BA19" s="672"/>
      <c r="BB19" s="672"/>
      <c r="BC19" s="672"/>
      <c r="BD19" s="672"/>
      <c r="BE19" s="672"/>
      <c r="BF19" s="672"/>
      <c r="BG19" s="672"/>
      <c r="BH19" s="672"/>
      <c r="BI19" s="672"/>
      <c r="BJ19" s="672"/>
      <c r="BK19" s="672"/>
      <c r="BL19" s="672"/>
      <c r="BM19" s="672"/>
      <c r="BN19" s="672"/>
      <c r="BO19" s="672"/>
      <c r="BP19" s="672"/>
      <c r="BQ19" s="672"/>
      <c r="BR19" s="672"/>
      <c r="BS19" s="672"/>
      <c r="BT19" s="672"/>
      <c r="BU19" s="672"/>
      <c r="BV19" s="672"/>
      <c r="BW19" s="672"/>
      <c r="BX19" s="672"/>
      <c r="BY19" s="672"/>
      <c r="BZ19" s="672"/>
      <c r="CA19" s="672"/>
      <c r="CB19" s="672"/>
      <c r="CC19" s="672"/>
      <c r="CD19" s="672"/>
      <c r="CE19" s="672"/>
      <c r="CF19" s="672"/>
      <c r="CG19" s="672"/>
      <c r="CH19" s="672"/>
      <c r="CI19" s="672"/>
      <c r="CJ19" s="253"/>
      <c r="CK19" s="489">
        <f t="shared" si="2"/>
        <v>0</v>
      </c>
      <c r="CL19" s="861"/>
    </row>
    <row r="20" spans="3:90">
      <c r="C20" s="490" t="s">
        <v>641</v>
      </c>
      <c r="D20" s="491">
        <v>0.12</v>
      </c>
      <c r="E20" s="673"/>
      <c r="F20" s="673"/>
      <c r="G20" s="673"/>
      <c r="H20" s="673"/>
      <c r="I20" s="673"/>
      <c r="J20" s="673"/>
      <c r="K20" s="673"/>
      <c r="L20" s="673"/>
      <c r="M20" s="673"/>
      <c r="N20" s="673"/>
      <c r="O20" s="673"/>
      <c r="P20" s="673"/>
      <c r="Q20" s="673"/>
      <c r="R20" s="673"/>
      <c r="S20" s="673"/>
      <c r="T20" s="673"/>
      <c r="U20" s="673"/>
      <c r="V20" s="673"/>
      <c r="W20" s="673"/>
      <c r="X20" s="673"/>
      <c r="Y20" s="673"/>
      <c r="Z20" s="673"/>
      <c r="AA20" s="673"/>
      <c r="AB20" s="673"/>
      <c r="AC20" s="674"/>
      <c r="AD20" s="674"/>
      <c r="AE20" s="674"/>
      <c r="AF20" s="674"/>
      <c r="AG20" s="674"/>
      <c r="AH20" s="674"/>
      <c r="AI20" s="674"/>
      <c r="AJ20" s="674"/>
      <c r="AK20" s="674"/>
      <c r="AL20" s="674"/>
      <c r="AM20" s="674"/>
      <c r="AN20" s="674"/>
      <c r="AO20" s="674"/>
      <c r="AP20" s="674"/>
      <c r="AQ20" s="674"/>
      <c r="AR20" s="674"/>
      <c r="AS20" s="674"/>
      <c r="AT20" s="674"/>
      <c r="AU20" s="674"/>
      <c r="AV20" s="674"/>
      <c r="AW20" s="674"/>
      <c r="AX20" s="674"/>
      <c r="AY20" s="674"/>
      <c r="AZ20" s="674"/>
      <c r="BA20" s="674"/>
      <c r="BB20" s="674"/>
      <c r="BC20" s="674"/>
      <c r="BD20" s="674"/>
      <c r="BE20" s="674"/>
      <c r="BF20" s="674"/>
      <c r="BG20" s="674"/>
      <c r="BH20" s="674"/>
      <c r="BI20" s="674"/>
      <c r="BJ20" s="674"/>
      <c r="BK20" s="674"/>
      <c r="BL20" s="674"/>
      <c r="BM20" s="674"/>
      <c r="BN20" s="674"/>
      <c r="BO20" s="674"/>
      <c r="BP20" s="674"/>
      <c r="BQ20" s="674"/>
      <c r="BR20" s="674"/>
      <c r="BS20" s="674"/>
      <c r="BT20" s="674"/>
      <c r="BU20" s="674"/>
      <c r="BV20" s="674"/>
      <c r="BW20" s="674"/>
      <c r="BX20" s="674"/>
      <c r="BY20" s="674"/>
      <c r="BZ20" s="674"/>
      <c r="CA20" s="674"/>
      <c r="CB20" s="674"/>
      <c r="CC20" s="674"/>
      <c r="CD20" s="674"/>
      <c r="CE20" s="674"/>
      <c r="CF20" s="674"/>
      <c r="CG20" s="674"/>
      <c r="CH20" s="674"/>
      <c r="CI20" s="674"/>
      <c r="CJ20" s="490"/>
      <c r="CK20" s="492">
        <f t="shared" si="2"/>
        <v>0</v>
      </c>
      <c r="CL20" s="864"/>
    </row>
    <row r="23" spans="3:90">
      <c r="C23" s="485" t="s">
        <v>642</v>
      </c>
      <c r="D23" s="493" t="s">
        <v>270</v>
      </c>
      <c r="E23" s="494">
        <f>'Cash-flow PLAN'!E89</f>
        <v>0</v>
      </c>
      <c r="F23" s="494">
        <f>'Cash-flow PLAN'!F89</f>
        <v>0</v>
      </c>
      <c r="G23" s="494">
        <f>'Cash-flow PLAN'!G89</f>
        <v>0</v>
      </c>
      <c r="H23" s="494">
        <f>'Cash-flow PLAN'!H89</f>
        <v>0</v>
      </c>
      <c r="I23" s="494">
        <f>'Cash-flow PLAN'!I89</f>
        <v>0</v>
      </c>
      <c r="J23" s="494">
        <f>'Cash-flow PLAN'!J89</f>
        <v>0</v>
      </c>
      <c r="K23" s="494">
        <f>'Cash-flow PLAN'!K89</f>
        <v>0</v>
      </c>
      <c r="L23" s="494">
        <f>'Cash-flow PLAN'!L89</f>
        <v>0</v>
      </c>
      <c r="M23" s="494">
        <f>'Cash-flow PLAN'!M89</f>
        <v>0</v>
      </c>
      <c r="N23" s="494">
        <f>'Cash-flow PLAN'!N89</f>
        <v>0</v>
      </c>
      <c r="O23" s="494">
        <f>'Cash-flow PLAN'!O89</f>
        <v>0</v>
      </c>
      <c r="P23" s="494">
        <f>'Cash-flow PLAN'!P89</f>
        <v>0</v>
      </c>
      <c r="Q23" s="494">
        <f>'Cash-flow PLAN'!Q89</f>
        <v>0</v>
      </c>
      <c r="R23" s="494">
        <f>'Cash-flow PLAN'!R89</f>
        <v>0</v>
      </c>
      <c r="S23" s="494">
        <f>'Cash-flow PLAN'!S89</f>
        <v>0</v>
      </c>
      <c r="T23" s="494">
        <f>'Cash-flow PLAN'!T89</f>
        <v>-19365002</v>
      </c>
      <c r="U23" s="494">
        <f>'Cash-flow PLAN'!U89</f>
        <v>0</v>
      </c>
      <c r="V23" s="494">
        <f>'Cash-flow PLAN'!V89</f>
        <v>0</v>
      </c>
      <c r="W23" s="494">
        <f>'Cash-flow PLAN'!W89</f>
        <v>0</v>
      </c>
      <c r="X23" s="494">
        <f>'Cash-flow PLAN'!X89</f>
        <v>0</v>
      </c>
      <c r="Y23" s="494">
        <f>'Cash-flow PLAN'!Y89</f>
        <v>0</v>
      </c>
      <c r="Z23" s="494">
        <f>'Cash-flow PLAN'!Z89</f>
        <v>0</v>
      </c>
      <c r="AA23" s="494">
        <f>'Cash-flow PLAN'!AA89</f>
        <v>0</v>
      </c>
      <c r="AB23" s="494">
        <f>'Cash-flow PLAN'!AB89</f>
        <v>0</v>
      </c>
      <c r="AC23" s="494">
        <f>'Cash-flow PLAN'!AC89</f>
        <v>0</v>
      </c>
      <c r="AD23" s="494">
        <f>'Cash-flow PLAN'!AD89</f>
        <v>0</v>
      </c>
      <c r="AE23" s="494">
        <f>'Cash-flow PLAN'!AE89</f>
        <v>0</v>
      </c>
      <c r="AF23" s="494">
        <f>'Cash-flow PLAN'!AF89</f>
        <v>0</v>
      </c>
      <c r="AG23" s="494">
        <f>'Cash-flow PLAN'!AG89</f>
        <v>0</v>
      </c>
      <c r="AH23" s="494">
        <f>'Cash-flow PLAN'!AH89</f>
        <v>0</v>
      </c>
      <c r="AI23" s="494">
        <f>'Cash-flow PLAN'!AI89</f>
        <v>0</v>
      </c>
      <c r="AJ23" s="494">
        <f>'Cash-flow PLAN'!AJ89</f>
        <v>0</v>
      </c>
      <c r="AK23" s="494">
        <f>'Cash-flow PLAN'!AK89</f>
        <v>0</v>
      </c>
      <c r="AL23" s="494">
        <f>'Cash-flow PLAN'!AL89</f>
        <v>0</v>
      </c>
      <c r="AM23" s="494">
        <f>'Cash-flow PLAN'!AM89</f>
        <v>0</v>
      </c>
      <c r="AN23" s="494">
        <f>'Cash-flow PLAN'!AN89</f>
        <v>0</v>
      </c>
      <c r="AO23" s="494">
        <f>'Cash-flow PLAN'!AO89</f>
        <v>0</v>
      </c>
      <c r="AP23" s="494">
        <f>'Cash-flow PLAN'!AP89</f>
        <v>0</v>
      </c>
      <c r="AQ23" s="494">
        <f>'Cash-flow PLAN'!AQ89</f>
        <v>0</v>
      </c>
      <c r="AR23" s="494">
        <f>'Cash-flow PLAN'!AR89</f>
        <v>0</v>
      </c>
      <c r="AS23" s="494">
        <f>'Cash-flow PLAN'!AS89</f>
        <v>0</v>
      </c>
      <c r="AT23" s="494">
        <f>'Cash-flow PLAN'!AT89</f>
        <v>0</v>
      </c>
      <c r="AU23" s="494">
        <f>'Cash-flow PLAN'!AU89</f>
        <v>0</v>
      </c>
      <c r="AV23" s="494">
        <f>'Cash-flow PLAN'!AV89</f>
        <v>0</v>
      </c>
      <c r="AW23" s="494">
        <f>'Cash-flow PLAN'!AW89</f>
        <v>0</v>
      </c>
      <c r="AX23" s="494">
        <f>'Cash-flow PLAN'!AX89</f>
        <v>0</v>
      </c>
      <c r="AY23" s="494">
        <f>'Cash-flow PLAN'!AY89</f>
        <v>0</v>
      </c>
      <c r="AZ23" s="494">
        <f>'Cash-flow PLAN'!AZ89</f>
        <v>0</v>
      </c>
      <c r="BA23" s="494">
        <f>'Cash-flow PLAN'!BA89</f>
        <v>0</v>
      </c>
      <c r="BB23" s="494">
        <f>'Cash-flow PLAN'!BB89</f>
        <v>0</v>
      </c>
      <c r="BC23" s="494">
        <f>'Cash-flow PLAN'!BC89</f>
        <v>0</v>
      </c>
      <c r="BD23" s="494">
        <f>'Cash-flow PLAN'!BD89</f>
        <v>0</v>
      </c>
      <c r="BE23" s="494">
        <f>'Cash-flow PLAN'!BE89</f>
        <v>0</v>
      </c>
      <c r="BF23" s="494">
        <f>'Cash-flow PLAN'!BF89</f>
        <v>0</v>
      </c>
      <c r="BG23" s="494">
        <f>'Cash-flow PLAN'!BG89</f>
        <v>0</v>
      </c>
      <c r="BH23" s="494">
        <f>'Cash-flow PLAN'!BH89</f>
        <v>0</v>
      </c>
      <c r="BI23" s="494">
        <f>'Cash-flow PLAN'!BI89</f>
        <v>0</v>
      </c>
      <c r="BJ23" s="494">
        <f>'Cash-flow PLAN'!BJ89</f>
        <v>0</v>
      </c>
      <c r="BK23" s="494">
        <f>'Cash-flow PLAN'!BK89</f>
        <v>0</v>
      </c>
      <c r="BL23" s="494">
        <f>'Cash-flow PLAN'!BL89</f>
        <v>0</v>
      </c>
      <c r="BM23" s="494">
        <f>'Cash-flow PLAN'!BM89</f>
        <v>0</v>
      </c>
      <c r="BN23" s="494">
        <f>'Cash-flow PLAN'!BN89</f>
        <v>0</v>
      </c>
      <c r="BO23" s="494">
        <f>'Cash-flow PLAN'!BO89</f>
        <v>0</v>
      </c>
      <c r="BP23" s="494">
        <f>'Cash-flow PLAN'!BP89</f>
        <v>0</v>
      </c>
      <c r="BQ23" s="494">
        <f>'Cash-flow PLAN'!BQ89</f>
        <v>0</v>
      </c>
      <c r="BR23" s="494">
        <f>'Cash-flow PLAN'!BR89</f>
        <v>0</v>
      </c>
      <c r="BS23" s="494">
        <f>'Cash-flow PLAN'!BS89</f>
        <v>0</v>
      </c>
      <c r="BT23" s="494">
        <f>'Cash-flow PLAN'!BT89</f>
        <v>0</v>
      </c>
      <c r="BU23" s="494">
        <f>'Cash-flow PLAN'!BU89</f>
        <v>0</v>
      </c>
      <c r="BV23" s="494">
        <f>'Cash-flow PLAN'!BV89</f>
        <v>0</v>
      </c>
      <c r="BW23" s="494">
        <f>'Cash-flow PLAN'!BW89</f>
        <v>0</v>
      </c>
      <c r="BX23" s="494">
        <f>'Cash-flow PLAN'!BX89</f>
        <v>0</v>
      </c>
      <c r="BY23" s="668"/>
      <c r="BZ23" s="668"/>
      <c r="CA23" s="668"/>
      <c r="CB23" s="668"/>
      <c r="CC23" s="668"/>
      <c r="CD23" s="668"/>
      <c r="CE23" s="668"/>
      <c r="CF23" s="668"/>
      <c r="CG23" s="668"/>
      <c r="CH23" s="668"/>
      <c r="CI23" s="668"/>
      <c r="CJ23" s="487"/>
      <c r="CK23" s="495">
        <f t="shared" ref="CK23:CK30" si="3">SUM(E23:CJ23)</f>
        <v>-19365002</v>
      </c>
      <c r="CL23" s="863">
        <f>SUM(CK23:CK33)</f>
        <v>-22465002</v>
      </c>
    </row>
    <row r="24" spans="3:90">
      <c r="C24" s="253" t="s">
        <v>328</v>
      </c>
      <c r="D24" s="254" t="s">
        <v>270</v>
      </c>
      <c r="E24" s="675">
        <f>'Cash-flow PLAN'!E90</f>
        <v>0</v>
      </c>
      <c r="F24" s="675">
        <f>'Cash-flow PLAN'!F90</f>
        <v>0</v>
      </c>
      <c r="G24" s="675">
        <f>'Cash-flow PLAN'!G90</f>
        <v>0</v>
      </c>
      <c r="H24" s="675">
        <f>'Cash-flow PLAN'!H90</f>
        <v>0</v>
      </c>
      <c r="I24" s="675">
        <f>'Cash-flow PLAN'!I90</f>
        <v>0</v>
      </c>
      <c r="J24" s="675">
        <f>'Cash-flow PLAN'!J90</f>
        <v>0</v>
      </c>
      <c r="K24" s="675">
        <f>'Cash-flow PLAN'!K90</f>
        <v>0</v>
      </c>
      <c r="L24" s="675">
        <f>'Cash-flow PLAN'!L90</f>
        <v>0</v>
      </c>
      <c r="M24" s="675">
        <f>'Cash-flow PLAN'!M90</f>
        <v>0</v>
      </c>
      <c r="N24" s="675">
        <f>'Cash-flow PLAN'!N90</f>
        <v>0</v>
      </c>
      <c r="O24" s="675">
        <f>'Cash-flow PLAN'!O90</f>
        <v>0</v>
      </c>
      <c r="P24" s="675">
        <f>'Cash-flow PLAN'!P90</f>
        <v>0</v>
      </c>
      <c r="Q24" s="675">
        <f>'Cash-flow PLAN'!Q90</f>
        <v>0</v>
      </c>
      <c r="R24" s="675">
        <f>'Cash-flow PLAN'!R90</f>
        <v>0</v>
      </c>
      <c r="S24" s="675">
        <f>'Cash-flow PLAN'!S90</f>
        <v>0</v>
      </c>
      <c r="T24" s="675">
        <f>'Cash-flow PLAN'!T90</f>
        <v>-3100000</v>
      </c>
      <c r="U24" s="675">
        <f>'Cash-flow PLAN'!U90</f>
        <v>0</v>
      </c>
      <c r="V24" s="675">
        <f>'Cash-flow PLAN'!V90</f>
        <v>0</v>
      </c>
      <c r="W24" s="675">
        <f>'Cash-flow PLAN'!W90</f>
        <v>0</v>
      </c>
      <c r="X24" s="675">
        <f>'Cash-flow PLAN'!X90</f>
        <v>0</v>
      </c>
      <c r="Y24" s="675">
        <f>'Cash-flow PLAN'!Y90</f>
        <v>0</v>
      </c>
      <c r="Z24" s="675">
        <f>'Cash-flow PLAN'!Z90</f>
        <v>0</v>
      </c>
      <c r="AA24" s="675">
        <f>'Cash-flow PLAN'!AA90</f>
        <v>0</v>
      </c>
      <c r="AB24" s="675">
        <f>'Cash-flow PLAN'!AB90</f>
        <v>0</v>
      </c>
      <c r="AC24" s="675">
        <f>'Cash-flow PLAN'!AC90</f>
        <v>0</v>
      </c>
      <c r="AD24" s="675">
        <f>'Cash-flow PLAN'!AD90</f>
        <v>0</v>
      </c>
      <c r="AE24" s="675">
        <f>'Cash-flow PLAN'!AE90</f>
        <v>0</v>
      </c>
      <c r="AF24" s="675">
        <f>'Cash-flow PLAN'!AF90</f>
        <v>0</v>
      </c>
      <c r="AG24" s="675">
        <f>'Cash-flow PLAN'!AG90</f>
        <v>0</v>
      </c>
      <c r="AH24" s="675">
        <f>'Cash-flow PLAN'!AH90</f>
        <v>0</v>
      </c>
      <c r="AI24" s="675">
        <f>'Cash-flow PLAN'!AI90</f>
        <v>0</v>
      </c>
      <c r="AJ24" s="675">
        <f>'Cash-flow PLAN'!AJ90</f>
        <v>0</v>
      </c>
      <c r="AK24" s="675">
        <f>'Cash-flow PLAN'!AK90</f>
        <v>0</v>
      </c>
      <c r="AL24" s="675">
        <f>'Cash-flow PLAN'!AL90</f>
        <v>0</v>
      </c>
      <c r="AM24" s="675">
        <f>'Cash-flow PLAN'!AM90</f>
        <v>0</v>
      </c>
      <c r="AN24" s="675">
        <f>'Cash-flow PLAN'!AN90</f>
        <v>0</v>
      </c>
      <c r="AO24" s="675">
        <f>'Cash-flow PLAN'!AO90</f>
        <v>0</v>
      </c>
      <c r="AP24" s="675">
        <f>'Cash-flow PLAN'!AP90</f>
        <v>0</v>
      </c>
      <c r="AQ24" s="675">
        <f>'Cash-flow PLAN'!AQ90</f>
        <v>0</v>
      </c>
      <c r="AR24" s="675">
        <f>'Cash-flow PLAN'!AR90</f>
        <v>0</v>
      </c>
      <c r="AS24" s="675">
        <f>'Cash-flow PLAN'!AS90</f>
        <v>0</v>
      </c>
      <c r="AT24" s="675">
        <f>'Cash-flow PLAN'!AT90</f>
        <v>0</v>
      </c>
      <c r="AU24" s="675">
        <f>'Cash-flow PLAN'!AU90</f>
        <v>0</v>
      </c>
      <c r="AV24" s="675">
        <f>'Cash-flow PLAN'!AV90</f>
        <v>0</v>
      </c>
      <c r="AW24" s="675">
        <f>'Cash-flow PLAN'!AW90</f>
        <v>0</v>
      </c>
      <c r="AX24" s="675">
        <f>'Cash-flow PLAN'!AX90</f>
        <v>0</v>
      </c>
      <c r="AY24" s="675">
        <f>'Cash-flow PLAN'!AY90</f>
        <v>0</v>
      </c>
      <c r="AZ24" s="675">
        <f>'Cash-flow PLAN'!AZ90</f>
        <v>0</v>
      </c>
      <c r="BA24" s="675">
        <f>'Cash-flow PLAN'!BA90</f>
        <v>0</v>
      </c>
      <c r="BB24" s="675">
        <f>'Cash-flow PLAN'!BB90</f>
        <v>0</v>
      </c>
      <c r="BC24" s="675">
        <f>'Cash-flow PLAN'!BC90</f>
        <v>0</v>
      </c>
      <c r="BD24" s="675">
        <f>'Cash-flow PLAN'!BD90</f>
        <v>0</v>
      </c>
      <c r="BE24" s="675">
        <f>'Cash-flow PLAN'!BE90</f>
        <v>0</v>
      </c>
      <c r="BF24" s="675">
        <f>'Cash-flow PLAN'!BF90</f>
        <v>0</v>
      </c>
      <c r="BG24" s="675">
        <f>'Cash-flow PLAN'!BG90</f>
        <v>0</v>
      </c>
      <c r="BH24" s="675">
        <f>'Cash-flow PLAN'!BH90</f>
        <v>0</v>
      </c>
      <c r="BI24" s="675">
        <f>'Cash-flow PLAN'!BI90</f>
        <v>0</v>
      </c>
      <c r="BJ24" s="675">
        <f>'Cash-flow PLAN'!BJ90</f>
        <v>0</v>
      </c>
      <c r="BK24" s="675">
        <f>'Cash-flow PLAN'!BK90</f>
        <v>0</v>
      </c>
      <c r="BL24" s="675">
        <f>'Cash-flow PLAN'!BL90</f>
        <v>0</v>
      </c>
      <c r="BM24" s="675">
        <f>'Cash-flow PLAN'!BM90</f>
        <v>0</v>
      </c>
      <c r="BN24" s="675">
        <f>'Cash-flow PLAN'!BN90</f>
        <v>0</v>
      </c>
      <c r="BO24" s="675">
        <f>'Cash-flow PLAN'!BO90</f>
        <v>0</v>
      </c>
      <c r="BP24" s="675">
        <f>'Cash-flow PLAN'!BP90</f>
        <v>0</v>
      </c>
      <c r="BQ24" s="675">
        <f>'Cash-flow PLAN'!BQ90</f>
        <v>0</v>
      </c>
      <c r="BR24" s="675">
        <f>'Cash-flow PLAN'!BR90</f>
        <v>0</v>
      </c>
      <c r="BS24" s="675">
        <f>'Cash-flow PLAN'!BS90</f>
        <v>0</v>
      </c>
      <c r="BT24" s="675">
        <f>'Cash-flow PLAN'!BT90</f>
        <v>0</v>
      </c>
      <c r="BU24" s="675">
        <f>'Cash-flow PLAN'!BU90</f>
        <v>0</v>
      </c>
      <c r="BV24" s="675">
        <f>'Cash-flow PLAN'!BV90</f>
        <v>0</v>
      </c>
      <c r="BW24" s="675">
        <f>'Cash-flow PLAN'!BW90</f>
        <v>0</v>
      </c>
      <c r="BX24" s="675">
        <f>'Cash-flow PLAN'!BX90</f>
        <v>0</v>
      </c>
      <c r="BY24" s="672"/>
      <c r="BZ24" s="672"/>
      <c r="CA24" s="672"/>
      <c r="CB24" s="672"/>
      <c r="CC24" s="672"/>
      <c r="CD24" s="672"/>
      <c r="CE24" s="672"/>
      <c r="CF24" s="672"/>
      <c r="CG24" s="672"/>
      <c r="CH24" s="672"/>
      <c r="CI24" s="672"/>
      <c r="CJ24" s="253"/>
      <c r="CK24" s="496">
        <f t="shared" si="3"/>
        <v>-3100000</v>
      </c>
      <c r="CL24" s="861"/>
    </row>
    <row r="25" spans="3:90">
      <c r="C25" s="253" t="s">
        <v>330</v>
      </c>
      <c r="D25" s="254" t="s">
        <v>270</v>
      </c>
      <c r="E25" s="675">
        <f>'Cash-flow PLAN'!E91</f>
        <v>0</v>
      </c>
      <c r="F25" s="675">
        <f>'Cash-flow PLAN'!F91</f>
        <v>0</v>
      </c>
      <c r="G25" s="675">
        <f>'Cash-flow PLAN'!G91</f>
        <v>0</v>
      </c>
      <c r="H25" s="675">
        <f>'Cash-flow PLAN'!H91</f>
        <v>0</v>
      </c>
      <c r="I25" s="675">
        <f>'Cash-flow PLAN'!I91</f>
        <v>0</v>
      </c>
      <c r="J25" s="675">
        <f>'Cash-flow PLAN'!J91</f>
        <v>0</v>
      </c>
      <c r="K25" s="675">
        <f>'Cash-flow PLAN'!K91</f>
        <v>0</v>
      </c>
      <c r="L25" s="675">
        <f>'Cash-flow PLAN'!L91</f>
        <v>0</v>
      </c>
      <c r="M25" s="675">
        <f>'Cash-flow PLAN'!M91</f>
        <v>0</v>
      </c>
      <c r="N25" s="675">
        <f>'Cash-flow PLAN'!N91</f>
        <v>0</v>
      </c>
      <c r="O25" s="675">
        <f>'Cash-flow PLAN'!O91</f>
        <v>0</v>
      </c>
      <c r="P25" s="675">
        <f>'Cash-flow PLAN'!P91</f>
        <v>0</v>
      </c>
      <c r="Q25" s="675">
        <f>'Cash-flow PLAN'!Q91</f>
        <v>0</v>
      </c>
      <c r="R25" s="675">
        <f>'Cash-flow PLAN'!R91</f>
        <v>0</v>
      </c>
      <c r="S25" s="675">
        <f>'Cash-flow PLAN'!S91</f>
        <v>0</v>
      </c>
      <c r="T25" s="675">
        <f>'Cash-flow PLAN'!T91</f>
        <v>0</v>
      </c>
      <c r="U25" s="675">
        <f>'Cash-flow PLAN'!U91</f>
        <v>0</v>
      </c>
      <c r="V25" s="675">
        <f>'Cash-flow PLAN'!V91</f>
        <v>0</v>
      </c>
      <c r="W25" s="675">
        <f>'Cash-flow PLAN'!W91</f>
        <v>0</v>
      </c>
      <c r="X25" s="675">
        <f>'Cash-flow PLAN'!X91</f>
        <v>0</v>
      </c>
      <c r="Y25" s="675">
        <f>'Cash-flow PLAN'!Y91</f>
        <v>0</v>
      </c>
      <c r="Z25" s="675">
        <f>'Cash-flow PLAN'!Z91</f>
        <v>0</v>
      </c>
      <c r="AA25" s="675">
        <f>'Cash-flow PLAN'!AA91</f>
        <v>0</v>
      </c>
      <c r="AB25" s="675">
        <f>'Cash-flow PLAN'!AB91</f>
        <v>0</v>
      </c>
      <c r="AC25" s="675">
        <f>'Cash-flow PLAN'!AC91</f>
        <v>0</v>
      </c>
      <c r="AD25" s="675">
        <f>'Cash-flow PLAN'!AD91</f>
        <v>0</v>
      </c>
      <c r="AE25" s="675">
        <f>'Cash-flow PLAN'!AE91</f>
        <v>0</v>
      </c>
      <c r="AF25" s="675">
        <f>'Cash-flow PLAN'!AF91</f>
        <v>0</v>
      </c>
      <c r="AG25" s="675">
        <f>'Cash-flow PLAN'!AG91</f>
        <v>0</v>
      </c>
      <c r="AH25" s="675">
        <f>'Cash-flow PLAN'!AH91</f>
        <v>0</v>
      </c>
      <c r="AI25" s="675">
        <f>'Cash-flow PLAN'!AI91</f>
        <v>0</v>
      </c>
      <c r="AJ25" s="675">
        <f>'Cash-flow PLAN'!AJ91</f>
        <v>0</v>
      </c>
      <c r="AK25" s="675">
        <f>'Cash-flow PLAN'!AK91</f>
        <v>0</v>
      </c>
      <c r="AL25" s="675">
        <f>'Cash-flow PLAN'!AL91</f>
        <v>0</v>
      </c>
      <c r="AM25" s="675">
        <f>'Cash-flow PLAN'!AM91</f>
        <v>0</v>
      </c>
      <c r="AN25" s="675">
        <f>'Cash-flow PLAN'!AN91</f>
        <v>0</v>
      </c>
      <c r="AO25" s="675">
        <f>'Cash-flow PLAN'!AO91</f>
        <v>0</v>
      </c>
      <c r="AP25" s="675">
        <f>'Cash-flow PLAN'!AP91</f>
        <v>0</v>
      </c>
      <c r="AQ25" s="675">
        <f>'Cash-flow PLAN'!AQ91</f>
        <v>0</v>
      </c>
      <c r="AR25" s="675">
        <f>'Cash-flow PLAN'!AR91</f>
        <v>0</v>
      </c>
      <c r="AS25" s="675">
        <f>'Cash-flow PLAN'!AS91</f>
        <v>0</v>
      </c>
      <c r="AT25" s="675">
        <f>'Cash-flow PLAN'!AT91</f>
        <v>0</v>
      </c>
      <c r="AU25" s="675">
        <f>'Cash-flow PLAN'!AU91</f>
        <v>0</v>
      </c>
      <c r="AV25" s="675">
        <f>'Cash-flow PLAN'!AV91</f>
        <v>0</v>
      </c>
      <c r="AW25" s="675">
        <f>'Cash-flow PLAN'!AW91</f>
        <v>0</v>
      </c>
      <c r="AX25" s="675">
        <f>'Cash-flow PLAN'!AX91</f>
        <v>0</v>
      </c>
      <c r="AY25" s="675">
        <f>'Cash-flow PLAN'!AY91</f>
        <v>0</v>
      </c>
      <c r="AZ25" s="675">
        <f>'Cash-flow PLAN'!AZ91</f>
        <v>0</v>
      </c>
      <c r="BA25" s="675">
        <f>'Cash-flow PLAN'!BA91</f>
        <v>0</v>
      </c>
      <c r="BB25" s="675">
        <f>'Cash-flow PLAN'!BB91</f>
        <v>0</v>
      </c>
      <c r="BC25" s="675">
        <f>'Cash-flow PLAN'!BC91</f>
        <v>0</v>
      </c>
      <c r="BD25" s="675">
        <f>'Cash-flow PLAN'!BD91</f>
        <v>0</v>
      </c>
      <c r="BE25" s="675">
        <f>'Cash-flow PLAN'!BE91</f>
        <v>0</v>
      </c>
      <c r="BF25" s="675">
        <f>'Cash-flow PLAN'!BF91</f>
        <v>0</v>
      </c>
      <c r="BG25" s="675">
        <f>'Cash-flow PLAN'!BG91</f>
        <v>0</v>
      </c>
      <c r="BH25" s="675">
        <f>'Cash-flow PLAN'!BH91</f>
        <v>0</v>
      </c>
      <c r="BI25" s="675">
        <f>'Cash-flow PLAN'!BI91</f>
        <v>0</v>
      </c>
      <c r="BJ25" s="675">
        <f>'Cash-flow PLAN'!BJ91</f>
        <v>0</v>
      </c>
      <c r="BK25" s="675">
        <f>'Cash-flow PLAN'!BK91</f>
        <v>0</v>
      </c>
      <c r="BL25" s="675">
        <f>'Cash-flow PLAN'!BL91</f>
        <v>0</v>
      </c>
      <c r="BM25" s="675">
        <f>'Cash-flow PLAN'!BM91</f>
        <v>0</v>
      </c>
      <c r="BN25" s="675">
        <f>'Cash-flow PLAN'!BN91</f>
        <v>0</v>
      </c>
      <c r="BO25" s="675">
        <f>'Cash-flow PLAN'!BO91</f>
        <v>0</v>
      </c>
      <c r="BP25" s="675">
        <f>'Cash-flow PLAN'!BP91</f>
        <v>0</v>
      </c>
      <c r="BQ25" s="675">
        <f>'Cash-flow PLAN'!BQ91</f>
        <v>0</v>
      </c>
      <c r="BR25" s="675">
        <f>'Cash-flow PLAN'!BR91</f>
        <v>0</v>
      </c>
      <c r="BS25" s="675">
        <f>'Cash-flow PLAN'!BS91</f>
        <v>0</v>
      </c>
      <c r="BT25" s="675">
        <f>'Cash-flow PLAN'!BT91</f>
        <v>0</v>
      </c>
      <c r="BU25" s="675">
        <f>'Cash-flow PLAN'!BU91</f>
        <v>0</v>
      </c>
      <c r="BV25" s="675">
        <f>'Cash-flow PLAN'!BV91</f>
        <v>0</v>
      </c>
      <c r="BW25" s="675">
        <f>'Cash-flow PLAN'!BW91</f>
        <v>0</v>
      </c>
      <c r="BX25" s="675">
        <f>'Cash-flow PLAN'!BX91</f>
        <v>0</v>
      </c>
      <c r="BY25" s="672"/>
      <c r="BZ25" s="672"/>
      <c r="CA25" s="672"/>
      <c r="CB25" s="672"/>
      <c r="CC25" s="672"/>
      <c r="CD25" s="672"/>
      <c r="CE25" s="672"/>
      <c r="CF25" s="672"/>
      <c r="CG25" s="672"/>
      <c r="CH25" s="672"/>
      <c r="CI25" s="672"/>
      <c r="CJ25" s="253"/>
      <c r="CK25" s="496">
        <f t="shared" si="3"/>
        <v>0</v>
      </c>
      <c r="CL25" s="861"/>
    </row>
    <row r="26" spans="3:90">
      <c r="C26" s="253" t="s">
        <v>643</v>
      </c>
      <c r="D26" s="254" t="s">
        <v>270</v>
      </c>
      <c r="E26" s="675">
        <f>'Cash-flow PLAN'!E92</f>
        <v>0</v>
      </c>
      <c r="F26" s="675">
        <f>'Cash-flow PLAN'!F92</f>
        <v>0</v>
      </c>
      <c r="G26" s="675">
        <f>'Cash-flow PLAN'!G92</f>
        <v>0</v>
      </c>
      <c r="H26" s="675">
        <f>'Cash-flow PLAN'!H92</f>
        <v>0</v>
      </c>
      <c r="I26" s="675">
        <f>'Cash-flow PLAN'!I92</f>
        <v>0</v>
      </c>
      <c r="J26" s="675">
        <f>'Cash-flow PLAN'!J92</f>
        <v>0</v>
      </c>
      <c r="K26" s="675">
        <f>'Cash-flow PLAN'!K92</f>
        <v>0</v>
      </c>
      <c r="L26" s="675">
        <f>'Cash-flow PLAN'!L92</f>
        <v>0</v>
      </c>
      <c r="M26" s="675">
        <f>'Cash-flow PLAN'!M92</f>
        <v>0</v>
      </c>
      <c r="N26" s="675">
        <f>'Cash-flow PLAN'!N92</f>
        <v>0</v>
      </c>
      <c r="O26" s="675">
        <f>'Cash-flow PLAN'!O92</f>
        <v>0</v>
      </c>
      <c r="P26" s="675">
        <f>'Cash-flow PLAN'!P92</f>
        <v>0</v>
      </c>
      <c r="Q26" s="675">
        <f>'Cash-flow PLAN'!Q92</f>
        <v>0</v>
      </c>
      <c r="R26" s="675">
        <f>'Cash-flow PLAN'!R92</f>
        <v>0</v>
      </c>
      <c r="S26" s="675">
        <f>'Cash-flow PLAN'!S92</f>
        <v>0</v>
      </c>
      <c r="T26" s="675">
        <f>'Cash-flow PLAN'!T92</f>
        <v>0</v>
      </c>
      <c r="U26" s="675">
        <f>'Cash-flow PLAN'!U92</f>
        <v>0</v>
      </c>
      <c r="V26" s="675">
        <f>'Cash-flow PLAN'!V92</f>
        <v>0</v>
      </c>
      <c r="W26" s="675">
        <f>'Cash-flow PLAN'!W92</f>
        <v>0</v>
      </c>
      <c r="X26" s="675">
        <f>'Cash-flow PLAN'!X92</f>
        <v>0</v>
      </c>
      <c r="Y26" s="675">
        <f>'Cash-flow PLAN'!Y92</f>
        <v>0</v>
      </c>
      <c r="Z26" s="675">
        <f>'Cash-flow PLAN'!Z92</f>
        <v>0</v>
      </c>
      <c r="AA26" s="675">
        <f>'Cash-flow PLAN'!AA92</f>
        <v>0</v>
      </c>
      <c r="AB26" s="675">
        <f>'Cash-flow PLAN'!AB92</f>
        <v>0</v>
      </c>
      <c r="AC26" s="675">
        <f>'Cash-flow PLAN'!AC92</f>
        <v>0</v>
      </c>
      <c r="AD26" s="675">
        <f>'Cash-flow PLAN'!AD92</f>
        <v>0</v>
      </c>
      <c r="AE26" s="675">
        <f>'Cash-flow PLAN'!AE92</f>
        <v>0</v>
      </c>
      <c r="AF26" s="675">
        <f>'Cash-flow PLAN'!AF92</f>
        <v>0</v>
      </c>
      <c r="AG26" s="675">
        <f>'Cash-flow PLAN'!AG92</f>
        <v>0</v>
      </c>
      <c r="AH26" s="675">
        <f>'Cash-flow PLAN'!AH92</f>
        <v>0</v>
      </c>
      <c r="AI26" s="675">
        <f>'Cash-flow PLAN'!AI92</f>
        <v>0</v>
      </c>
      <c r="AJ26" s="675">
        <f>'Cash-flow PLAN'!AJ92</f>
        <v>0</v>
      </c>
      <c r="AK26" s="675">
        <f>'Cash-flow PLAN'!AK92</f>
        <v>0</v>
      </c>
      <c r="AL26" s="675">
        <f>'Cash-flow PLAN'!AL92</f>
        <v>0</v>
      </c>
      <c r="AM26" s="675">
        <f>'Cash-flow PLAN'!AM92</f>
        <v>0</v>
      </c>
      <c r="AN26" s="675">
        <f>'Cash-flow PLAN'!AN92</f>
        <v>0</v>
      </c>
      <c r="AO26" s="675">
        <f>'Cash-flow PLAN'!AO92</f>
        <v>0</v>
      </c>
      <c r="AP26" s="675">
        <f>'Cash-flow PLAN'!AP92</f>
        <v>0</v>
      </c>
      <c r="AQ26" s="675">
        <f>'Cash-flow PLAN'!AQ92</f>
        <v>0</v>
      </c>
      <c r="AR26" s="675">
        <f>'Cash-flow PLAN'!AR92</f>
        <v>0</v>
      </c>
      <c r="AS26" s="675">
        <f>'Cash-flow PLAN'!AS92</f>
        <v>0</v>
      </c>
      <c r="AT26" s="675">
        <f>'Cash-flow PLAN'!AT92</f>
        <v>0</v>
      </c>
      <c r="AU26" s="675">
        <f>'Cash-flow PLAN'!AU92</f>
        <v>0</v>
      </c>
      <c r="AV26" s="675">
        <f>'Cash-flow PLAN'!AV92</f>
        <v>0</v>
      </c>
      <c r="AW26" s="675">
        <f>'Cash-flow PLAN'!AW92</f>
        <v>0</v>
      </c>
      <c r="AX26" s="675">
        <f>'Cash-flow PLAN'!AX92</f>
        <v>0</v>
      </c>
      <c r="AY26" s="675">
        <f>'Cash-flow PLAN'!AY92</f>
        <v>0</v>
      </c>
      <c r="AZ26" s="675">
        <f>'Cash-flow PLAN'!AZ92</f>
        <v>0</v>
      </c>
      <c r="BA26" s="675">
        <f>'Cash-flow PLAN'!BA92</f>
        <v>0</v>
      </c>
      <c r="BB26" s="675">
        <f>'Cash-flow PLAN'!BB92</f>
        <v>0</v>
      </c>
      <c r="BC26" s="675">
        <f>'Cash-flow PLAN'!BC92</f>
        <v>0</v>
      </c>
      <c r="BD26" s="675">
        <f>'Cash-flow PLAN'!BD92</f>
        <v>0</v>
      </c>
      <c r="BE26" s="675">
        <f>'Cash-flow PLAN'!BE92</f>
        <v>0</v>
      </c>
      <c r="BF26" s="675">
        <f>'Cash-flow PLAN'!BF92</f>
        <v>0</v>
      </c>
      <c r="BG26" s="675">
        <f>'Cash-flow PLAN'!BG92</f>
        <v>0</v>
      </c>
      <c r="BH26" s="675">
        <f>'Cash-flow PLAN'!BH92</f>
        <v>0</v>
      </c>
      <c r="BI26" s="675">
        <f>'Cash-flow PLAN'!BI92</f>
        <v>0</v>
      </c>
      <c r="BJ26" s="675">
        <f>'Cash-flow PLAN'!BJ92</f>
        <v>0</v>
      </c>
      <c r="BK26" s="675">
        <f>'Cash-flow PLAN'!BK92</f>
        <v>0</v>
      </c>
      <c r="BL26" s="675">
        <f>'Cash-flow PLAN'!BL92</f>
        <v>0</v>
      </c>
      <c r="BM26" s="675">
        <f>'Cash-flow PLAN'!BM92</f>
        <v>0</v>
      </c>
      <c r="BN26" s="675">
        <f>'Cash-flow PLAN'!BN92</f>
        <v>0</v>
      </c>
      <c r="BO26" s="675">
        <f>'Cash-flow PLAN'!BO92</f>
        <v>0</v>
      </c>
      <c r="BP26" s="675">
        <f>'Cash-flow PLAN'!BP92</f>
        <v>0</v>
      </c>
      <c r="BQ26" s="675">
        <f>'Cash-flow PLAN'!BQ92</f>
        <v>0</v>
      </c>
      <c r="BR26" s="675">
        <f>'Cash-flow PLAN'!BR92</f>
        <v>0</v>
      </c>
      <c r="BS26" s="675">
        <f>'Cash-flow PLAN'!BS92</f>
        <v>0</v>
      </c>
      <c r="BT26" s="675">
        <f>'Cash-flow PLAN'!BT92</f>
        <v>0</v>
      </c>
      <c r="BU26" s="675">
        <f>'Cash-flow PLAN'!BU92</f>
        <v>0</v>
      </c>
      <c r="BV26" s="675">
        <f>'Cash-flow PLAN'!BV92</f>
        <v>0</v>
      </c>
      <c r="BW26" s="675">
        <f>'Cash-flow PLAN'!BW92</f>
        <v>0</v>
      </c>
      <c r="BX26" s="675">
        <f>'Cash-flow PLAN'!BX92</f>
        <v>0</v>
      </c>
      <c r="BY26" s="672"/>
      <c r="BZ26" s="672"/>
      <c r="CA26" s="672"/>
      <c r="CB26" s="672"/>
      <c r="CC26" s="672"/>
      <c r="CD26" s="672"/>
      <c r="CE26" s="672"/>
      <c r="CF26" s="672"/>
      <c r="CG26" s="672"/>
      <c r="CH26" s="672"/>
      <c r="CI26" s="672"/>
      <c r="CJ26" s="253"/>
      <c r="CK26" s="496">
        <f t="shared" si="3"/>
        <v>0</v>
      </c>
      <c r="CL26" s="861"/>
    </row>
    <row r="27" spans="3:90">
      <c r="C27" s="253" t="s">
        <v>644</v>
      </c>
      <c r="D27" s="254" t="s">
        <v>270</v>
      </c>
      <c r="E27" s="671"/>
      <c r="F27" s="671"/>
      <c r="G27" s="671"/>
      <c r="H27" s="671"/>
      <c r="I27" s="671"/>
      <c r="J27" s="671"/>
      <c r="K27" s="671"/>
      <c r="L27" s="671"/>
      <c r="M27" s="671"/>
      <c r="N27" s="671"/>
      <c r="O27" s="671"/>
      <c r="P27" s="671"/>
      <c r="Q27" s="671"/>
      <c r="R27" s="671"/>
      <c r="S27" s="671"/>
      <c r="T27" s="671"/>
      <c r="U27" s="671"/>
      <c r="V27" s="671"/>
      <c r="W27" s="671"/>
      <c r="X27" s="671"/>
      <c r="Y27" s="671"/>
      <c r="Z27" s="671"/>
      <c r="AA27" s="671"/>
      <c r="AB27" s="671"/>
      <c r="AC27" s="672"/>
      <c r="AD27" s="672"/>
      <c r="AE27" s="672"/>
      <c r="AF27" s="672"/>
      <c r="AG27" s="672"/>
      <c r="AH27" s="672"/>
      <c r="AI27" s="672"/>
      <c r="AJ27" s="672"/>
      <c r="AK27" s="672"/>
      <c r="AL27" s="672"/>
      <c r="AM27" s="672"/>
      <c r="AN27" s="672"/>
      <c r="AO27" s="672"/>
      <c r="AP27" s="672"/>
      <c r="AQ27" s="672"/>
      <c r="AR27" s="672"/>
      <c r="AS27" s="672"/>
      <c r="AT27" s="672"/>
      <c r="AU27" s="672"/>
      <c r="AV27" s="672"/>
      <c r="AW27" s="672"/>
      <c r="AX27" s="672"/>
      <c r="AY27" s="672"/>
      <c r="AZ27" s="672"/>
      <c r="BA27" s="672"/>
      <c r="BB27" s="672"/>
      <c r="BC27" s="672"/>
      <c r="BD27" s="672"/>
      <c r="BE27" s="672"/>
      <c r="BF27" s="672"/>
      <c r="BG27" s="672"/>
      <c r="BH27" s="672"/>
      <c r="BI27" s="672"/>
      <c r="BJ27" s="672"/>
      <c r="BK27" s="672"/>
      <c r="BL27" s="672"/>
      <c r="BM27" s="672"/>
      <c r="BN27" s="672"/>
      <c r="BO27" s="672"/>
      <c r="BP27" s="672"/>
      <c r="BQ27" s="672"/>
      <c r="BR27" s="672"/>
      <c r="BS27" s="672"/>
      <c r="BT27" s="672"/>
      <c r="BU27" s="672"/>
      <c r="BV27" s="672"/>
      <c r="BW27" s="672"/>
      <c r="BX27" s="672"/>
      <c r="BY27" s="672"/>
      <c r="BZ27" s="672"/>
      <c r="CA27" s="672"/>
      <c r="CB27" s="672"/>
      <c r="CC27" s="672"/>
      <c r="CD27" s="672"/>
      <c r="CE27" s="672"/>
      <c r="CF27" s="672"/>
      <c r="CG27" s="672"/>
      <c r="CH27" s="672"/>
      <c r="CI27" s="672"/>
      <c r="CJ27" s="253"/>
      <c r="CK27" s="496">
        <f t="shared" si="3"/>
        <v>0</v>
      </c>
      <c r="CL27" s="861"/>
    </row>
    <row r="28" spans="3:90">
      <c r="C28" s="253" t="s">
        <v>645</v>
      </c>
      <c r="D28" s="254" t="s">
        <v>270</v>
      </c>
      <c r="E28" s="671"/>
      <c r="F28" s="671"/>
      <c r="G28" s="671"/>
      <c r="H28" s="671"/>
      <c r="I28" s="671"/>
      <c r="J28" s="671"/>
      <c r="K28" s="671"/>
      <c r="L28" s="671"/>
      <c r="M28" s="671"/>
      <c r="N28" s="671"/>
      <c r="O28" s="671"/>
      <c r="P28" s="671"/>
      <c r="Q28" s="671"/>
      <c r="R28" s="671"/>
      <c r="S28" s="671"/>
      <c r="T28" s="671"/>
      <c r="U28" s="671"/>
      <c r="V28" s="671"/>
      <c r="W28" s="671"/>
      <c r="X28" s="671"/>
      <c r="Y28" s="671"/>
      <c r="Z28" s="671"/>
      <c r="AA28" s="671"/>
      <c r="AB28" s="671"/>
      <c r="AC28" s="672"/>
      <c r="AD28" s="672"/>
      <c r="AE28" s="672"/>
      <c r="AF28" s="672"/>
      <c r="AG28" s="672"/>
      <c r="AH28" s="672"/>
      <c r="AI28" s="672"/>
      <c r="AJ28" s="672"/>
      <c r="AK28" s="672"/>
      <c r="AL28" s="672"/>
      <c r="AM28" s="672"/>
      <c r="AN28" s="672"/>
      <c r="AO28" s="672"/>
      <c r="AP28" s="672"/>
      <c r="AQ28" s="672"/>
      <c r="AR28" s="672"/>
      <c r="AS28" s="672"/>
      <c r="AT28" s="672"/>
      <c r="AU28" s="672"/>
      <c r="AV28" s="672"/>
      <c r="AW28" s="672"/>
      <c r="AX28" s="672"/>
      <c r="AY28" s="672"/>
      <c r="AZ28" s="672"/>
      <c r="BA28" s="672"/>
      <c r="BB28" s="672"/>
      <c r="BC28" s="672"/>
      <c r="BD28" s="672"/>
      <c r="BE28" s="672"/>
      <c r="BF28" s="672"/>
      <c r="BG28" s="672"/>
      <c r="BH28" s="672"/>
      <c r="BI28" s="672"/>
      <c r="BJ28" s="672"/>
      <c r="BK28" s="672"/>
      <c r="BL28" s="672"/>
      <c r="BM28" s="672"/>
      <c r="BN28" s="672"/>
      <c r="BO28" s="672"/>
      <c r="BP28" s="672"/>
      <c r="BQ28" s="672"/>
      <c r="BR28" s="672"/>
      <c r="BS28" s="672"/>
      <c r="BT28" s="672"/>
      <c r="BU28" s="672"/>
      <c r="BV28" s="672"/>
      <c r="BW28" s="672"/>
      <c r="BX28" s="672"/>
      <c r="BY28" s="672"/>
      <c r="BZ28" s="672"/>
      <c r="CA28" s="672"/>
      <c r="CB28" s="672"/>
      <c r="CC28" s="672"/>
      <c r="CD28" s="672"/>
      <c r="CE28" s="672"/>
      <c r="CF28" s="672"/>
      <c r="CG28" s="672"/>
      <c r="CH28" s="672"/>
      <c r="CI28" s="672"/>
      <c r="CJ28" s="253"/>
      <c r="CK28" s="496">
        <f t="shared" si="3"/>
        <v>0</v>
      </c>
      <c r="CL28" s="861"/>
    </row>
    <row r="29" spans="3:90">
      <c r="C29" s="253" t="s">
        <v>646</v>
      </c>
      <c r="D29" s="254" t="s">
        <v>270</v>
      </c>
      <c r="E29" s="671"/>
      <c r="F29" s="671"/>
      <c r="G29" s="671"/>
      <c r="H29" s="671"/>
      <c r="I29" s="671"/>
      <c r="J29" s="671"/>
      <c r="K29" s="671"/>
      <c r="L29" s="671"/>
      <c r="M29" s="671"/>
      <c r="N29" s="671"/>
      <c r="O29" s="671"/>
      <c r="P29" s="671"/>
      <c r="Q29" s="671"/>
      <c r="R29" s="671"/>
      <c r="S29" s="671"/>
      <c r="T29" s="671"/>
      <c r="U29" s="671"/>
      <c r="V29" s="671"/>
      <c r="W29" s="671"/>
      <c r="X29" s="671"/>
      <c r="Y29" s="671"/>
      <c r="Z29" s="671"/>
      <c r="AA29" s="671"/>
      <c r="AB29" s="671"/>
      <c r="AC29" s="672"/>
      <c r="AD29" s="672"/>
      <c r="AE29" s="672"/>
      <c r="AF29" s="672"/>
      <c r="AG29" s="672"/>
      <c r="AH29" s="672"/>
      <c r="AI29" s="672"/>
      <c r="AJ29" s="672"/>
      <c r="AK29" s="672"/>
      <c r="AL29" s="672"/>
      <c r="AM29" s="672"/>
      <c r="AN29" s="672"/>
      <c r="AO29" s="672"/>
      <c r="AP29" s="672"/>
      <c r="AQ29" s="672"/>
      <c r="AR29" s="672"/>
      <c r="AS29" s="672"/>
      <c r="AT29" s="672"/>
      <c r="AU29" s="672"/>
      <c r="AV29" s="672"/>
      <c r="AW29" s="672"/>
      <c r="AX29" s="672"/>
      <c r="AY29" s="672"/>
      <c r="AZ29" s="672"/>
      <c r="BA29" s="672"/>
      <c r="BB29" s="672"/>
      <c r="BC29" s="672"/>
      <c r="BD29" s="672"/>
      <c r="BE29" s="672"/>
      <c r="BF29" s="672"/>
      <c r="BG29" s="672"/>
      <c r="BH29" s="672"/>
      <c r="BI29" s="672"/>
      <c r="BJ29" s="672"/>
      <c r="BK29" s="672"/>
      <c r="BL29" s="672"/>
      <c r="BM29" s="672"/>
      <c r="BN29" s="672"/>
      <c r="BO29" s="672"/>
      <c r="BP29" s="672"/>
      <c r="BQ29" s="672"/>
      <c r="BR29" s="672"/>
      <c r="BS29" s="672"/>
      <c r="BT29" s="672"/>
      <c r="BU29" s="672"/>
      <c r="BV29" s="672"/>
      <c r="BW29" s="672"/>
      <c r="BX29" s="672"/>
      <c r="BY29" s="672"/>
      <c r="BZ29" s="672"/>
      <c r="CA29" s="672"/>
      <c r="CB29" s="672"/>
      <c r="CC29" s="672"/>
      <c r="CD29" s="672"/>
      <c r="CE29" s="672"/>
      <c r="CF29" s="672"/>
      <c r="CG29" s="672"/>
      <c r="CH29" s="672"/>
      <c r="CI29" s="672"/>
      <c r="CJ29" s="253"/>
      <c r="CK29" s="496">
        <f t="shared" si="3"/>
        <v>0</v>
      </c>
      <c r="CL29" s="861"/>
    </row>
    <row r="30" spans="3:90">
      <c r="C30" s="490" t="s">
        <v>647</v>
      </c>
      <c r="D30" s="497" t="s">
        <v>270</v>
      </c>
      <c r="E30" s="676"/>
      <c r="F30" s="676"/>
      <c r="G30" s="676"/>
      <c r="H30" s="676"/>
      <c r="I30" s="676"/>
      <c r="J30" s="676"/>
      <c r="K30" s="676"/>
      <c r="L30" s="676"/>
      <c r="M30" s="676"/>
      <c r="N30" s="676"/>
      <c r="O30" s="676"/>
      <c r="P30" s="676"/>
      <c r="Q30" s="676"/>
      <c r="R30" s="676"/>
      <c r="S30" s="676"/>
      <c r="T30" s="676"/>
      <c r="U30" s="676"/>
      <c r="V30" s="676"/>
      <c r="W30" s="676"/>
      <c r="X30" s="676"/>
      <c r="Y30" s="676"/>
      <c r="Z30" s="676"/>
      <c r="AA30" s="676"/>
      <c r="AB30" s="676"/>
      <c r="AC30" s="674"/>
      <c r="AD30" s="674"/>
      <c r="AE30" s="674"/>
      <c r="AF30" s="674"/>
      <c r="AG30" s="674"/>
      <c r="AH30" s="674"/>
      <c r="AI30" s="674"/>
      <c r="AJ30" s="674"/>
      <c r="AK30" s="674"/>
      <c r="AL30" s="674"/>
      <c r="AM30" s="674"/>
      <c r="AN30" s="674"/>
      <c r="AO30" s="674"/>
      <c r="AP30" s="674"/>
      <c r="AQ30" s="674"/>
      <c r="AR30" s="674"/>
      <c r="AS30" s="674"/>
      <c r="AT30" s="674"/>
      <c r="AU30" s="674"/>
      <c r="AV30" s="674"/>
      <c r="AW30" s="674"/>
      <c r="AX30" s="674"/>
      <c r="AY30" s="674"/>
      <c r="AZ30" s="674"/>
      <c r="BA30" s="674"/>
      <c r="BB30" s="674"/>
      <c r="BC30" s="674"/>
      <c r="BD30" s="674"/>
      <c r="BE30" s="674"/>
      <c r="BF30" s="674"/>
      <c r="BG30" s="674"/>
      <c r="BH30" s="674"/>
      <c r="BI30" s="674"/>
      <c r="BJ30" s="674"/>
      <c r="BK30" s="674"/>
      <c r="BL30" s="674"/>
      <c r="BM30" s="674"/>
      <c r="BN30" s="674"/>
      <c r="BO30" s="674"/>
      <c r="BP30" s="674"/>
      <c r="BQ30" s="674"/>
      <c r="BR30" s="674"/>
      <c r="BS30" s="674"/>
      <c r="BT30" s="674"/>
      <c r="BU30" s="674"/>
      <c r="BV30" s="674"/>
      <c r="BW30" s="674"/>
      <c r="BX30" s="674"/>
      <c r="BY30" s="674"/>
      <c r="BZ30" s="674"/>
      <c r="CA30" s="674"/>
      <c r="CB30" s="674"/>
      <c r="CC30" s="674"/>
      <c r="CD30" s="674"/>
      <c r="CE30" s="674"/>
      <c r="CF30" s="674"/>
      <c r="CG30" s="674"/>
      <c r="CH30" s="674"/>
      <c r="CI30" s="674"/>
      <c r="CJ30" s="490"/>
      <c r="CK30" s="492">
        <f t="shared" si="3"/>
        <v>0</v>
      </c>
      <c r="CL30" s="864"/>
    </row>
    <row r="33" spans="2:88" ht="16">
      <c r="B33" s="868" t="s">
        <v>648</v>
      </c>
      <c r="C33" s="774"/>
      <c r="D33" s="498"/>
      <c r="E33" s="499">
        <f t="shared" ref="E33:BW33" si="4">SUM(E3:E10)+SUM(E13:E20)+SUM(E23:E30)</f>
        <v>0</v>
      </c>
      <c r="F33" s="499">
        <f t="shared" si="4"/>
        <v>0</v>
      </c>
      <c r="G33" s="499">
        <f t="shared" si="4"/>
        <v>0</v>
      </c>
      <c r="H33" s="499">
        <f t="shared" si="4"/>
        <v>16365002</v>
      </c>
      <c r="I33" s="499">
        <f t="shared" si="4"/>
        <v>1000000</v>
      </c>
      <c r="J33" s="499">
        <f t="shared" si="4"/>
        <v>0</v>
      </c>
      <c r="K33" s="499">
        <f t="shared" si="4"/>
        <v>0</v>
      </c>
      <c r="L33" s="499">
        <f t="shared" si="4"/>
        <v>0</v>
      </c>
      <c r="M33" s="499">
        <f t="shared" si="4"/>
        <v>0</v>
      </c>
      <c r="N33" s="499">
        <f t="shared" si="4"/>
        <v>0</v>
      </c>
      <c r="O33" s="499">
        <f t="shared" si="4"/>
        <v>3000000</v>
      </c>
      <c r="P33" s="499">
        <f t="shared" si="4"/>
        <v>2100000</v>
      </c>
      <c r="Q33" s="499">
        <f t="shared" si="4"/>
        <v>0</v>
      </c>
      <c r="R33" s="499">
        <f t="shared" si="4"/>
        <v>0</v>
      </c>
      <c r="S33" s="499">
        <f t="shared" si="4"/>
        <v>0</v>
      </c>
      <c r="T33" s="499">
        <f t="shared" si="4"/>
        <v>-22465002</v>
      </c>
      <c r="U33" s="499">
        <f t="shared" si="4"/>
        <v>0</v>
      </c>
      <c r="V33" s="499">
        <f t="shared" si="4"/>
        <v>0</v>
      </c>
      <c r="W33" s="499">
        <f t="shared" si="4"/>
        <v>0</v>
      </c>
      <c r="X33" s="499">
        <f t="shared" si="4"/>
        <v>0</v>
      </c>
      <c r="Y33" s="499">
        <f t="shared" si="4"/>
        <v>0</v>
      </c>
      <c r="Z33" s="499">
        <f t="shared" si="4"/>
        <v>0</v>
      </c>
      <c r="AA33" s="499">
        <f t="shared" si="4"/>
        <v>0</v>
      </c>
      <c r="AB33" s="499">
        <f t="shared" si="4"/>
        <v>0</v>
      </c>
      <c r="AC33" s="499">
        <f t="shared" si="4"/>
        <v>0</v>
      </c>
      <c r="AD33" s="499">
        <f t="shared" si="4"/>
        <v>0</v>
      </c>
      <c r="AE33" s="499">
        <f t="shared" si="4"/>
        <v>0</v>
      </c>
      <c r="AF33" s="499">
        <f t="shared" si="4"/>
        <v>0</v>
      </c>
      <c r="AG33" s="499">
        <f t="shared" si="4"/>
        <v>0</v>
      </c>
      <c r="AH33" s="499">
        <f t="shared" si="4"/>
        <v>0</v>
      </c>
      <c r="AI33" s="499">
        <f t="shared" si="4"/>
        <v>0</v>
      </c>
      <c r="AJ33" s="499">
        <f t="shared" si="4"/>
        <v>0</v>
      </c>
      <c r="AK33" s="499">
        <f t="shared" si="4"/>
        <v>0</v>
      </c>
      <c r="AL33" s="499">
        <f t="shared" si="4"/>
        <v>0</v>
      </c>
      <c r="AM33" s="499">
        <f t="shared" si="4"/>
        <v>0</v>
      </c>
      <c r="AN33" s="499">
        <f t="shared" si="4"/>
        <v>0</v>
      </c>
      <c r="AO33" s="499">
        <f t="shared" si="4"/>
        <v>0</v>
      </c>
      <c r="AP33" s="499">
        <f t="shared" si="4"/>
        <v>0</v>
      </c>
      <c r="AQ33" s="499">
        <f t="shared" si="4"/>
        <v>0</v>
      </c>
      <c r="AR33" s="499">
        <f t="shared" si="4"/>
        <v>0</v>
      </c>
      <c r="AS33" s="499">
        <f t="shared" si="4"/>
        <v>0</v>
      </c>
      <c r="AT33" s="499">
        <f t="shared" si="4"/>
        <v>0</v>
      </c>
      <c r="AU33" s="499">
        <f t="shared" si="4"/>
        <v>0</v>
      </c>
      <c r="AV33" s="499">
        <f t="shared" si="4"/>
        <v>0</v>
      </c>
      <c r="AW33" s="499">
        <f t="shared" si="4"/>
        <v>0</v>
      </c>
      <c r="AX33" s="499">
        <f t="shared" si="4"/>
        <v>0</v>
      </c>
      <c r="AY33" s="499">
        <f t="shared" si="4"/>
        <v>0</v>
      </c>
      <c r="AZ33" s="499">
        <f t="shared" si="4"/>
        <v>0</v>
      </c>
      <c r="BA33" s="499">
        <f t="shared" si="4"/>
        <v>0</v>
      </c>
      <c r="BB33" s="499">
        <f t="shared" si="4"/>
        <v>0</v>
      </c>
      <c r="BC33" s="499">
        <f t="shared" si="4"/>
        <v>0</v>
      </c>
      <c r="BD33" s="499">
        <f t="shared" si="4"/>
        <v>0</v>
      </c>
      <c r="BE33" s="499">
        <f t="shared" si="4"/>
        <v>0</v>
      </c>
      <c r="BF33" s="499">
        <f t="shared" si="4"/>
        <v>0</v>
      </c>
      <c r="BG33" s="499">
        <f t="shared" si="4"/>
        <v>0</v>
      </c>
      <c r="BH33" s="499">
        <f t="shared" si="4"/>
        <v>0</v>
      </c>
      <c r="BI33" s="499">
        <f t="shared" si="4"/>
        <v>0</v>
      </c>
      <c r="BJ33" s="499">
        <f t="shared" si="4"/>
        <v>0</v>
      </c>
      <c r="BK33" s="499">
        <f t="shared" si="4"/>
        <v>0</v>
      </c>
      <c r="BL33" s="499">
        <f t="shared" si="4"/>
        <v>0</v>
      </c>
      <c r="BM33" s="499">
        <f t="shared" si="4"/>
        <v>0</v>
      </c>
      <c r="BN33" s="499">
        <f t="shared" si="4"/>
        <v>0</v>
      </c>
      <c r="BO33" s="499">
        <f t="shared" si="4"/>
        <v>0</v>
      </c>
      <c r="BP33" s="499">
        <f t="shared" si="4"/>
        <v>0</v>
      </c>
      <c r="BQ33" s="499">
        <f t="shared" si="4"/>
        <v>0</v>
      </c>
      <c r="BR33" s="499">
        <f t="shared" si="4"/>
        <v>0</v>
      </c>
      <c r="BS33" s="499">
        <f t="shared" si="4"/>
        <v>0</v>
      </c>
      <c r="BT33" s="499">
        <f t="shared" si="4"/>
        <v>0</v>
      </c>
      <c r="BU33" s="499">
        <f t="shared" si="4"/>
        <v>0</v>
      </c>
      <c r="BV33" s="499">
        <f t="shared" si="4"/>
        <v>0</v>
      </c>
      <c r="BW33" s="499">
        <f t="shared" si="4"/>
        <v>0</v>
      </c>
      <c r="BX33" s="499">
        <f>SUM(BX3:BX10)-SUM(BX13:BX20)+SUM(BX23:BX30)</f>
        <v>0</v>
      </c>
      <c r="BY33" s="499">
        <f t="shared" ref="BY33:CJ33" si="5">SUM(BY3:BY10)+SUM(BY13:BY20)+SUM(BY23:BY30)</f>
        <v>0</v>
      </c>
      <c r="BZ33" s="499">
        <f t="shared" si="5"/>
        <v>0</v>
      </c>
      <c r="CA33" s="499">
        <f t="shared" si="5"/>
        <v>0</v>
      </c>
      <c r="CB33" s="499">
        <f t="shared" si="5"/>
        <v>61195006</v>
      </c>
      <c r="CC33" s="499">
        <f t="shared" si="5"/>
        <v>128715673</v>
      </c>
      <c r="CD33" s="499">
        <f t="shared" si="5"/>
        <v>0</v>
      </c>
      <c r="CE33" s="499">
        <f t="shared" si="5"/>
        <v>0</v>
      </c>
      <c r="CF33" s="499">
        <f t="shared" si="5"/>
        <v>0</v>
      </c>
      <c r="CG33" s="499">
        <f t="shared" si="5"/>
        <v>0</v>
      </c>
      <c r="CH33" s="499">
        <f t="shared" si="5"/>
        <v>0</v>
      </c>
      <c r="CI33" s="499">
        <f t="shared" si="5"/>
        <v>0</v>
      </c>
      <c r="CJ33" s="500" t="e" vm="2">
        <f t="shared" si="5"/>
        <v>#VALUE!</v>
      </c>
    </row>
    <row r="34" spans="2:88" ht="14">
      <c r="E34" s="501"/>
      <c r="F34" s="501"/>
      <c r="G34" s="501"/>
      <c r="H34" s="501"/>
      <c r="I34" s="501"/>
      <c r="J34" s="501"/>
      <c r="K34" s="501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01"/>
      <c r="AA34" s="501"/>
      <c r="AB34" s="501"/>
      <c r="AC34" s="501"/>
      <c r="AD34" s="501"/>
      <c r="AE34" s="501"/>
      <c r="AF34" s="501"/>
      <c r="AG34" s="501"/>
      <c r="AH34" s="501"/>
      <c r="AI34" s="501"/>
      <c r="AJ34" s="501"/>
      <c r="AK34" s="501"/>
      <c r="AL34" s="501"/>
      <c r="AM34" s="501"/>
      <c r="AN34" s="501"/>
      <c r="AO34" s="501"/>
      <c r="AP34" s="501"/>
      <c r="AQ34" s="501"/>
      <c r="AR34" s="501"/>
      <c r="AS34" s="501"/>
      <c r="AT34" s="501"/>
      <c r="AU34" s="501"/>
      <c r="AV34" s="501"/>
      <c r="AW34" s="501"/>
      <c r="AX34" s="501"/>
      <c r="AY34" s="501"/>
      <c r="AZ34" s="501"/>
      <c r="BA34" s="501"/>
      <c r="BB34" s="501"/>
      <c r="BC34" s="501"/>
      <c r="BD34" s="501"/>
      <c r="BE34" s="501"/>
      <c r="BF34" s="501"/>
      <c r="BG34" s="501"/>
      <c r="BH34" s="501"/>
      <c r="BI34" s="501"/>
      <c r="BJ34" s="501"/>
      <c r="BK34" s="501"/>
      <c r="BL34" s="501"/>
      <c r="BM34" s="501"/>
      <c r="BN34" s="501"/>
      <c r="BO34" s="501"/>
      <c r="BP34" s="501"/>
      <c r="BQ34" s="501"/>
      <c r="BR34" s="501"/>
      <c r="BS34" s="501"/>
      <c r="BT34" s="501"/>
      <c r="BU34" s="501"/>
      <c r="BV34" s="501"/>
      <c r="BW34" s="501"/>
      <c r="BX34" s="501"/>
      <c r="BY34" s="501"/>
      <c r="BZ34" s="501"/>
      <c r="CA34" s="501"/>
      <c r="CB34" s="501"/>
      <c r="CC34" s="501"/>
      <c r="CD34" s="501"/>
      <c r="CE34" s="501"/>
      <c r="CF34" s="501"/>
      <c r="CG34" s="501"/>
      <c r="CH34" s="501"/>
      <c r="CI34" s="501"/>
      <c r="CJ34" s="501"/>
    </row>
    <row r="35" spans="2:88" ht="22.5" customHeight="1">
      <c r="B35" s="869" t="s">
        <v>649</v>
      </c>
      <c r="C35" s="774"/>
      <c r="D35" s="502"/>
      <c r="E35" s="503">
        <f>E33</f>
        <v>0</v>
      </c>
      <c r="F35" s="503">
        <f t="shared" ref="F35:CJ35" si="6">E35+F33</f>
        <v>0</v>
      </c>
      <c r="G35" s="503">
        <f t="shared" si="6"/>
        <v>0</v>
      </c>
      <c r="H35" s="503">
        <f t="shared" si="6"/>
        <v>16365002</v>
      </c>
      <c r="I35" s="503">
        <f t="shared" si="6"/>
        <v>17365002</v>
      </c>
      <c r="J35" s="503">
        <f t="shared" si="6"/>
        <v>17365002</v>
      </c>
      <c r="K35" s="503">
        <f t="shared" si="6"/>
        <v>17365002</v>
      </c>
      <c r="L35" s="503">
        <f t="shared" si="6"/>
        <v>17365002</v>
      </c>
      <c r="M35" s="503">
        <f t="shared" si="6"/>
        <v>17365002</v>
      </c>
      <c r="N35" s="503">
        <f t="shared" si="6"/>
        <v>17365002</v>
      </c>
      <c r="O35" s="503">
        <f t="shared" si="6"/>
        <v>20365002</v>
      </c>
      <c r="P35" s="503">
        <f t="shared" si="6"/>
        <v>22465002</v>
      </c>
      <c r="Q35" s="503">
        <f t="shared" si="6"/>
        <v>22465002</v>
      </c>
      <c r="R35" s="503">
        <f t="shared" si="6"/>
        <v>22465002</v>
      </c>
      <c r="S35" s="503">
        <f t="shared" si="6"/>
        <v>22465002</v>
      </c>
      <c r="T35" s="503">
        <f t="shared" si="6"/>
        <v>0</v>
      </c>
      <c r="U35" s="503">
        <f t="shared" si="6"/>
        <v>0</v>
      </c>
      <c r="V35" s="503">
        <f t="shared" si="6"/>
        <v>0</v>
      </c>
      <c r="W35" s="503">
        <f t="shared" si="6"/>
        <v>0</v>
      </c>
      <c r="X35" s="503">
        <f t="shared" si="6"/>
        <v>0</v>
      </c>
      <c r="Y35" s="503">
        <f t="shared" si="6"/>
        <v>0</v>
      </c>
      <c r="Z35" s="503">
        <f t="shared" si="6"/>
        <v>0</v>
      </c>
      <c r="AA35" s="503">
        <f t="shared" si="6"/>
        <v>0</v>
      </c>
      <c r="AB35" s="503">
        <f t="shared" si="6"/>
        <v>0</v>
      </c>
      <c r="AC35" s="503">
        <f t="shared" si="6"/>
        <v>0</v>
      </c>
      <c r="AD35" s="503">
        <f t="shared" si="6"/>
        <v>0</v>
      </c>
      <c r="AE35" s="503">
        <f t="shared" si="6"/>
        <v>0</v>
      </c>
      <c r="AF35" s="503">
        <f t="shared" si="6"/>
        <v>0</v>
      </c>
      <c r="AG35" s="503">
        <f t="shared" si="6"/>
        <v>0</v>
      </c>
      <c r="AH35" s="503">
        <f t="shared" si="6"/>
        <v>0</v>
      </c>
      <c r="AI35" s="503">
        <f t="shared" si="6"/>
        <v>0</v>
      </c>
      <c r="AJ35" s="503">
        <f t="shared" si="6"/>
        <v>0</v>
      </c>
      <c r="AK35" s="503">
        <f t="shared" si="6"/>
        <v>0</v>
      </c>
      <c r="AL35" s="503">
        <f t="shared" si="6"/>
        <v>0</v>
      </c>
      <c r="AM35" s="503">
        <f t="shared" si="6"/>
        <v>0</v>
      </c>
      <c r="AN35" s="503">
        <f t="shared" si="6"/>
        <v>0</v>
      </c>
      <c r="AO35" s="503">
        <f t="shared" si="6"/>
        <v>0</v>
      </c>
      <c r="AP35" s="503">
        <f t="shared" si="6"/>
        <v>0</v>
      </c>
      <c r="AQ35" s="503">
        <f t="shared" si="6"/>
        <v>0</v>
      </c>
      <c r="AR35" s="503">
        <f t="shared" si="6"/>
        <v>0</v>
      </c>
      <c r="AS35" s="503">
        <f t="shared" si="6"/>
        <v>0</v>
      </c>
      <c r="AT35" s="503">
        <f t="shared" si="6"/>
        <v>0</v>
      </c>
      <c r="AU35" s="503">
        <f t="shared" si="6"/>
        <v>0</v>
      </c>
      <c r="AV35" s="503">
        <f t="shared" si="6"/>
        <v>0</v>
      </c>
      <c r="AW35" s="503">
        <f t="shared" si="6"/>
        <v>0</v>
      </c>
      <c r="AX35" s="503">
        <f t="shared" si="6"/>
        <v>0</v>
      </c>
      <c r="AY35" s="503">
        <f t="shared" si="6"/>
        <v>0</v>
      </c>
      <c r="AZ35" s="503">
        <f t="shared" si="6"/>
        <v>0</v>
      </c>
      <c r="BA35" s="503">
        <f t="shared" si="6"/>
        <v>0</v>
      </c>
      <c r="BB35" s="503">
        <f t="shared" si="6"/>
        <v>0</v>
      </c>
      <c r="BC35" s="503">
        <f t="shared" si="6"/>
        <v>0</v>
      </c>
      <c r="BD35" s="503">
        <f t="shared" si="6"/>
        <v>0</v>
      </c>
      <c r="BE35" s="503">
        <f t="shared" si="6"/>
        <v>0</v>
      </c>
      <c r="BF35" s="503">
        <f t="shared" si="6"/>
        <v>0</v>
      </c>
      <c r="BG35" s="503">
        <f t="shared" si="6"/>
        <v>0</v>
      </c>
      <c r="BH35" s="503">
        <f t="shared" si="6"/>
        <v>0</v>
      </c>
      <c r="BI35" s="503">
        <f t="shared" si="6"/>
        <v>0</v>
      </c>
      <c r="BJ35" s="503">
        <f t="shared" si="6"/>
        <v>0</v>
      </c>
      <c r="BK35" s="503">
        <f t="shared" si="6"/>
        <v>0</v>
      </c>
      <c r="BL35" s="503">
        <f t="shared" si="6"/>
        <v>0</v>
      </c>
      <c r="BM35" s="503">
        <f t="shared" si="6"/>
        <v>0</v>
      </c>
      <c r="BN35" s="503">
        <f t="shared" si="6"/>
        <v>0</v>
      </c>
      <c r="BO35" s="503">
        <f t="shared" si="6"/>
        <v>0</v>
      </c>
      <c r="BP35" s="503">
        <f t="shared" si="6"/>
        <v>0</v>
      </c>
      <c r="BQ35" s="503">
        <f t="shared" si="6"/>
        <v>0</v>
      </c>
      <c r="BR35" s="503">
        <f t="shared" si="6"/>
        <v>0</v>
      </c>
      <c r="BS35" s="503">
        <f t="shared" si="6"/>
        <v>0</v>
      </c>
      <c r="BT35" s="503">
        <f t="shared" si="6"/>
        <v>0</v>
      </c>
      <c r="BU35" s="503">
        <f t="shared" si="6"/>
        <v>0</v>
      </c>
      <c r="BV35" s="503">
        <f t="shared" si="6"/>
        <v>0</v>
      </c>
      <c r="BW35" s="503">
        <f t="shared" si="6"/>
        <v>0</v>
      </c>
      <c r="BX35" s="503">
        <f t="shared" si="6"/>
        <v>0</v>
      </c>
      <c r="BY35" s="503">
        <f t="shared" si="6"/>
        <v>0</v>
      </c>
      <c r="BZ35" s="503">
        <f t="shared" si="6"/>
        <v>0</v>
      </c>
      <c r="CA35" s="503">
        <f t="shared" si="6"/>
        <v>0</v>
      </c>
      <c r="CB35" s="503">
        <f t="shared" si="6"/>
        <v>61195006</v>
      </c>
      <c r="CC35" s="503">
        <f t="shared" si="6"/>
        <v>189910679</v>
      </c>
      <c r="CD35" s="503">
        <f t="shared" si="6"/>
        <v>189910679</v>
      </c>
      <c r="CE35" s="503">
        <f t="shared" si="6"/>
        <v>189910679</v>
      </c>
      <c r="CF35" s="503">
        <f t="shared" si="6"/>
        <v>189910679</v>
      </c>
      <c r="CG35" s="503">
        <f t="shared" si="6"/>
        <v>189910679</v>
      </c>
      <c r="CH35" s="503">
        <f t="shared" si="6"/>
        <v>189910679</v>
      </c>
      <c r="CI35" s="503">
        <f t="shared" si="6"/>
        <v>189910679</v>
      </c>
      <c r="CJ35" s="504" t="e" vm="2">
        <f t="shared" si="6"/>
        <v>#VALUE!</v>
      </c>
    </row>
  </sheetData>
  <mergeCells count="14">
    <mergeCell ref="B33:C33"/>
    <mergeCell ref="B35:C35"/>
    <mergeCell ref="E1:P1"/>
    <mergeCell ref="Q1:AB1"/>
    <mergeCell ref="AC1:AN1"/>
    <mergeCell ref="B3:B6"/>
    <mergeCell ref="BY1:CJ1"/>
    <mergeCell ref="CL3:CL6"/>
    <mergeCell ref="CL13:CL20"/>
    <mergeCell ref="CL23:CL30"/>
    <mergeCell ref="B7:B10"/>
    <mergeCell ref="AO1:AZ1"/>
    <mergeCell ref="BA1:BL1"/>
    <mergeCell ref="BM1:BX1"/>
  </mergeCells>
  <conditionalFormatting sqref="E35:CN35">
    <cfRule type="cellIs" dxfId="6" priority="1" operator="lessThan">
      <formula>0</formula>
    </cfRule>
  </conditionalFormatting>
  <pageMargins left="0" right="0" top="0" bottom="0" header="0" footer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B5"/>
  <sheetViews>
    <sheetView workbookViewId="0"/>
  </sheetViews>
  <sheetFormatPr baseColWidth="10" defaultColWidth="12.6640625" defaultRowHeight="15" customHeight="1"/>
  <sheetData>
    <row r="5" spans="2:2" ht="15" customHeight="1">
      <c r="B5" s="332">
        <f>-'Cash-flow FAKT (Report)'!N99</f>
        <v>51071399.972000003</v>
      </c>
    </row>
  </sheetData>
  <pageMargins left="0" right="0" top="0" bottom="0" header="0" footer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2:K9"/>
  <sheetViews>
    <sheetView workbookViewId="0"/>
  </sheetViews>
  <sheetFormatPr baseColWidth="10" defaultColWidth="12.6640625" defaultRowHeight="15" customHeight="1"/>
  <cols>
    <col min="1" max="1" width="25.1640625" customWidth="1"/>
    <col min="4" max="4" width="13.33203125" customWidth="1"/>
  </cols>
  <sheetData>
    <row r="2" spans="1:11" ht="14">
      <c r="A2" s="505" t="s">
        <v>650</v>
      </c>
    </row>
    <row r="3" spans="1:11" ht="57" customHeight="1">
      <c r="A3" s="506"/>
      <c r="B3" s="507" t="s">
        <v>651</v>
      </c>
      <c r="C3" s="507" t="s">
        <v>206</v>
      </c>
      <c r="D3" s="507" t="s">
        <v>207</v>
      </c>
      <c r="E3" s="507" t="s">
        <v>208</v>
      </c>
      <c r="F3" s="507" t="s">
        <v>219</v>
      </c>
      <c r="G3" s="507" t="s">
        <v>220</v>
      </c>
      <c r="H3" s="507" t="s">
        <v>221</v>
      </c>
      <c r="I3" s="507" t="s">
        <v>652</v>
      </c>
    </row>
    <row r="4" spans="1:11">
      <c r="A4" s="508" t="s">
        <v>653</v>
      </c>
      <c r="B4" s="509">
        <v>2000</v>
      </c>
      <c r="C4" s="509">
        <v>54000</v>
      </c>
      <c r="D4" s="509">
        <v>155000</v>
      </c>
      <c r="E4" s="509">
        <v>155000</v>
      </c>
      <c r="F4" s="509">
        <v>195000</v>
      </c>
      <c r="G4" s="509">
        <v>245000</v>
      </c>
      <c r="H4" s="509">
        <v>22700</v>
      </c>
      <c r="I4" s="509">
        <v>18960</v>
      </c>
    </row>
    <row r="5" spans="1:11">
      <c r="A5" s="508" t="s">
        <v>654</v>
      </c>
      <c r="B5" s="509">
        <v>4000</v>
      </c>
      <c r="C5" s="509">
        <v>54000</v>
      </c>
      <c r="D5" s="509">
        <v>175000</v>
      </c>
      <c r="E5" s="509">
        <v>175000</v>
      </c>
      <c r="F5" s="509">
        <v>195000</v>
      </c>
      <c r="G5" s="509">
        <v>295000</v>
      </c>
      <c r="H5" s="509">
        <v>27000</v>
      </c>
      <c r="I5" s="509">
        <v>18960</v>
      </c>
    </row>
    <row r="6" spans="1:11">
      <c r="A6" s="508" t="s">
        <v>655</v>
      </c>
      <c r="B6" s="509">
        <v>6000</v>
      </c>
      <c r="C6" s="509">
        <v>54000</v>
      </c>
      <c r="D6" s="509">
        <v>185000</v>
      </c>
      <c r="E6" s="509">
        <v>185000</v>
      </c>
      <c r="F6" s="509">
        <v>195000</v>
      </c>
      <c r="G6" s="509">
        <v>295000</v>
      </c>
      <c r="H6" s="509">
        <v>27000</v>
      </c>
      <c r="I6" s="509">
        <v>22700</v>
      </c>
    </row>
    <row r="7" spans="1:11">
      <c r="A7" s="508" t="s">
        <v>656</v>
      </c>
      <c r="B7" s="509"/>
      <c r="C7" s="509">
        <v>54000</v>
      </c>
      <c r="D7" s="509">
        <v>205000</v>
      </c>
      <c r="E7" s="509">
        <v>205000</v>
      </c>
      <c r="F7" s="509">
        <v>195000</v>
      </c>
      <c r="G7" s="509">
        <v>350000</v>
      </c>
      <c r="H7" s="509">
        <v>35000</v>
      </c>
      <c r="I7" s="509">
        <v>29500</v>
      </c>
    </row>
    <row r="9" spans="1:11" ht="14">
      <c r="A9" s="872"/>
      <c r="B9" s="772"/>
      <c r="C9" s="772"/>
      <c r="D9" s="772"/>
      <c r="E9" s="772"/>
      <c r="F9" s="772"/>
      <c r="G9" s="772"/>
      <c r="H9" s="772"/>
      <c r="I9" s="772"/>
      <c r="J9" s="772"/>
      <c r="K9" s="772"/>
    </row>
  </sheetData>
  <mergeCells count="1">
    <mergeCell ref="A9:K9"/>
  </mergeCells>
  <pageMargins left="0" right="0" top="0" bottom="0" header="0" footer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FF00"/>
    <outlinePr summaryBelow="0" summaryRight="0"/>
  </sheetPr>
  <dimension ref="A1:CI200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ColWidth="12.6640625" defaultRowHeight="15" customHeight="1" outlineLevelRow="2" outlineLevelCol="2"/>
  <cols>
    <col min="1" max="1" width="2.33203125" customWidth="1"/>
    <col min="3" max="3" width="40.1640625" customWidth="1"/>
    <col min="4" max="4" width="12.6640625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1" width="9.1640625" customWidth="1" outlineLevel="2"/>
    <col min="22" max="28" width="12.6640625" customWidth="1" outlineLevel="2"/>
    <col min="29" max="29" width="9.83203125" customWidth="1" outlineLevel="1" collapsed="1"/>
    <col min="30" max="40" width="6.5" hidden="1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1:86">
      <c r="A1" s="226"/>
      <c r="B1" s="455" t="s">
        <v>246</v>
      </c>
      <c r="C1" s="456">
        <v>45688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6"/>
      <c r="CB1" s="226"/>
      <c r="CC1" s="226"/>
      <c r="CD1" s="226"/>
      <c r="CE1" s="226"/>
      <c r="CF1" s="226"/>
      <c r="CG1" s="226"/>
      <c r="CH1" s="226"/>
    </row>
    <row r="2" spans="1:86">
      <c r="A2" s="603"/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  <c r="CA2" s="226"/>
      <c r="CB2" s="226"/>
      <c r="CC2" s="226"/>
      <c r="CD2" s="226"/>
      <c r="CE2" s="226"/>
      <c r="CF2" s="226"/>
      <c r="CG2" s="226"/>
      <c r="CH2" s="226"/>
    </row>
    <row r="3" spans="1:86">
      <c r="A3" s="603"/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  <c r="CA3" s="226"/>
      <c r="CB3" s="226" t="s">
        <v>249</v>
      </c>
      <c r="CC3" s="226" t="s">
        <v>250</v>
      </c>
      <c r="CD3" s="226"/>
      <c r="CE3" s="226"/>
      <c r="CF3" s="226"/>
      <c r="CG3" s="226"/>
      <c r="CH3" s="226"/>
    </row>
    <row r="4" spans="1:86">
      <c r="A4" s="603"/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231">
        <v>45597</v>
      </c>
      <c r="P4" s="510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  <c r="CA4" s="226"/>
      <c r="CB4" s="226" t="s">
        <v>116</v>
      </c>
      <c r="CC4" s="226"/>
      <c r="CD4" s="226"/>
      <c r="CE4" s="226"/>
      <c r="CF4" s="226"/>
      <c r="CG4" s="226"/>
      <c r="CH4" s="226"/>
    </row>
    <row r="5" spans="1:86">
      <c r="A5" s="603"/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5" si="0">SUM(E5:BX5)</f>
        <v>16365002</v>
      </c>
      <c r="BZ5" s="775">
        <f>SUM(BY5:BY8)</f>
        <v>41190002</v>
      </c>
      <c r="CA5" s="226"/>
      <c r="CB5" s="237">
        <f t="shared" ref="CB5:CB15" si="1">SUM(H5:CA5)</f>
        <v>73920006</v>
      </c>
      <c r="CC5" s="775">
        <f>SUM(CB5:CB8)</f>
        <v>184890673</v>
      </c>
      <c r="CD5" s="226"/>
      <c r="CE5" s="226"/>
      <c r="CF5" s="226"/>
      <c r="CG5" s="226"/>
      <c r="CH5" s="226"/>
    </row>
    <row r="6" spans="1:86">
      <c r="A6" s="603"/>
      <c r="B6" s="787"/>
      <c r="C6" s="232" t="s">
        <v>254</v>
      </c>
      <c r="D6" s="233" t="s">
        <v>253</v>
      </c>
      <c r="E6" s="235"/>
      <c r="F6" s="235"/>
      <c r="G6" s="235"/>
      <c r="H6" s="235"/>
      <c r="I6" s="235"/>
      <c r="J6" s="235"/>
      <c r="K6" s="235">
        <v>885000</v>
      </c>
      <c r="L6" s="235">
        <f>1640000+300000</f>
        <v>1940000</v>
      </c>
      <c r="M6" s="235">
        <f>4260000</f>
        <v>4260000</v>
      </c>
      <c r="N6" s="235"/>
      <c r="O6" s="235">
        <f>50000+270000</f>
        <v>320000</v>
      </c>
      <c r="P6" s="235">
        <v>320000</v>
      </c>
      <c r="Q6" s="235"/>
      <c r="R6" s="235">
        <v>1500000</v>
      </c>
      <c r="S6" s="235">
        <v>2300000</v>
      </c>
      <c r="T6" s="235">
        <v>7300000</v>
      </c>
      <c r="U6" s="235">
        <v>5000000</v>
      </c>
      <c r="V6" s="235">
        <v>1000000</v>
      </c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24825000</v>
      </c>
      <c r="BZ6" s="771"/>
      <c r="CA6" s="226">
        <f>9870667</f>
        <v>9870667</v>
      </c>
      <c r="CB6" s="237">
        <f t="shared" si="1"/>
        <v>59520667</v>
      </c>
      <c r="CC6" s="771"/>
      <c r="CD6" s="226"/>
      <c r="CE6" s="226"/>
      <c r="CF6" s="234">
        <f>SUM(Rentroll!$P$2:$P$4)</f>
        <v>613346.05139999976</v>
      </c>
      <c r="CG6" s="226"/>
      <c r="CH6" s="226">
        <f>SUM(Rentroll!$P$2:$P$4)</f>
        <v>613346.05139999976</v>
      </c>
    </row>
    <row r="7" spans="1:86">
      <c r="A7" s="603"/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0</v>
      </c>
      <c r="BZ7" s="771"/>
      <c r="CA7" s="226">
        <f>2100000*24.5</f>
        <v>51450000</v>
      </c>
      <c r="CB7" s="237">
        <f t="shared" si="1"/>
        <v>51450000</v>
      </c>
      <c r="CC7" s="771"/>
      <c r="CD7" s="226"/>
      <c r="CE7" s="226"/>
      <c r="CF7" s="226"/>
      <c r="CG7" s="226"/>
      <c r="CH7" s="226"/>
    </row>
    <row r="8" spans="1:86">
      <c r="A8" s="603"/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  <c r="CA8" s="226"/>
      <c r="CB8" s="241">
        <f t="shared" si="1"/>
        <v>0</v>
      </c>
      <c r="CC8" s="774"/>
      <c r="CD8" s="226"/>
      <c r="CE8" s="226"/>
      <c r="CF8" s="242">
        <f>AA101/BZ5</f>
        <v>0.56638235643768609</v>
      </c>
      <c r="CG8" s="226"/>
      <c r="CH8" s="226"/>
    </row>
    <row r="9" spans="1:86">
      <c r="A9" s="603"/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>
        <f t="shared" ref="U9:Y9" si="2">-U61</f>
        <v>10200</v>
      </c>
      <c r="V9" s="234">
        <f t="shared" si="2"/>
        <v>30600</v>
      </c>
      <c r="W9" s="234">
        <f t="shared" si="2"/>
        <v>61200</v>
      </c>
      <c r="X9" s="234">
        <f t="shared" si="2"/>
        <v>92310</v>
      </c>
      <c r="Y9" s="234">
        <f t="shared" si="2"/>
        <v>124440</v>
      </c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318750</v>
      </c>
      <c r="BZ9" s="775">
        <f>SUM(BY9:BY11)</f>
        <v>76041181.330000013</v>
      </c>
      <c r="CA9" s="226"/>
      <c r="CB9" s="237">
        <f t="shared" si="1"/>
        <v>76678681.330000013</v>
      </c>
      <c r="CC9" s="775">
        <f>SUM(CB9:CB11)</f>
        <v>228123543.99000001</v>
      </c>
      <c r="CD9" s="226"/>
      <c r="CE9" s="226"/>
      <c r="CF9" s="226"/>
      <c r="CG9" s="226"/>
      <c r="CH9" s="226"/>
    </row>
    <row r="10" spans="1:86">
      <c r="A10" s="603"/>
      <c r="B10" s="787"/>
      <c r="C10" s="236" t="s">
        <v>259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>
        <v>2000000</v>
      </c>
      <c r="V10" s="235">
        <v>4000000</v>
      </c>
      <c r="W10" s="235">
        <v>6000000</v>
      </c>
      <c r="X10" s="235">
        <f>24400000/4</f>
        <v>6100000</v>
      </c>
      <c r="Y10" s="235">
        <v>6300000</v>
      </c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24400000</v>
      </c>
      <c r="BZ10" s="771"/>
      <c r="CA10" s="226"/>
      <c r="CB10" s="237">
        <f t="shared" si="1"/>
        <v>48800000</v>
      </c>
      <c r="CC10" s="771"/>
      <c r="CD10" s="226"/>
      <c r="CE10" s="226">
        <f>BY5+BY11</f>
        <v>67687433.330000013</v>
      </c>
      <c r="CF10" s="226"/>
      <c r="CG10" s="226"/>
      <c r="CH10" s="226"/>
    </row>
    <row r="11" spans="1:86">
      <c r="A11" s="603"/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/>
      <c r="L11" s="240"/>
      <c r="M11" s="240">
        <f>6449487.53+48944.52</f>
        <v>6498432.0499999998</v>
      </c>
      <c r="N11" s="240">
        <f>19937831.95</f>
        <v>19937831.949999999</v>
      </c>
      <c r="O11" s="240">
        <f>133478.48+9278006.75</f>
        <v>9411485.2300000004</v>
      </c>
      <c r="P11" s="240">
        <f>186701+7000000+5138503.39+219819.11</f>
        <v>12545023.5</v>
      </c>
      <c r="Q11" s="240">
        <f>2929658.6</f>
        <v>2929658.6</v>
      </c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51322431.330000006</v>
      </c>
      <c r="BZ11" s="776"/>
      <c r="CA11" s="245"/>
      <c r="CB11" s="241">
        <f t="shared" si="1"/>
        <v>102644862.66000001</v>
      </c>
      <c r="CC11" s="776"/>
      <c r="CD11" s="245"/>
      <c r="CE11" s="245">
        <f>BY11/CE10</f>
        <v>0.7582268791281408</v>
      </c>
      <c r="CF11" s="245">
        <f>BY11/2100000</f>
        <v>24.439253014285718</v>
      </c>
      <c r="CG11" s="245"/>
      <c r="CH11" s="245" t="e">
        <f>su</f>
        <v>#NAME?</v>
      </c>
    </row>
    <row r="12" spans="1:86">
      <c r="A12" s="603"/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>
        <f>SUM(Rentroll!$P$2:$P$10)</f>
        <v>1045797.2378791663</v>
      </c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1045797.2378791663</v>
      </c>
      <c r="BZ12" s="775">
        <f>SUM(BY12:BY15)</f>
        <v>146168004.06223112</v>
      </c>
      <c r="CA12" s="226"/>
      <c r="CB12" s="237">
        <f t="shared" si="1"/>
        <v>148259598.53798947</v>
      </c>
      <c r="CC12" s="775">
        <f>SUM(CB12:CB15)</f>
        <v>438504012.18669337</v>
      </c>
      <c r="CD12" s="226"/>
      <c r="CE12" s="242">
        <f>BY5/CE10</f>
        <v>0.24177312087185915</v>
      </c>
      <c r="CF12" s="226"/>
      <c r="CG12" s="226"/>
      <c r="CH12" s="226"/>
    </row>
    <row r="13" spans="1:86">
      <c r="A13" s="603"/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>
        <f>Businessplan_prodej!J25</f>
        <v>134227900.78571424</v>
      </c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  <c r="CA13" s="226"/>
      <c r="CB13" s="237">
        <f t="shared" si="1"/>
        <v>268455801.57142848</v>
      </c>
      <c r="CC13" s="771"/>
      <c r="CD13" s="226"/>
      <c r="CE13" s="226"/>
      <c r="CF13" s="226"/>
      <c r="CG13" s="226"/>
      <c r="CH13" s="226"/>
    </row>
    <row r="14" spans="1:86">
      <c r="A14" s="603"/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>
        <v>6227</v>
      </c>
      <c r="J14" s="235">
        <v>14588</v>
      </c>
      <c r="K14" s="235">
        <f>457468</f>
        <v>457468</v>
      </c>
      <c r="L14" s="235">
        <v>57517</v>
      </c>
      <c r="M14" s="235">
        <f>60362</f>
        <v>60362</v>
      </c>
      <c r="N14" s="235">
        <v>56101</v>
      </c>
      <c r="O14" s="235">
        <f>59696</f>
        <v>59696</v>
      </c>
      <c r="P14" s="235">
        <f>60211</f>
        <v>60211</v>
      </c>
      <c r="Q14" s="235">
        <f>49860-602</f>
        <v>49258</v>
      </c>
      <c r="R14" s="235">
        <f>IF(P12&gt;0,-(SUM(Rentroll!$K$2:$K$4)+Rentroll!$N$2),0)-(SUM(P23,P37)-SUM(P23,P37)/1.21)</f>
        <v>72438.165371900832</v>
      </c>
      <c r="S14" s="235">
        <f>IF(Q12&gt;0,-(SUM(Rentroll!$K$2:$K$4)+Rentroll!$N$2),0)-(SUM(Q23,Q37)-SUM(Q23,Q37)/1.21)</f>
        <v>59416.00619008264</v>
      </c>
      <c r="T14" s="235">
        <f>IF(R12&gt;0,-(SUM(Rentroll!$K$2:$K$4)+Rentroll!$N$2),0)-(SUM(R23,R37)-SUM(R23,R37)/1.21)</f>
        <v>198344.01524535124</v>
      </c>
      <c r="U14" s="235">
        <f>IF(S12&gt;0,-(SUM(Rentroll!$K$2:$K$4)+Rentroll!$N$2),0)-(SUM(S23,S37)-SUM(S23,S37)/1.21)</f>
        <v>223195.6522177686</v>
      </c>
      <c r="V14" s="235">
        <f>IF(T12&gt;0,-(SUM(Rentroll!$K$2:$K$4)+Rentroll!$N$2),0)-(SUM(T23,T37)-SUM(T23,T37)/1.21)</f>
        <v>58411.52272469009</v>
      </c>
      <c r="W14" s="235">
        <f>IF(U12&gt;0,-(SUM(Rentroll!$K$2:$K$4)+Rentroll!$N$2),0)-(SUM(U23,U37)-SUM(U23,U37)/1.21)</f>
        <v>53300.899377582624</v>
      </c>
      <c r="X14" s="235">
        <f>IF(V12&gt;0,-(SUM(Rentroll!$K$2:$K$4)+Rentroll!$N$2),0)-(SUM(V23,V37)-SUM(V23,V37)/1.21)</f>
        <v>53300.899377582624</v>
      </c>
      <c r="Y14" s="235">
        <f>IF(W12&gt;0,-(SUM(Rentroll!$K$2:$K$4)+Rentroll!$N$2),0)-(SUM(W23,W37)-SUM(W23,W37)/1.21)</f>
        <v>53300.899377582624</v>
      </c>
      <c r="Z14" s="235">
        <f>IF(X12&gt;0,-(SUM(Rentroll!$K$2:$K$4)+Rentroll!$N$2),0)-(SUM(X23,X37)-SUM(X23,X37)/1.21)</f>
        <v>53300.899377582624</v>
      </c>
      <c r="AA14" s="235">
        <f>IF(Y12&gt;0,-(SUM(Rentroll!$K$2:$K$4)+Rentroll!$N$2),0)-(SUM(Y23,Y37)-SUM(Y23,Y37)/1.21)</f>
        <v>53300.899377582624</v>
      </c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1699737.8586377066</v>
      </c>
      <c r="BZ14" s="771"/>
      <c r="CA14" s="226"/>
      <c r="CB14" s="237">
        <f t="shared" si="1"/>
        <v>3399475.7172754132</v>
      </c>
      <c r="CC14" s="771"/>
      <c r="CD14" s="226"/>
      <c r="CE14" s="226">
        <f>51450000</f>
        <v>51450000</v>
      </c>
      <c r="CF14" s="226">
        <f>BY11/24.5</f>
        <v>2094793.1155102043</v>
      </c>
      <c r="CG14" s="226"/>
      <c r="CH14" s="226"/>
    </row>
    <row r="15" spans="1:86">
      <c r="A15" s="603"/>
      <c r="B15" s="768"/>
      <c r="C15" s="238" t="s">
        <v>265</v>
      </c>
      <c r="D15" s="239" t="s">
        <v>264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>
        <f>17343.33+17343.33+1835.52</f>
        <v>36522.18</v>
      </c>
      <c r="Q15" s="240">
        <f>9100000+2904+5142</f>
        <v>9108046</v>
      </c>
      <c r="R15" s="240"/>
      <c r="S15" s="240"/>
      <c r="T15" s="240"/>
      <c r="U15" s="240"/>
      <c r="V15" s="240"/>
      <c r="W15" s="240"/>
      <c r="X15" s="240"/>
      <c r="Y15" s="240"/>
      <c r="Z15" s="240"/>
      <c r="AA15" s="240">
        <f>-Businessplan_prodej!F36</f>
        <v>50000</v>
      </c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38"/>
      <c r="BY15" s="241">
        <f t="shared" si="0"/>
        <v>9194568.1799999997</v>
      </c>
      <c r="BZ15" s="776"/>
      <c r="CA15" s="226"/>
      <c r="CB15" s="241">
        <f t="shared" si="1"/>
        <v>18389136.359999999</v>
      </c>
      <c r="CC15" s="776"/>
      <c r="CD15" s="226"/>
      <c r="CE15" s="226">
        <f>CE14/24.5</f>
        <v>2100000</v>
      </c>
      <c r="CF15" s="226"/>
      <c r="CG15" s="226"/>
      <c r="CH15" s="226"/>
    </row>
    <row r="16" spans="1:86" ht="16">
      <c r="A16" s="603"/>
      <c r="B16" s="788" t="s">
        <v>266</v>
      </c>
      <c r="C16" s="774"/>
      <c r="D16" s="246"/>
      <c r="E16" s="247">
        <f t="shared" ref="E16:BX16" si="3">SUM(E5:E15)</f>
        <v>0</v>
      </c>
      <c r="F16" s="247">
        <f t="shared" si="3"/>
        <v>0</v>
      </c>
      <c r="G16" s="247">
        <f t="shared" si="3"/>
        <v>0</v>
      </c>
      <c r="H16" s="247">
        <f t="shared" si="3"/>
        <v>16365002</v>
      </c>
      <c r="I16" s="247">
        <f t="shared" si="3"/>
        <v>6227</v>
      </c>
      <c r="J16" s="247">
        <f t="shared" si="3"/>
        <v>14588</v>
      </c>
      <c r="K16" s="247">
        <f t="shared" si="3"/>
        <v>1342468</v>
      </c>
      <c r="L16" s="247">
        <f t="shared" si="3"/>
        <v>1997517</v>
      </c>
      <c r="M16" s="247">
        <f t="shared" si="3"/>
        <v>10818794.050000001</v>
      </c>
      <c r="N16" s="247">
        <f t="shared" si="3"/>
        <v>19993932.949999999</v>
      </c>
      <c r="O16" s="247">
        <f t="shared" si="3"/>
        <v>9791181.2300000004</v>
      </c>
      <c r="P16" s="247">
        <f t="shared" si="3"/>
        <v>12961756.68</v>
      </c>
      <c r="Q16" s="247">
        <f t="shared" si="3"/>
        <v>12086962.6</v>
      </c>
      <c r="R16" s="247">
        <f t="shared" si="3"/>
        <v>1572438.1653719009</v>
      </c>
      <c r="S16" s="247">
        <f t="shared" si="3"/>
        <v>2359416.0061900825</v>
      </c>
      <c r="T16" s="247">
        <f t="shared" si="3"/>
        <v>7498344.015245351</v>
      </c>
      <c r="U16" s="247">
        <f t="shared" si="3"/>
        <v>7233395.6522177681</v>
      </c>
      <c r="V16" s="247">
        <f t="shared" si="3"/>
        <v>5089011.5227246899</v>
      </c>
      <c r="W16" s="247">
        <f t="shared" si="3"/>
        <v>6114500.8993775826</v>
      </c>
      <c r="X16" s="247">
        <f t="shared" si="3"/>
        <v>6245610.8993775826</v>
      </c>
      <c r="Y16" s="247">
        <f t="shared" si="3"/>
        <v>6477740.8993775826</v>
      </c>
      <c r="Z16" s="247">
        <f t="shared" si="3"/>
        <v>53300.899377582624</v>
      </c>
      <c r="AA16" s="247">
        <f t="shared" si="3"/>
        <v>135376998.92297098</v>
      </c>
      <c r="AB16" s="247">
        <f t="shared" si="3"/>
        <v>0</v>
      </c>
      <c r="AC16" s="247">
        <f t="shared" si="3"/>
        <v>0</v>
      </c>
      <c r="AD16" s="247">
        <f t="shared" si="3"/>
        <v>0</v>
      </c>
      <c r="AE16" s="247">
        <f t="shared" si="3"/>
        <v>0</v>
      </c>
      <c r="AF16" s="247">
        <f t="shared" si="3"/>
        <v>0</v>
      </c>
      <c r="AG16" s="247">
        <f t="shared" si="3"/>
        <v>0</v>
      </c>
      <c r="AH16" s="247">
        <f t="shared" si="3"/>
        <v>0</v>
      </c>
      <c r="AI16" s="247">
        <f t="shared" si="3"/>
        <v>0</v>
      </c>
      <c r="AJ16" s="247">
        <f t="shared" si="3"/>
        <v>0</v>
      </c>
      <c r="AK16" s="247">
        <f t="shared" si="3"/>
        <v>0</v>
      </c>
      <c r="AL16" s="247">
        <f t="shared" si="3"/>
        <v>0</v>
      </c>
      <c r="AM16" s="247">
        <f t="shared" si="3"/>
        <v>0</v>
      </c>
      <c r="AN16" s="247">
        <f t="shared" si="3"/>
        <v>0</v>
      </c>
      <c r="AO16" s="247">
        <f t="shared" si="3"/>
        <v>0</v>
      </c>
      <c r="AP16" s="247">
        <f t="shared" si="3"/>
        <v>0</v>
      </c>
      <c r="AQ16" s="247">
        <f t="shared" si="3"/>
        <v>0</v>
      </c>
      <c r="AR16" s="247">
        <f t="shared" si="3"/>
        <v>0</v>
      </c>
      <c r="AS16" s="247">
        <f t="shared" si="3"/>
        <v>0</v>
      </c>
      <c r="AT16" s="247">
        <f t="shared" si="3"/>
        <v>0</v>
      </c>
      <c r="AU16" s="247">
        <f t="shared" si="3"/>
        <v>0</v>
      </c>
      <c r="AV16" s="247">
        <f t="shared" si="3"/>
        <v>0</v>
      </c>
      <c r="AW16" s="247">
        <f t="shared" si="3"/>
        <v>0</v>
      </c>
      <c r="AX16" s="247">
        <f t="shared" si="3"/>
        <v>0</v>
      </c>
      <c r="AY16" s="247">
        <f t="shared" si="3"/>
        <v>0</v>
      </c>
      <c r="AZ16" s="247">
        <f t="shared" si="3"/>
        <v>0</v>
      </c>
      <c r="BA16" s="247">
        <f t="shared" si="3"/>
        <v>0</v>
      </c>
      <c r="BB16" s="247">
        <f t="shared" si="3"/>
        <v>0</v>
      </c>
      <c r="BC16" s="247">
        <f t="shared" si="3"/>
        <v>0</v>
      </c>
      <c r="BD16" s="247">
        <f t="shared" si="3"/>
        <v>0</v>
      </c>
      <c r="BE16" s="247">
        <f t="shared" si="3"/>
        <v>0</v>
      </c>
      <c r="BF16" s="247">
        <f t="shared" si="3"/>
        <v>0</v>
      </c>
      <c r="BG16" s="247">
        <f t="shared" si="3"/>
        <v>0</v>
      </c>
      <c r="BH16" s="247">
        <f t="shared" si="3"/>
        <v>0</v>
      </c>
      <c r="BI16" s="247">
        <f t="shared" si="3"/>
        <v>0</v>
      </c>
      <c r="BJ16" s="247">
        <f t="shared" si="3"/>
        <v>0</v>
      </c>
      <c r="BK16" s="247">
        <f t="shared" si="3"/>
        <v>0</v>
      </c>
      <c r="BL16" s="247">
        <f t="shared" si="3"/>
        <v>0</v>
      </c>
      <c r="BM16" s="247">
        <f t="shared" si="3"/>
        <v>0</v>
      </c>
      <c r="BN16" s="247">
        <f t="shared" si="3"/>
        <v>0</v>
      </c>
      <c r="BO16" s="247">
        <f t="shared" si="3"/>
        <v>0</v>
      </c>
      <c r="BP16" s="247">
        <f t="shared" si="3"/>
        <v>0</v>
      </c>
      <c r="BQ16" s="247">
        <f t="shared" si="3"/>
        <v>0</v>
      </c>
      <c r="BR16" s="247">
        <f t="shared" si="3"/>
        <v>0</v>
      </c>
      <c r="BS16" s="247">
        <f t="shared" si="3"/>
        <v>0</v>
      </c>
      <c r="BT16" s="247">
        <f t="shared" si="3"/>
        <v>0</v>
      </c>
      <c r="BU16" s="247">
        <f t="shared" si="3"/>
        <v>0</v>
      </c>
      <c r="BV16" s="247">
        <f t="shared" si="3"/>
        <v>0</v>
      </c>
      <c r="BW16" s="247">
        <f t="shared" si="3"/>
        <v>0</v>
      </c>
      <c r="BX16" s="247">
        <f t="shared" si="3"/>
        <v>0</v>
      </c>
      <c r="BY16" s="778">
        <f>BZ5+BZ9+BZ12</f>
        <v>263399187.39223114</v>
      </c>
      <c r="BZ16" s="774"/>
      <c r="CA16" s="226"/>
      <c r="CB16" s="778">
        <f>CC5+CC9+CC12</f>
        <v>851518229.17669344</v>
      </c>
      <c r="CC16" s="774"/>
      <c r="CD16" s="226"/>
      <c r="CE16" s="226"/>
      <c r="CF16" s="226"/>
      <c r="CG16" s="226"/>
      <c r="CH16" s="226"/>
    </row>
    <row r="17" spans="1:85" ht="16" collapsed="1">
      <c r="A17" s="603"/>
      <c r="B17" s="789" t="s">
        <v>267</v>
      </c>
      <c r="C17" s="248" t="s">
        <v>268</v>
      </c>
      <c r="D17" s="249"/>
      <c r="E17" s="250">
        <f t="shared" ref="E17:BY17" si="4">SUM(E18:E22)</f>
        <v>0</v>
      </c>
      <c r="F17" s="250">
        <f t="shared" si="4"/>
        <v>0</v>
      </c>
      <c r="G17" s="250">
        <f t="shared" si="4"/>
        <v>0</v>
      </c>
      <c r="H17" s="250">
        <f t="shared" si="4"/>
        <v>-10620712</v>
      </c>
      <c r="I17" s="250">
        <f t="shared" si="4"/>
        <v>0</v>
      </c>
      <c r="J17" s="250">
        <f t="shared" si="4"/>
        <v>-808333</v>
      </c>
      <c r="K17" s="250">
        <f t="shared" si="4"/>
        <v>0</v>
      </c>
      <c r="L17" s="250">
        <f t="shared" si="4"/>
        <v>0</v>
      </c>
      <c r="M17" s="250">
        <f t="shared" si="4"/>
        <v>0</v>
      </c>
      <c r="N17" s="250">
        <f t="shared" si="4"/>
        <v>0</v>
      </c>
      <c r="O17" s="250">
        <f t="shared" si="4"/>
        <v>0</v>
      </c>
      <c r="P17" s="250">
        <f t="shared" si="4"/>
        <v>0</v>
      </c>
      <c r="Q17" s="250">
        <f t="shared" si="4"/>
        <v>0</v>
      </c>
      <c r="R17" s="250">
        <f t="shared" si="4"/>
        <v>0</v>
      </c>
      <c r="S17" s="250">
        <f t="shared" si="4"/>
        <v>0</v>
      </c>
      <c r="T17" s="250">
        <f t="shared" si="4"/>
        <v>0</v>
      </c>
      <c r="U17" s="250">
        <f t="shared" si="4"/>
        <v>0</v>
      </c>
      <c r="V17" s="250">
        <f t="shared" si="4"/>
        <v>0</v>
      </c>
      <c r="W17" s="250">
        <f t="shared" si="4"/>
        <v>0</v>
      </c>
      <c r="X17" s="250">
        <f t="shared" si="4"/>
        <v>0</v>
      </c>
      <c r="Y17" s="250">
        <f t="shared" si="4"/>
        <v>0</v>
      </c>
      <c r="Z17" s="250">
        <f t="shared" si="4"/>
        <v>0</v>
      </c>
      <c r="AA17" s="250">
        <f t="shared" si="4"/>
        <v>0</v>
      </c>
      <c r="AB17" s="250">
        <f t="shared" si="4"/>
        <v>0</v>
      </c>
      <c r="AC17" s="250">
        <f t="shared" si="4"/>
        <v>0</v>
      </c>
      <c r="AD17" s="250">
        <f t="shared" si="4"/>
        <v>0</v>
      </c>
      <c r="AE17" s="250">
        <f t="shared" si="4"/>
        <v>0</v>
      </c>
      <c r="AF17" s="250">
        <f t="shared" si="4"/>
        <v>0</v>
      </c>
      <c r="AG17" s="250">
        <f t="shared" si="4"/>
        <v>0</v>
      </c>
      <c r="AH17" s="250">
        <f t="shared" si="4"/>
        <v>0</v>
      </c>
      <c r="AI17" s="250">
        <f t="shared" si="4"/>
        <v>0</v>
      </c>
      <c r="AJ17" s="250">
        <f t="shared" si="4"/>
        <v>0</v>
      </c>
      <c r="AK17" s="250">
        <f t="shared" si="4"/>
        <v>0</v>
      </c>
      <c r="AL17" s="250">
        <f t="shared" si="4"/>
        <v>0</v>
      </c>
      <c r="AM17" s="250">
        <f t="shared" si="4"/>
        <v>0</v>
      </c>
      <c r="AN17" s="250">
        <f t="shared" si="4"/>
        <v>0</v>
      </c>
      <c r="AO17" s="250">
        <f t="shared" si="4"/>
        <v>0</v>
      </c>
      <c r="AP17" s="250">
        <f t="shared" si="4"/>
        <v>0</v>
      </c>
      <c r="AQ17" s="250">
        <f t="shared" si="4"/>
        <v>0</v>
      </c>
      <c r="AR17" s="250">
        <f t="shared" si="4"/>
        <v>0</v>
      </c>
      <c r="AS17" s="250">
        <f t="shared" si="4"/>
        <v>0</v>
      </c>
      <c r="AT17" s="250">
        <f t="shared" si="4"/>
        <v>0</v>
      </c>
      <c r="AU17" s="250">
        <f t="shared" si="4"/>
        <v>0</v>
      </c>
      <c r="AV17" s="250">
        <f t="shared" si="4"/>
        <v>0</v>
      </c>
      <c r="AW17" s="250">
        <f t="shared" si="4"/>
        <v>0</v>
      </c>
      <c r="AX17" s="250">
        <f t="shared" si="4"/>
        <v>0</v>
      </c>
      <c r="AY17" s="250">
        <f t="shared" si="4"/>
        <v>0</v>
      </c>
      <c r="AZ17" s="250">
        <f t="shared" si="4"/>
        <v>0</v>
      </c>
      <c r="BA17" s="250">
        <f t="shared" si="4"/>
        <v>0</v>
      </c>
      <c r="BB17" s="250">
        <f t="shared" si="4"/>
        <v>0</v>
      </c>
      <c r="BC17" s="250">
        <f t="shared" si="4"/>
        <v>0</v>
      </c>
      <c r="BD17" s="250">
        <f t="shared" si="4"/>
        <v>0</v>
      </c>
      <c r="BE17" s="250">
        <f t="shared" si="4"/>
        <v>0</v>
      </c>
      <c r="BF17" s="250">
        <f t="shared" si="4"/>
        <v>0</v>
      </c>
      <c r="BG17" s="250">
        <f t="shared" si="4"/>
        <v>0</v>
      </c>
      <c r="BH17" s="250">
        <f t="shared" si="4"/>
        <v>0</v>
      </c>
      <c r="BI17" s="250">
        <f t="shared" si="4"/>
        <v>0</v>
      </c>
      <c r="BJ17" s="250">
        <f t="shared" si="4"/>
        <v>0</v>
      </c>
      <c r="BK17" s="250">
        <f t="shared" si="4"/>
        <v>0</v>
      </c>
      <c r="BL17" s="250">
        <f t="shared" si="4"/>
        <v>0</v>
      </c>
      <c r="BM17" s="250">
        <f t="shared" si="4"/>
        <v>0</v>
      </c>
      <c r="BN17" s="250">
        <f t="shared" si="4"/>
        <v>0</v>
      </c>
      <c r="BO17" s="250">
        <f t="shared" si="4"/>
        <v>0</v>
      </c>
      <c r="BP17" s="250">
        <f t="shared" si="4"/>
        <v>0</v>
      </c>
      <c r="BQ17" s="250">
        <f t="shared" si="4"/>
        <v>0</v>
      </c>
      <c r="BR17" s="250">
        <f t="shared" si="4"/>
        <v>0</v>
      </c>
      <c r="BS17" s="250">
        <f t="shared" si="4"/>
        <v>0</v>
      </c>
      <c r="BT17" s="250">
        <f t="shared" si="4"/>
        <v>0</v>
      </c>
      <c r="BU17" s="250">
        <f t="shared" si="4"/>
        <v>0</v>
      </c>
      <c r="BV17" s="250">
        <f t="shared" si="4"/>
        <v>0</v>
      </c>
      <c r="BW17" s="250">
        <f t="shared" si="4"/>
        <v>0</v>
      </c>
      <c r="BX17" s="250">
        <f t="shared" si="4"/>
        <v>0</v>
      </c>
      <c r="BY17" s="251">
        <f t="shared" si="4"/>
        <v>-11429045</v>
      </c>
      <c r="BZ17" s="777">
        <f>BY17+BY23+BY26+BY34+BY37+BY49+BY55+BY63+BY87</f>
        <v>-123959168.60779811</v>
      </c>
      <c r="CA17" s="226"/>
      <c r="CB17" s="252"/>
      <c r="CC17" s="777"/>
      <c r="CD17" s="226"/>
      <c r="CE17" s="226"/>
      <c r="CF17" s="226"/>
      <c r="CG17" s="226"/>
    </row>
    <row r="18" spans="1:85" ht="16" hidden="1" outlineLevel="1">
      <c r="A18" s="603"/>
      <c r="B18" s="787"/>
      <c r="C18" s="253" t="s">
        <v>269</v>
      </c>
      <c r="D18" s="254" t="s">
        <v>270</v>
      </c>
      <c r="E18" s="255"/>
      <c r="F18" s="255"/>
      <c r="G18" s="255"/>
      <c r="H18" s="256">
        <f>-8458812-2161900</f>
        <v>-10620712</v>
      </c>
      <c r="I18" s="256"/>
      <c r="J18" s="256">
        <f>-657296-151037</f>
        <v>-808333</v>
      </c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7">
        <f t="shared" ref="BY18:BY22" si="5">SUM(E18:BX18)</f>
        <v>-11429045</v>
      </c>
      <c r="BZ18" s="771"/>
      <c r="CA18" s="226"/>
      <c r="CB18" s="252"/>
      <c r="CC18" s="771"/>
      <c r="CD18" s="226"/>
      <c r="CE18" s="226"/>
      <c r="CF18" s="226"/>
      <c r="CG18" s="226"/>
    </row>
    <row r="19" spans="1:85" ht="16" hidden="1" outlineLevel="1">
      <c r="A19" s="603"/>
      <c r="B19" s="787"/>
      <c r="C19" s="253" t="s">
        <v>271</v>
      </c>
      <c r="D19" s="254" t="s">
        <v>270</v>
      </c>
      <c r="E19" s="255"/>
      <c r="F19" s="255"/>
      <c r="G19" s="255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si="5"/>
        <v>0</v>
      </c>
      <c r="BZ19" s="771"/>
      <c r="CA19" s="226"/>
      <c r="CB19" s="252"/>
      <c r="CC19" s="771"/>
      <c r="CD19" s="226"/>
      <c r="CE19" s="226"/>
      <c r="CF19" s="226"/>
      <c r="CG19" s="226"/>
    </row>
    <row r="20" spans="1:85" ht="16" hidden="1" outlineLevel="1">
      <c r="A20" s="603"/>
      <c r="B20" s="787"/>
      <c r="C20" s="253" t="s">
        <v>272</v>
      </c>
      <c r="D20" s="254" t="s">
        <v>270</v>
      </c>
      <c r="E20" s="255"/>
      <c r="F20" s="255"/>
      <c r="G20" s="255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5"/>
        <v>0</v>
      </c>
      <c r="BZ20" s="771"/>
      <c r="CA20" s="226"/>
      <c r="CB20" s="252"/>
      <c r="CC20" s="771"/>
      <c r="CD20" s="226"/>
      <c r="CE20" s="226"/>
      <c r="CF20" s="226"/>
      <c r="CG20" s="226"/>
    </row>
    <row r="21" spans="1:85" ht="16" hidden="1" outlineLevel="1">
      <c r="A21" s="603"/>
      <c r="B21" s="787"/>
      <c r="C21" s="253" t="s">
        <v>273</v>
      </c>
      <c r="D21" s="254" t="s">
        <v>270</v>
      </c>
      <c r="E21" s="255"/>
      <c r="F21" s="255"/>
      <c r="G21" s="255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5"/>
        <v>0</v>
      </c>
      <c r="BZ21" s="771"/>
      <c r="CA21" s="226"/>
      <c r="CB21" s="252"/>
      <c r="CC21" s="771"/>
      <c r="CD21" s="226"/>
      <c r="CE21" s="226"/>
      <c r="CF21" s="226"/>
      <c r="CG21" s="226"/>
    </row>
    <row r="22" spans="1:85" ht="16" hidden="1" outlineLevel="1">
      <c r="A22" s="603"/>
      <c r="B22" s="787"/>
      <c r="C22" s="253" t="s">
        <v>274</v>
      </c>
      <c r="D22" s="258" t="s">
        <v>270</v>
      </c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5"/>
        <v>0</v>
      </c>
      <c r="BZ22" s="771"/>
      <c r="CA22" s="226"/>
      <c r="CB22" s="252"/>
      <c r="CC22" s="771"/>
      <c r="CD22" s="226"/>
      <c r="CE22" s="226"/>
      <c r="CF22" s="226"/>
      <c r="CG22" s="226"/>
    </row>
    <row r="23" spans="1:85" ht="16" collapsed="1">
      <c r="A23" s="603"/>
      <c r="B23" s="787"/>
      <c r="C23" s="248" t="s">
        <v>275</v>
      </c>
      <c r="D23" s="249"/>
      <c r="E23" s="250">
        <f t="shared" ref="E23:BY23" si="6">SUM(E24:E25)</f>
        <v>0</v>
      </c>
      <c r="F23" s="250">
        <f t="shared" si="6"/>
        <v>0</v>
      </c>
      <c r="G23" s="250">
        <f t="shared" si="6"/>
        <v>0</v>
      </c>
      <c r="H23" s="250">
        <f t="shared" si="6"/>
        <v>0</v>
      </c>
      <c r="I23" s="250">
        <f t="shared" si="6"/>
        <v>-366025</v>
      </c>
      <c r="J23" s="250">
        <f t="shared" si="6"/>
        <v>0</v>
      </c>
      <c r="K23" s="250">
        <f t="shared" si="6"/>
        <v>0</v>
      </c>
      <c r="L23" s="250">
        <f t="shared" si="6"/>
        <v>-15913.92</v>
      </c>
      <c r="M23" s="250">
        <f t="shared" si="6"/>
        <v>0</v>
      </c>
      <c r="N23" s="250">
        <f t="shared" si="6"/>
        <v>0</v>
      </c>
      <c r="O23" s="250">
        <f t="shared" si="6"/>
        <v>0</v>
      </c>
      <c r="P23" s="250">
        <f t="shared" si="6"/>
        <v>0</v>
      </c>
      <c r="Q23" s="250">
        <f t="shared" si="6"/>
        <v>-36051</v>
      </c>
      <c r="R23" s="250">
        <f t="shared" si="6"/>
        <v>-393250</v>
      </c>
      <c r="S23" s="250">
        <f t="shared" si="6"/>
        <v>-497249.5</v>
      </c>
      <c r="T23" s="250">
        <f t="shared" si="6"/>
        <v>0</v>
      </c>
      <c r="U23" s="250">
        <f t="shared" si="6"/>
        <v>0</v>
      </c>
      <c r="V23" s="250">
        <f t="shared" si="6"/>
        <v>0</v>
      </c>
      <c r="W23" s="250">
        <f t="shared" si="6"/>
        <v>0</v>
      </c>
      <c r="X23" s="250">
        <f t="shared" si="6"/>
        <v>0</v>
      </c>
      <c r="Y23" s="250">
        <f t="shared" si="6"/>
        <v>0</v>
      </c>
      <c r="Z23" s="250">
        <f t="shared" si="6"/>
        <v>0</v>
      </c>
      <c r="AA23" s="250">
        <f t="shared" si="6"/>
        <v>0</v>
      </c>
      <c r="AB23" s="250">
        <f t="shared" si="6"/>
        <v>0</v>
      </c>
      <c r="AC23" s="250">
        <f t="shared" si="6"/>
        <v>0</v>
      </c>
      <c r="AD23" s="250">
        <f t="shared" si="6"/>
        <v>0</v>
      </c>
      <c r="AE23" s="250">
        <f t="shared" si="6"/>
        <v>0</v>
      </c>
      <c r="AF23" s="250">
        <f t="shared" si="6"/>
        <v>0</v>
      </c>
      <c r="AG23" s="250">
        <f t="shared" si="6"/>
        <v>0</v>
      </c>
      <c r="AH23" s="250">
        <f t="shared" si="6"/>
        <v>0</v>
      </c>
      <c r="AI23" s="250">
        <f t="shared" si="6"/>
        <v>0</v>
      </c>
      <c r="AJ23" s="250">
        <f t="shared" si="6"/>
        <v>0</v>
      </c>
      <c r="AK23" s="250">
        <f t="shared" si="6"/>
        <v>0</v>
      </c>
      <c r="AL23" s="250">
        <f t="shared" si="6"/>
        <v>0</v>
      </c>
      <c r="AM23" s="250">
        <f t="shared" si="6"/>
        <v>0</v>
      </c>
      <c r="AN23" s="250">
        <f t="shared" si="6"/>
        <v>0</v>
      </c>
      <c r="AO23" s="250">
        <f t="shared" si="6"/>
        <v>0</v>
      </c>
      <c r="AP23" s="250">
        <f t="shared" si="6"/>
        <v>0</v>
      </c>
      <c r="AQ23" s="250">
        <f t="shared" si="6"/>
        <v>0</v>
      </c>
      <c r="AR23" s="250">
        <f t="shared" si="6"/>
        <v>0</v>
      </c>
      <c r="AS23" s="250">
        <f t="shared" si="6"/>
        <v>0</v>
      </c>
      <c r="AT23" s="250">
        <f t="shared" si="6"/>
        <v>0</v>
      </c>
      <c r="AU23" s="250">
        <f t="shared" si="6"/>
        <v>0</v>
      </c>
      <c r="AV23" s="250">
        <f t="shared" si="6"/>
        <v>0</v>
      </c>
      <c r="AW23" s="250">
        <f t="shared" si="6"/>
        <v>0</v>
      </c>
      <c r="AX23" s="250">
        <f t="shared" si="6"/>
        <v>0</v>
      </c>
      <c r="AY23" s="250">
        <f t="shared" si="6"/>
        <v>0</v>
      </c>
      <c r="AZ23" s="250">
        <f t="shared" si="6"/>
        <v>0</v>
      </c>
      <c r="BA23" s="250">
        <f t="shared" si="6"/>
        <v>0</v>
      </c>
      <c r="BB23" s="250">
        <f t="shared" si="6"/>
        <v>0</v>
      </c>
      <c r="BC23" s="250">
        <f t="shared" si="6"/>
        <v>0</v>
      </c>
      <c r="BD23" s="250">
        <f t="shared" si="6"/>
        <v>0</v>
      </c>
      <c r="BE23" s="250">
        <f t="shared" si="6"/>
        <v>0</v>
      </c>
      <c r="BF23" s="250">
        <f t="shared" si="6"/>
        <v>0</v>
      </c>
      <c r="BG23" s="250">
        <f t="shared" si="6"/>
        <v>0</v>
      </c>
      <c r="BH23" s="250">
        <f t="shared" si="6"/>
        <v>0</v>
      </c>
      <c r="BI23" s="250">
        <f t="shared" si="6"/>
        <v>0</v>
      </c>
      <c r="BJ23" s="250">
        <f t="shared" si="6"/>
        <v>0</v>
      </c>
      <c r="BK23" s="250">
        <f t="shared" si="6"/>
        <v>0</v>
      </c>
      <c r="BL23" s="250">
        <f t="shared" si="6"/>
        <v>0</v>
      </c>
      <c r="BM23" s="250">
        <f t="shared" si="6"/>
        <v>0</v>
      </c>
      <c r="BN23" s="250">
        <f t="shared" si="6"/>
        <v>0</v>
      </c>
      <c r="BO23" s="250">
        <f t="shared" si="6"/>
        <v>0</v>
      </c>
      <c r="BP23" s="250">
        <f t="shared" si="6"/>
        <v>0</v>
      </c>
      <c r="BQ23" s="250">
        <f t="shared" si="6"/>
        <v>0</v>
      </c>
      <c r="BR23" s="250">
        <f t="shared" si="6"/>
        <v>0</v>
      </c>
      <c r="BS23" s="250">
        <f t="shared" si="6"/>
        <v>0</v>
      </c>
      <c r="BT23" s="250">
        <f t="shared" si="6"/>
        <v>0</v>
      </c>
      <c r="BU23" s="250">
        <f t="shared" si="6"/>
        <v>0</v>
      </c>
      <c r="BV23" s="250">
        <f t="shared" si="6"/>
        <v>0</v>
      </c>
      <c r="BW23" s="250">
        <f t="shared" si="6"/>
        <v>0</v>
      </c>
      <c r="BX23" s="250">
        <f t="shared" si="6"/>
        <v>0</v>
      </c>
      <c r="BY23" s="251">
        <f t="shared" si="6"/>
        <v>-1308489.42</v>
      </c>
      <c r="BZ23" s="771"/>
      <c r="CA23" s="226">
        <f>BY23/1.21</f>
        <v>-1081396.2148760331</v>
      </c>
      <c r="CB23" s="252"/>
      <c r="CC23" s="771"/>
      <c r="CD23" s="226"/>
      <c r="CE23" s="226">
        <f>7000000*1.21</f>
        <v>8470000</v>
      </c>
      <c r="CF23" s="226"/>
      <c r="CG23" s="226">
        <f>BY5</f>
        <v>16365002</v>
      </c>
    </row>
    <row r="24" spans="1:85" ht="16" hidden="1" outlineLevel="1">
      <c r="A24" s="603"/>
      <c r="B24" s="787"/>
      <c r="C24" s="253" t="s">
        <v>276</v>
      </c>
      <c r="D24" s="258" t="s">
        <v>270</v>
      </c>
      <c r="E24" s="259"/>
      <c r="F24" s="259"/>
      <c r="G24" s="259"/>
      <c r="H24" s="260"/>
      <c r="I24" s="260">
        <f>-302500*1.21</f>
        <v>-366025</v>
      </c>
      <c r="J24" s="260"/>
      <c r="K24" s="260"/>
      <c r="L24" s="260">
        <f>-15913.92</f>
        <v>-15913.92</v>
      </c>
      <c r="M24" s="260"/>
      <c r="N24" s="260"/>
      <c r="O24" s="260"/>
      <c r="P24" s="260"/>
      <c r="Q24" s="260">
        <f>-36051</f>
        <v>-36051</v>
      </c>
      <c r="R24" s="260">
        <f>-Businessplan_prodej!$F$21*0.5*1.21</f>
        <v>-393250</v>
      </c>
      <c r="S24" s="260">
        <f>-Businessplan_prodej!$F$21*0.5*1.21</f>
        <v>-393250</v>
      </c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61">
        <f t="shared" ref="BY24:BY25" si="7">SUM(E24:BX24)</f>
        <v>-1204489.92</v>
      </c>
      <c r="BZ24" s="771"/>
      <c r="CA24" s="226"/>
      <c r="CB24" s="252"/>
      <c r="CC24" s="771"/>
      <c r="CD24" s="226"/>
      <c r="CE24" s="226"/>
      <c r="CF24" s="226"/>
      <c r="CG24" s="242">
        <f>0.11</f>
        <v>0.11</v>
      </c>
    </row>
    <row r="25" spans="1:85" ht="16" hidden="1" outlineLevel="1">
      <c r="A25" s="603"/>
      <c r="B25" s="787"/>
      <c r="C25" s="253" t="s">
        <v>277</v>
      </c>
      <c r="D25" s="258" t="s">
        <v>270</v>
      </c>
      <c r="E25" s="259"/>
      <c r="F25" s="259"/>
      <c r="G25" s="259"/>
      <c r="H25" s="260"/>
      <c r="I25" s="260"/>
      <c r="J25" s="260"/>
      <c r="K25" s="260"/>
      <c r="L25" s="260"/>
      <c r="M25" s="260"/>
      <c r="N25" s="260"/>
      <c r="O25" s="260"/>
      <c r="P25" s="260"/>
      <c r="Q25" s="260"/>
      <c r="R25" s="260"/>
      <c r="S25" s="260">
        <f>-Businessplan_prodej!$F$22*1.21</f>
        <v>-103999.5</v>
      </c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1">
        <f t="shared" si="7"/>
        <v>-103999.5</v>
      </c>
      <c r="BZ25" s="771"/>
      <c r="CA25" s="226"/>
      <c r="CB25" s="252"/>
      <c r="CC25" s="771"/>
      <c r="CD25" s="226"/>
      <c r="CE25" s="226"/>
      <c r="CF25" s="226"/>
      <c r="CG25" s="262">
        <v>45590</v>
      </c>
    </row>
    <row r="26" spans="1:85" ht="16" collapsed="1">
      <c r="A26" s="603"/>
      <c r="B26" s="787"/>
      <c r="C26" s="248" t="s">
        <v>278</v>
      </c>
      <c r="D26" s="249"/>
      <c r="E26" s="250">
        <f t="shared" ref="E26:BX26" si="8">SUM(E27:E33)</f>
        <v>0</v>
      </c>
      <c r="F26" s="250">
        <f t="shared" si="8"/>
        <v>0</v>
      </c>
      <c r="G26" s="250">
        <f t="shared" si="8"/>
        <v>0</v>
      </c>
      <c r="H26" s="250">
        <f t="shared" si="8"/>
        <v>-2420</v>
      </c>
      <c r="I26" s="250">
        <f t="shared" si="8"/>
        <v>-1081909</v>
      </c>
      <c r="J26" s="250">
        <f t="shared" si="8"/>
        <v>0</v>
      </c>
      <c r="K26" s="250">
        <f t="shared" si="8"/>
        <v>0</v>
      </c>
      <c r="L26" s="250">
        <f t="shared" si="8"/>
        <v>-4688041</v>
      </c>
      <c r="M26" s="250">
        <f t="shared" si="8"/>
        <v>-10044501.530000001</v>
      </c>
      <c r="N26" s="250">
        <f t="shared" si="8"/>
        <v>-19919080.57</v>
      </c>
      <c r="O26" s="250">
        <f t="shared" si="8"/>
        <v>-9000862.4199999999</v>
      </c>
      <c r="P26" s="250">
        <f t="shared" si="8"/>
        <v>-12065344.113</v>
      </c>
      <c r="Q26" s="250">
        <f t="shared" si="8"/>
        <v>-2929659.3669999987</v>
      </c>
      <c r="R26" s="250">
        <f t="shared" si="8"/>
        <v>-1500000</v>
      </c>
      <c r="S26" s="250">
        <f t="shared" si="8"/>
        <v>0</v>
      </c>
      <c r="T26" s="250">
        <f t="shared" si="8"/>
        <v>-5154448.333333333</v>
      </c>
      <c r="U26" s="250">
        <f t="shared" si="8"/>
        <v>-4285948.333333333</v>
      </c>
      <c r="V26" s="250">
        <f t="shared" si="8"/>
        <v>-4285948.333333333</v>
      </c>
      <c r="W26" s="250">
        <f t="shared" si="8"/>
        <v>-4285948.333333333</v>
      </c>
      <c r="X26" s="250">
        <f t="shared" si="8"/>
        <v>-4285948.333333333</v>
      </c>
      <c r="Y26" s="250">
        <f t="shared" si="8"/>
        <v>-4285948.333333333</v>
      </c>
      <c r="Z26" s="250">
        <f t="shared" si="8"/>
        <v>0</v>
      </c>
      <c r="AA26" s="250">
        <f t="shared" si="8"/>
        <v>0</v>
      </c>
      <c r="AB26" s="250">
        <f t="shared" si="8"/>
        <v>0</v>
      </c>
      <c r="AC26" s="250">
        <f t="shared" si="8"/>
        <v>0</v>
      </c>
      <c r="AD26" s="250">
        <f t="shared" si="8"/>
        <v>0</v>
      </c>
      <c r="AE26" s="250">
        <f t="shared" si="8"/>
        <v>0</v>
      </c>
      <c r="AF26" s="250">
        <f t="shared" si="8"/>
        <v>0</v>
      </c>
      <c r="AG26" s="250">
        <f t="shared" si="8"/>
        <v>0</v>
      </c>
      <c r="AH26" s="250">
        <f t="shared" si="8"/>
        <v>0</v>
      </c>
      <c r="AI26" s="250">
        <f t="shared" si="8"/>
        <v>0</v>
      </c>
      <c r="AJ26" s="250">
        <f t="shared" si="8"/>
        <v>0</v>
      </c>
      <c r="AK26" s="250">
        <f t="shared" si="8"/>
        <v>0</v>
      </c>
      <c r="AL26" s="250">
        <f t="shared" si="8"/>
        <v>0</v>
      </c>
      <c r="AM26" s="250">
        <f t="shared" si="8"/>
        <v>0</v>
      </c>
      <c r="AN26" s="250">
        <f t="shared" si="8"/>
        <v>0</v>
      </c>
      <c r="AO26" s="250">
        <f t="shared" si="8"/>
        <v>0</v>
      </c>
      <c r="AP26" s="250">
        <f t="shared" si="8"/>
        <v>0</v>
      </c>
      <c r="AQ26" s="250">
        <f t="shared" si="8"/>
        <v>0</v>
      </c>
      <c r="AR26" s="250">
        <f t="shared" si="8"/>
        <v>0</v>
      </c>
      <c r="AS26" s="250">
        <f t="shared" si="8"/>
        <v>0</v>
      </c>
      <c r="AT26" s="250">
        <f t="shared" si="8"/>
        <v>0</v>
      </c>
      <c r="AU26" s="250">
        <f t="shared" si="8"/>
        <v>0</v>
      </c>
      <c r="AV26" s="250">
        <f t="shared" si="8"/>
        <v>0</v>
      </c>
      <c r="AW26" s="250">
        <f t="shared" si="8"/>
        <v>0</v>
      </c>
      <c r="AX26" s="250">
        <f t="shared" si="8"/>
        <v>0</v>
      </c>
      <c r="AY26" s="250">
        <f t="shared" si="8"/>
        <v>0</v>
      </c>
      <c r="AZ26" s="250">
        <f t="shared" si="8"/>
        <v>0</v>
      </c>
      <c r="BA26" s="250">
        <f t="shared" si="8"/>
        <v>0</v>
      </c>
      <c r="BB26" s="250">
        <f t="shared" si="8"/>
        <v>0</v>
      </c>
      <c r="BC26" s="250">
        <f t="shared" si="8"/>
        <v>0</v>
      </c>
      <c r="BD26" s="250">
        <f t="shared" si="8"/>
        <v>0</v>
      </c>
      <c r="BE26" s="250">
        <f t="shared" si="8"/>
        <v>0</v>
      </c>
      <c r="BF26" s="250">
        <f t="shared" si="8"/>
        <v>0</v>
      </c>
      <c r="BG26" s="250">
        <f t="shared" si="8"/>
        <v>0</v>
      </c>
      <c r="BH26" s="250">
        <f t="shared" si="8"/>
        <v>0</v>
      </c>
      <c r="BI26" s="250">
        <f t="shared" si="8"/>
        <v>0</v>
      </c>
      <c r="BJ26" s="250">
        <f t="shared" si="8"/>
        <v>0</v>
      </c>
      <c r="BK26" s="250">
        <f t="shared" si="8"/>
        <v>0</v>
      </c>
      <c r="BL26" s="250">
        <f t="shared" si="8"/>
        <v>0</v>
      </c>
      <c r="BM26" s="250">
        <f t="shared" si="8"/>
        <v>0</v>
      </c>
      <c r="BN26" s="250">
        <f t="shared" si="8"/>
        <v>0</v>
      </c>
      <c r="BO26" s="250">
        <f t="shared" si="8"/>
        <v>0</v>
      </c>
      <c r="BP26" s="250">
        <f t="shared" si="8"/>
        <v>0</v>
      </c>
      <c r="BQ26" s="250">
        <f t="shared" si="8"/>
        <v>0</v>
      </c>
      <c r="BR26" s="250">
        <f t="shared" si="8"/>
        <v>0</v>
      </c>
      <c r="BS26" s="250">
        <f t="shared" si="8"/>
        <v>0</v>
      </c>
      <c r="BT26" s="250">
        <f t="shared" si="8"/>
        <v>0</v>
      </c>
      <c r="BU26" s="250">
        <f t="shared" si="8"/>
        <v>0</v>
      </c>
      <c r="BV26" s="250">
        <f t="shared" si="8"/>
        <v>0</v>
      </c>
      <c r="BW26" s="250">
        <f t="shared" si="8"/>
        <v>0</v>
      </c>
      <c r="BX26" s="250">
        <f t="shared" si="8"/>
        <v>0</v>
      </c>
      <c r="BY26" s="252">
        <f>SUM(BY27:BY33)</f>
        <v>-87816008.000000015</v>
      </c>
      <c r="BZ26" s="771"/>
      <c r="CA26" s="226"/>
      <c r="CB26" s="252"/>
      <c r="CC26" s="771"/>
      <c r="CD26" s="226"/>
      <c r="CE26" s="242">
        <f>SUM(R6:V6)/SUM(W9:Z10)</f>
        <v>0.91551803061899195</v>
      </c>
      <c r="CF26" s="226"/>
      <c r="CG26" s="262">
        <v>45991</v>
      </c>
    </row>
    <row r="27" spans="1:85" ht="16" hidden="1" outlineLevel="1">
      <c r="A27" s="603"/>
      <c r="B27" s="787"/>
      <c r="C27" s="253" t="s">
        <v>279</v>
      </c>
      <c r="D27" s="254" t="s">
        <v>270</v>
      </c>
      <c r="E27" s="255"/>
      <c r="F27" s="255"/>
      <c r="G27" s="255"/>
      <c r="H27" s="256"/>
      <c r="I27" s="256"/>
      <c r="J27" s="256"/>
      <c r="K27" s="256"/>
      <c r="L27" s="256">
        <f>-4688041</f>
        <v>-4688041</v>
      </c>
      <c r="M27" s="256">
        <f>-3615000-6429501.53</f>
        <v>-10044501.530000001</v>
      </c>
      <c r="N27" s="256">
        <f>-19909473.57</f>
        <v>-19909473.57</v>
      </c>
      <c r="O27" s="256">
        <f>-8977222.42</f>
        <v>-8977222.4199999999</v>
      </c>
      <c r="P27" s="256">
        <f>-10127350.57*0.9-2929658.6</f>
        <v>-12044274.113</v>
      </c>
      <c r="Q27" s="256">
        <f>-(58593172+SUM($L$27:P27))</f>
        <v>-2929659.3669999987</v>
      </c>
      <c r="R27" s="256">
        <f>-1500000</f>
        <v>-1500000</v>
      </c>
      <c r="S27" s="256"/>
      <c r="T27" s="256">
        <f>-(Businessplan_prodej!$F$31)/6</f>
        <v>-3896316.6666666665</v>
      </c>
      <c r="U27" s="256">
        <f>-(Businessplan_prodej!$F$31)/6</f>
        <v>-3896316.6666666665</v>
      </c>
      <c r="V27" s="256">
        <f>-(Businessplan_prodej!$F$31)/6</f>
        <v>-3896316.6666666665</v>
      </c>
      <c r="W27" s="256">
        <f>-(Businessplan_prodej!$F$31)/6</f>
        <v>-3896316.6666666665</v>
      </c>
      <c r="X27" s="256">
        <f>-(Businessplan_prodej!$F$31)/6</f>
        <v>-3896316.6666666665</v>
      </c>
      <c r="Y27" s="256">
        <f>-(Businessplan_prodej!$F$31)/6</f>
        <v>-3896316.6666666665</v>
      </c>
      <c r="Z27" s="256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64"/>
      <c r="BY27" s="265">
        <f t="shared" ref="BY27:BY33" si="9">SUM(E27:BX27)</f>
        <v>-83471072.000000015</v>
      </c>
      <c r="BZ27" s="771"/>
      <c r="CA27" s="226"/>
      <c r="CB27" s="252"/>
      <c r="CC27" s="771"/>
      <c r="CD27" s="226"/>
      <c r="CE27" s="226"/>
      <c r="CF27" s="226"/>
      <c r="CG27" s="226">
        <f>CG26-CG25</f>
        <v>401</v>
      </c>
    </row>
    <row r="28" spans="1:85" ht="16" hidden="1" outlineLevel="1">
      <c r="A28" s="603"/>
      <c r="B28" s="787"/>
      <c r="C28" s="253" t="s">
        <v>280</v>
      </c>
      <c r="D28" s="254" t="s">
        <v>270</v>
      </c>
      <c r="E28" s="255"/>
      <c r="F28" s="255"/>
      <c r="G28" s="255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66">
        <f t="shared" si="9"/>
        <v>0</v>
      </c>
      <c r="BZ28" s="771"/>
      <c r="CA28" s="226"/>
      <c r="CB28" s="252"/>
      <c r="CC28" s="771"/>
      <c r="CD28" s="226"/>
      <c r="CE28" s="226"/>
      <c r="CF28" s="226"/>
      <c r="CG28" s="226"/>
    </row>
    <row r="29" spans="1:85" ht="16" hidden="1" outlineLevel="1">
      <c r="A29" s="603"/>
      <c r="B29" s="787"/>
      <c r="C29" s="253" t="s">
        <v>281</v>
      </c>
      <c r="D29" s="254" t="s">
        <v>270</v>
      </c>
      <c r="E29" s="255"/>
      <c r="F29" s="255"/>
      <c r="G29" s="255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66">
        <f t="shared" si="9"/>
        <v>0</v>
      </c>
      <c r="BZ29" s="771"/>
      <c r="CA29" s="226"/>
      <c r="CB29" s="252"/>
      <c r="CC29" s="771"/>
      <c r="CD29" s="226"/>
      <c r="CE29" s="226"/>
      <c r="CF29" s="226"/>
      <c r="CG29" s="226"/>
    </row>
    <row r="30" spans="1:85" ht="16" hidden="1" outlineLevel="1">
      <c r="A30" s="603"/>
      <c r="B30" s="787"/>
      <c r="C30" s="253" t="s">
        <v>282</v>
      </c>
      <c r="D30" s="254" t="s">
        <v>270</v>
      </c>
      <c r="E30" s="255"/>
      <c r="F30" s="255"/>
      <c r="G30" s="255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>
        <f>-Businessplan_prodej!$F$37*0.5</f>
        <v>0</v>
      </c>
      <c r="T30" s="256">
        <f>-Businessplan_prodej!$F$37*0.3</f>
        <v>0</v>
      </c>
      <c r="U30" s="256">
        <f>-Businessplan_prodej!$F$37*0.2</f>
        <v>0</v>
      </c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66">
        <f t="shared" si="9"/>
        <v>0</v>
      </c>
      <c r="BZ30" s="771"/>
      <c r="CA30" s="226"/>
      <c r="CB30" s="252"/>
      <c r="CC30" s="771"/>
      <c r="CD30" s="226"/>
      <c r="CE30" s="226"/>
      <c r="CF30" s="226"/>
      <c r="CG30" s="226"/>
    </row>
    <row r="31" spans="1:85" ht="16" hidden="1" outlineLevel="1">
      <c r="A31" s="603"/>
      <c r="B31" s="787"/>
      <c r="C31" s="253" t="s">
        <v>283</v>
      </c>
      <c r="D31" s="254" t="s">
        <v>270</v>
      </c>
      <c r="E31" s="255"/>
      <c r="F31" s="255"/>
      <c r="G31" s="255"/>
      <c r="H31" s="256">
        <f>-2420</f>
        <v>-2420</v>
      </c>
      <c r="I31" s="256"/>
      <c r="J31" s="256"/>
      <c r="K31" s="256"/>
      <c r="L31" s="256"/>
      <c r="M31" s="256"/>
      <c r="N31" s="256">
        <f>-500-9107</f>
        <v>-9607</v>
      </c>
      <c r="O31" s="256">
        <f>-18750-2420-2470</f>
        <v>-23640</v>
      </c>
      <c r="P31" s="256">
        <f>-500-20570</f>
        <v>-21070</v>
      </c>
      <c r="Q31" s="256"/>
      <c r="R31" s="256"/>
      <c r="S31" s="256"/>
      <c r="T31" s="256">
        <f>-Businessplan_prodej!$F$38/6</f>
        <v>0</v>
      </c>
      <c r="U31" s="256">
        <f>-Businessplan_prodej!$F$38/6</f>
        <v>0</v>
      </c>
      <c r="V31" s="256">
        <f>-Businessplan_prodej!$F$38/6</f>
        <v>0</v>
      </c>
      <c r="W31" s="256">
        <f>-Businessplan_prodej!$F$38/6</f>
        <v>0</v>
      </c>
      <c r="X31" s="256">
        <f>-Businessplan_prodej!$F$38/6</f>
        <v>0</v>
      </c>
      <c r="Y31" s="256">
        <f>-Businessplan_prodej!$F$38/6</f>
        <v>0</v>
      </c>
      <c r="Z31" s="256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66">
        <f t="shared" si="9"/>
        <v>-56737</v>
      </c>
      <c r="BZ31" s="771"/>
      <c r="CA31" s="226"/>
      <c r="CB31" s="252"/>
      <c r="CC31" s="771"/>
      <c r="CD31" s="226"/>
      <c r="CE31" s="226"/>
      <c r="CF31" s="226"/>
      <c r="CG31" s="226"/>
    </row>
    <row r="32" spans="1:85" ht="16" hidden="1" outlineLevel="1">
      <c r="A32" s="603"/>
      <c r="B32" s="787"/>
      <c r="C32" s="267" t="s">
        <v>284</v>
      </c>
      <c r="D32" s="254" t="s">
        <v>270</v>
      </c>
      <c r="E32" s="255"/>
      <c r="F32" s="255"/>
      <c r="G32" s="255"/>
      <c r="H32" s="256"/>
      <c r="I32" s="256">
        <f>-1081909</f>
        <v>-1081909</v>
      </c>
      <c r="J32" s="256"/>
      <c r="K32" s="256"/>
      <c r="L32" s="256"/>
      <c r="M32" s="256"/>
      <c r="N32" s="256"/>
      <c r="O32" s="256"/>
      <c r="P32" s="256"/>
      <c r="Q32" s="256"/>
      <c r="R32" s="256"/>
      <c r="S32" s="256"/>
      <c r="T32" s="256">
        <f>-868500</f>
        <v>-868500</v>
      </c>
      <c r="U32" s="256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66">
        <f t="shared" si="9"/>
        <v>-1950409</v>
      </c>
      <c r="BZ32" s="771"/>
      <c r="CA32" s="226"/>
      <c r="CB32" s="252"/>
      <c r="CC32" s="771"/>
      <c r="CD32" s="226"/>
      <c r="CE32" s="226"/>
      <c r="CF32" s="226"/>
      <c r="CG32" s="226"/>
    </row>
    <row r="33" spans="1:83" ht="16" hidden="1" outlineLevel="1">
      <c r="A33" s="603"/>
      <c r="B33" s="787"/>
      <c r="C33" s="253" t="s">
        <v>285</v>
      </c>
      <c r="D33" s="258" t="s">
        <v>270</v>
      </c>
      <c r="E33" s="255"/>
      <c r="F33" s="255"/>
      <c r="G33" s="255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>
        <f>-Businessplan_prodej!$F$41/6</f>
        <v>-389631.66666666669</v>
      </c>
      <c r="U33" s="256">
        <f>-Businessplan_prodej!$F$41/6</f>
        <v>-389631.66666666669</v>
      </c>
      <c r="V33" s="256">
        <f>-Businessplan_prodej!$F$41/6</f>
        <v>-389631.66666666669</v>
      </c>
      <c r="W33" s="256">
        <f>-Businessplan_prodej!$F$41/6</f>
        <v>-389631.66666666669</v>
      </c>
      <c r="X33" s="256">
        <f>-Businessplan_prodej!$F$41/6</f>
        <v>-389631.66666666669</v>
      </c>
      <c r="Y33" s="256">
        <f>-Businessplan_prodej!$F$41/6</f>
        <v>-389631.66666666669</v>
      </c>
      <c r="Z33" s="256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68">
        <f t="shared" si="9"/>
        <v>-2337790</v>
      </c>
      <c r="BZ33" s="771"/>
      <c r="CA33" s="226"/>
      <c r="CB33" s="252"/>
      <c r="CC33" s="771"/>
      <c r="CD33" s="226"/>
      <c r="CE33" s="226"/>
    </row>
    <row r="34" spans="1:83" ht="16" collapsed="1">
      <c r="A34" s="603"/>
      <c r="B34" s="787"/>
      <c r="C34" s="248" t="s">
        <v>286</v>
      </c>
      <c r="D34" s="249"/>
      <c r="E34" s="250">
        <f t="shared" ref="E34:BX34" si="10">SUM(E35:E36)</f>
        <v>0</v>
      </c>
      <c r="F34" s="250">
        <f t="shared" si="10"/>
        <v>0</v>
      </c>
      <c r="G34" s="250">
        <f t="shared" si="10"/>
        <v>0</v>
      </c>
      <c r="H34" s="250">
        <f t="shared" si="10"/>
        <v>0</v>
      </c>
      <c r="I34" s="250">
        <f t="shared" si="10"/>
        <v>0</v>
      </c>
      <c r="J34" s="250">
        <f t="shared" si="10"/>
        <v>0</v>
      </c>
      <c r="K34" s="250">
        <f t="shared" si="10"/>
        <v>0</v>
      </c>
      <c r="L34" s="250">
        <f t="shared" si="10"/>
        <v>0</v>
      </c>
      <c r="M34" s="250">
        <f t="shared" si="10"/>
        <v>0</v>
      </c>
      <c r="N34" s="250">
        <f t="shared" si="10"/>
        <v>0</v>
      </c>
      <c r="O34" s="250">
        <f t="shared" si="10"/>
        <v>0</v>
      </c>
      <c r="P34" s="250">
        <f t="shared" si="10"/>
        <v>0</v>
      </c>
      <c r="Q34" s="250">
        <f t="shared" si="10"/>
        <v>0</v>
      </c>
      <c r="R34" s="250">
        <f t="shared" si="10"/>
        <v>0</v>
      </c>
      <c r="S34" s="250">
        <f t="shared" si="10"/>
        <v>0</v>
      </c>
      <c r="T34" s="250">
        <f t="shared" si="10"/>
        <v>-770350</v>
      </c>
      <c r="U34" s="250">
        <f t="shared" si="10"/>
        <v>-770350</v>
      </c>
      <c r="V34" s="250">
        <f t="shared" si="10"/>
        <v>-770350</v>
      </c>
      <c r="W34" s="250">
        <f t="shared" si="10"/>
        <v>-770350</v>
      </c>
      <c r="X34" s="250">
        <f t="shared" si="10"/>
        <v>-770350</v>
      </c>
      <c r="Y34" s="250">
        <f t="shared" si="10"/>
        <v>-770350</v>
      </c>
      <c r="Z34" s="250">
        <f t="shared" si="10"/>
        <v>0</v>
      </c>
      <c r="AA34" s="250">
        <f t="shared" si="10"/>
        <v>0</v>
      </c>
      <c r="AB34" s="250">
        <f t="shared" si="10"/>
        <v>0</v>
      </c>
      <c r="AC34" s="250">
        <f t="shared" si="10"/>
        <v>0</v>
      </c>
      <c r="AD34" s="250">
        <f t="shared" si="10"/>
        <v>0</v>
      </c>
      <c r="AE34" s="250">
        <f t="shared" si="10"/>
        <v>0</v>
      </c>
      <c r="AF34" s="250">
        <f t="shared" si="10"/>
        <v>0</v>
      </c>
      <c r="AG34" s="250">
        <f t="shared" si="10"/>
        <v>0</v>
      </c>
      <c r="AH34" s="250">
        <f t="shared" si="10"/>
        <v>0</v>
      </c>
      <c r="AI34" s="250">
        <f t="shared" si="10"/>
        <v>0</v>
      </c>
      <c r="AJ34" s="250">
        <f t="shared" si="10"/>
        <v>0</v>
      </c>
      <c r="AK34" s="250">
        <f t="shared" si="10"/>
        <v>0</v>
      </c>
      <c r="AL34" s="250">
        <f t="shared" si="10"/>
        <v>0</v>
      </c>
      <c r="AM34" s="250">
        <f t="shared" si="10"/>
        <v>0</v>
      </c>
      <c r="AN34" s="250">
        <f t="shared" si="10"/>
        <v>0</v>
      </c>
      <c r="AO34" s="250">
        <f t="shared" si="10"/>
        <v>0</v>
      </c>
      <c r="AP34" s="250">
        <f t="shared" si="10"/>
        <v>0</v>
      </c>
      <c r="AQ34" s="250">
        <f t="shared" si="10"/>
        <v>0</v>
      </c>
      <c r="AR34" s="250">
        <f t="shared" si="10"/>
        <v>0</v>
      </c>
      <c r="AS34" s="250">
        <f t="shared" si="10"/>
        <v>0</v>
      </c>
      <c r="AT34" s="250">
        <f t="shared" si="10"/>
        <v>0</v>
      </c>
      <c r="AU34" s="250">
        <f t="shared" si="10"/>
        <v>0</v>
      </c>
      <c r="AV34" s="250">
        <f t="shared" si="10"/>
        <v>0</v>
      </c>
      <c r="AW34" s="250">
        <f t="shared" si="10"/>
        <v>0</v>
      </c>
      <c r="AX34" s="250">
        <f t="shared" si="10"/>
        <v>0</v>
      </c>
      <c r="AY34" s="250">
        <f t="shared" si="10"/>
        <v>0</v>
      </c>
      <c r="AZ34" s="250">
        <f t="shared" si="10"/>
        <v>0</v>
      </c>
      <c r="BA34" s="250">
        <f t="shared" si="10"/>
        <v>0</v>
      </c>
      <c r="BB34" s="250">
        <f t="shared" si="10"/>
        <v>0</v>
      </c>
      <c r="BC34" s="250">
        <f t="shared" si="10"/>
        <v>0</v>
      </c>
      <c r="BD34" s="250">
        <f t="shared" si="10"/>
        <v>0</v>
      </c>
      <c r="BE34" s="250">
        <f t="shared" si="10"/>
        <v>0</v>
      </c>
      <c r="BF34" s="250">
        <f t="shared" si="10"/>
        <v>0</v>
      </c>
      <c r="BG34" s="250">
        <f t="shared" si="10"/>
        <v>0</v>
      </c>
      <c r="BH34" s="250">
        <f t="shared" si="10"/>
        <v>0</v>
      </c>
      <c r="BI34" s="250">
        <f t="shared" si="10"/>
        <v>0</v>
      </c>
      <c r="BJ34" s="250">
        <f t="shared" si="10"/>
        <v>0</v>
      </c>
      <c r="BK34" s="250">
        <f t="shared" si="10"/>
        <v>0</v>
      </c>
      <c r="BL34" s="250">
        <f t="shared" si="10"/>
        <v>0</v>
      </c>
      <c r="BM34" s="250">
        <f t="shared" si="10"/>
        <v>0</v>
      </c>
      <c r="BN34" s="250">
        <f t="shared" si="10"/>
        <v>0</v>
      </c>
      <c r="BO34" s="250">
        <f t="shared" si="10"/>
        <v>0</v>
      </c>
      <c r="BP34" s="250">
        <f t="shared" si="10"/>
        <v>0</v>
      </c>
      <c r="BQ34" s="250">
        <f t="shared" si="10"/>
        <v>0</v>
      </c>
      <c r="BR34" s="250">
        <f t="shared" si="10"/>
        <v>0</v>
      </c>
      <c r="BS34" s="250">
        <f t="shared" si="10"/>
        <v>0</v>
      </c>
      <c r="BT34" s="250">
        <f t="shared" si="10"/>
        <v>0</v>
      </c>
      <c r="BU34" s="250">
        <f t="shared" si="10"/>
        <v>0</v>
      </c>
      <c r="BV34" s="250">
        <f t="shared" si="10"/>
        <v>0</v>
      </c>
      <c r="BW34" s="250">
        <f t="shared" si="10"/>
        <v>0</v>
      </c>
      <c r="BX34" s="250">
        <f t="shared" si="10"/>
        <v>0</v>
      </c>
      <c r="BY34" s="252">
        <f>SUM(BY35:BY36)</f>
        <v>-4622100</v>
      </c>
      <c r="BZ34" s="771"/>
      <c r="CA34" s="226"/>
      <c r="CB34" s="252"/>
      <c r="CC34" s="771"/>
      <c r="CD34" s="226"/>
      <c r="CE34" s="226">
        <f>SUM(W9:Z10,R6:V6)</f>
        <v>35777950</v>
      </c>
    </row>
    <row r="35" spans="1:83" ht="16" hidden="1" outlineLevel="1">
      <c r="A35" s="603"/>
      <c r="B35" s="787"/>
      <c r="C35" s="253" t="s">
        <v>287</v>
      </c>
      <c r="D35" s="254" t="s">
        <v>270</v>
      </c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>
        <f>-Businessplan_prodej!$C$51/6</f>
        <v>-770350</v>
      </c>
      <c r="U35" s="255">
        <f>-Businessplan_prodej!$C$51/6</f>
        <v>-770350</v>
      </c>
      <c r="V35" s="255">
        <f>-Businessplan_prodej!$C$51/6</f>
        <v>-770350</v>
      </c>
      <c r="W35" s="255">
        <f>-Businessplan_prodej!$C$51/6</f>
        <v>-770350</v>
      </c>
      <c r="X35" s="255">
        <f>-Businessplan_prodej!$C$51/6</f>
        <v>-770350</v>
      </c>
      <c r="Y35" s="255">
        <f>-Businessplan_prodej!$C$51/6</f>
        <v>-770350</v>
      </c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64"/>
      <c r="BY35" s="265">
        <f t="shared" ref="BY35:BY36" si="11">SUM(E35:BX35)</f>
        <v>-4622100</v>
      </c>
      <c r="BZ35" s="771"/>
      <c r="CA35" s="226"/>
      <c r="CB35" s="252"/>
      <c r="CC35" s="771"/>
      <c r="CD35" s="226"/>
      <c r="CE35" s="226"/>
    </row>
    <row r="36" spans="1:83" ht="16" hidden="1" outlineLevel="1">
      <c r="A36" s="603"/>
      <c r="B36" s="787"/>
      <c r="C36" s="253" t="s">
        <v>288</v>
      </c>
      <c r="D36" s="258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70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68">
        <f t="shared" si="11"/>
        <v>0</v>
      </c>
      <c r="BZ36" s="771"/>
      <c r="CA36" s="226"/>
      <c r="CB36" s="252"/>
      <c r="CC36" s="771"/>
      <c r="CD36" s="226"/>
      <c r="CE36" s="226"/>
    </row>
    <row r="37" spans="1:83" ht="16" collapsed="1">
      <c r="A37" s="603"/>
      <c r="B37" s="787"/>
      <c r="C37" s="248" t="s">
        <v>289</v>
      </c>
      <c r="D37" s="249"/>
      <c r="E37" s="250">
        <f t="shared" ref="E37:G37" si="12">SUM(E38:E48)</f>
        <v>0</v>
      </c>
      <c r="F37" s="250">
        <f t="shared" si="12"/>
        <v>0</v>
      </c>
      <c r="G37" s="250">
        <f t="shared" si="12"/>
        <v>0</v>
      </c>
      <c r="H37" s="250">
        <f t="shared" ref="H37:BM37" si="13">SUM(H38:H41,H42,H45,H46:H48)</f>
        <v>-113225.2</v>
      </c>
      <c r="I37" s="250">
        <f t="shared" si="13"/>
        <v>-414970</v>
      </c>
      <c r="J37" s="250">
        <f t="shared" si="13"/>
        <v>-1007845.81</v>
      </c>
      <c r="K37" s="250">
        <f t="shared" si="13"/>
        <v>-901583.60700000008</v>
      </c>
      <c r="L37" s="250">
        <f t="shared" si="13"/>
        <v>-332396.81</v>
      </c>
      <c r="M37" s="250">
        <f t="shared" si="13"/>
        <v>-666968.62</v>
      </c>
      <c r="N37" s="250">
        <f t="shared" si="13"/>
        <v>-25339</v>
      </c>
      <c r="O37" s="250">
        <f t="shared" si="13"/>
        <v>-744252.62</v>
      </c>
      <c r="P37" s="250">
        <f t="shared" si="13"/>
        <v>-417381.81</v>
      </c>
      <c r="Q37" s="250">
        <f t="shared" si="13"/>
        <v>-306298.36900000001</v>
      </c>
      <c r="R37" s="250">
        <f t="shared" si="13"/>
        <v>-749589.32593749999</v>
      </c>
      <c r="S37" s="250">
        <f t="shared" si="13"/>
        <v>-788782.59134999989</v>
      </c>
      <c r="T37" s="250">
        <f t="shared" si="13"/>
        <v>-336561.63093749998</v>
      </c>
      <c r="U37" s="250">
        <f t="shared" si="13"/>
        <v>-307114.7059375</v>
      </c>
      <c r="V37" s="250">
        <f t="shared" si="13"/>
        <v>-307114.7059375</v>
      </c>
      <c r="W37" s="250">
        <f t="shared" si="13"/>
        <v>-307114.7059375</v>
      </c>
      <c r="X37" s="250">
        <f t="shared" si="13"/>
        <v>-307114.7059375</v>
      </c>
      <c r="Y37" s="250">
        <f t="shared" si="13"/>
        <v>-307114.7059375</v>
      </c>
      <c r="Z37" s="250">
        <f t="shared" si="13"/>
        <v>-621152.2704124999</v>
      </c>
      <c r="AA37" s="250">
        <f t="shared" si="13"/>
        <v>-14235</v>
      </c>
      <c r="AB37" s="250">
        <f t="shared" si="13"/>
        <v>0</v>
      </c>
      <c r="AC37" s="250">
        <f t="shared" si="13"/>
        <v>0</v>
      </c>
      <c r="AD37" s="250">
        <f t="shared" si="13"/>
        <v>0</v>
      </c>
      <c r="AE37" s="250">
        <f t="shared" si="13"/>
        <v>0</v>
      </c>
      <c r="AF37" s="250">
        <f t="shared" si="13"/>
        <v>0</v>
      </c>
      <c r="AG37" s="250">
        <f t="shared" si="13"/>
        <v>0</v>
      </c>
      <c r="AH37" s="250">
        <f t="shared" si="13"/>
        <v>0</v>
      </c>
      <c r="AI37" s="250">
        <f t="shared" si="13"/>
        <v>0</v>
      </c>
      <c r="AJ37" s="250">
        <f t="shared" si="13"/>
        <v>0</v>
      </c>
      <c r="AK37" s="250">
        <f t="shared" si="13"/>
        <v>0</v>
      </c>
      <c r="AL37" s="250">
        <f t="shared" si="13"/>
        <v>0</v>
      </c>
      <c r="AM37" s="250">
        <f t="shared" si="13"/>
        <v>0</v>
      </c>
      <c r="AN37" s="250">
        <f t="shared" si="13"/>
        <v>0</v>
      </c>
      <c r="AO37" s="250">
        <f t="shared" si="13"/>
        <v>0</v>
      </c>
      <c r="AP37" s="250">
        <f t="shared" si="13"/>
        <v>0</v>
      </c>
      <c r="AQ37" s="250">
        <f t="shared" si="13"/>
        <v>0</v>
      </c>
      <c r="AR37" s="250">
        <f t="shared" si="13"/>
        <v>0</v>
      </c>
      <c r="AS37" s="250">
        <f t="shared" si="13"/>
        <v>0</v>
      </c>
      <c r="AT37" s="250">
        <f t="shared" si="13"/>
        <v>0</v>
      </c>
      <c r="AU37" s="250">
        <f t="shared" si="13"/>
        <v>0</v>
      </c>
      <c r="AV37" s="250">
        <f t="shared" si="13"/>
        <v>0</v>
      </c>
      <c r="AW37" s="250">
        <f t="shared" si="13"/>
        <v>0</v>
      </c>
      <c r="AX37" s="250">
        <f t="shared" si="13"/>
        <v>0</v>
      </c>
      <c r="AY37" s="250">
        <f t="shared" si="13"/>
        <v>0</v>
      </c>
      <c r="AZ37" s="250">
        <f t="shared" si="13"/>
        <v>0</v>
      </c>
      <c r="BA37" s="250">
        <f t="shared" si="13"/>
        <v>0</v>
      </c>
      <c r="BB37" s="250">
        <f t="shared" si="13"/>
        <v>0</v>
      </c>
      <c r="BC37" s="250">
        <f t="shared" si="13"/>
        <v>0</v>
      </c>
      <c r="BD37" s="250">
        <f t="shared" si="13"/>
        <v>0</v>
      </c>
      <c r="BE37" s="250">
        <f t="shared" si="13"/>
        <v>0</v>
      </c>
      <c r="BF37" s="250">
        <f t="shared" si="13"/>
        <v>0</v>
      </c>
      <c r="BG37" s="250">
        <f t="shared" si="13"/>
        <v>0</v>
      </c>
      <c r="BH37" s="250">
        <f t="shared" si="13"/>
        <v>0</v>
      </c>
      <c r="BI37" s="250">
        <f t="shared" si="13"/>
        <v>0</v>
      </c>
      <c r="BJ37" s="250">
        <f t="shared" si="13"/>
        <v>0</v>
      </c>
      <c r="BK37" s="250">
        <f t="shared" si="13"/>
        <v>0</v>
      </c>
      <c r="BL37" s="250">
        <f t="shared" si="13"/>
        <v>0</v>
      </c>
      <c r="BM37" s="250">
        <f t="shared" si="13"/>
        <v>0</v>
      </c>
      <c r="BN37" s="250">
        <f t="shared" ref="BN37:BX37" si="14">SUM(BN38:BN48)</f>
        <v>0</v>
      </c>
      <c r="BO37" s="250">
        <f t="shared" si="14"/>
        <v>0</v>
      </c>
      <c r="BP37" s="250">
        <f t="shared" si="14"/>
        <v>0</v>
      </c>
      <c r="BQ37" s="250">
        <f t="shared" si="14"/>
        <v>0</v>
      </c>
      <c r="BR37" s="250">
        <f t="shared" si="14"/>
        <v>0</v>
      </c>
      <c r="BS37" s="250">
        <f t="shared" si="14"/>
        <v>0</v>
      </c>
      <c r="BT37" s="250">
        <f t="shared" si="14"/>
        <v>0</v>
      </c>
      <c r="BU37" s="250">
        <f t="shared" si="14"/>
        <v>0</v>
      </c>
      <c r="BV37" s="250">
        <f t="shared" si="14"/>
        <v>0</v>
      </c>
      <c r="BW37" s="250">
        <f t="shared" si="14"/>
        <v>0</v>
      </c>
      <c r="BX37" s="250">
        <f t="shared" si="14"/>
        <v>0</v>
      </c>
      <c r="BY37" s="252">
        <f>SUM(BY38:BY48)</f>
        <v>-9440675.1943250019</v>
      </c>
      <c r="BZ37" s="771"/>
      <c r="CA37" s="226"/>
      <c r="CB37" s="252"/>
      <c r="CC37" s="771"/>
      <c r="CD37" s="226"/>
      <c r="CE37" s="242">
        <f>SUM(W8:Z10)/CE34</f>
        <v>0.52205199012240777</v>
      </c>
    </row>
    <row r="38" spans="1:83" ht="16" hidden="1" outlineLevel="1">
      <c r="A38" s="603"/>
      <c r="B38" s="787"/>
      <c r="C38" s="267" t="s">
        <v>216</v>
      </c>
      <c r="D38" s="254" t="s">
        <v>270</v>
      </c>
      <c r="E38" s="259"/>
      <c r="F38" s="259"/>
      <c r="G38" s="259"/>
      <c r="H38" s="260"/>
      <c r="I38" s="260">
        <f>-400000</f>
        <v>-400000</v>
      </c>
      <c r="J38" s="260">
        <f>-661353-(23520+28160+192281+20000)*1.21</f>
        <v>-980745.81</v>
      </c>
      <c r="K38" s="260"/>
      <c r="L38" s="260">
        <f>-(23520+28160+192281+20000)*1.21</f>
        <v>-319392.81</v>
      </c>
      <c r="M38" s="260">
        <f>-(23520+28160+192281+20000)*1.21-(23520+28160+192281+20000)*1.21</f>
        <v>-638785.62</v>
      </c>
      <c r="N38" s="260"/>
      <c r="O38" s="260">
        <f>-(23520+28160+192281+20000)*1.21*2</f>
        <v>-638785.62</v>
      </c>
      <c r="P38" s="260">
        <f>-(23520+28160+192281+20000)*1.21</f>
        <v>-319392.81</v>
      </c>
      <c r="Q38" s="260"/>
      <c r="R38" s="260">
        <f>-Businessplan_prodej!$F$78/8*1.21-(23520+28160+192281+20000)*1.21</f>
        <v>-433918.51593749999</v>
      </c>
      <c r="S38" s="260">
        <f>-Businessplan_prodej!$F$78/8*1.21</f>
        <v>-114525.7059375</v>
      </c>
      <c r="T38" s="260">
        <f>-Businessplan_prodej!$F$78/8*1.21</f>
        <v>-114525.7059375</v>
      </c>
      <c r="U38" s="260">
        <f>-Businessplan_prodej!$F$78/8*1.21</f>
        <v>-114525.7059375</v>
      </c>
      <c r="V38" s="260">
        <f>-Businessplan_prodej!$F$78/8*1.21</f>
        <v>-114525.7059375</v>
      </c>
      <c r="W38" s="260">
        <f>-Businessplan_prodej!$F$78/8*1.21</f>
        <v>-114525.7059375</v>
      </c>
      <c r="X38" s="260">
        <f>-Businessplan_prodej!$F$78/8*1.21</f>
        <v>-114525.7059375</v>
      </c>
      <c r="Y38" s="260">
        <f>-Businessplan_prodej!$F$78/8*1.21</f>
        <v>-114525.7059375</v>
      </c>
      <c r="Z38" s="260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71"/>
      <c r="BY38" s="265">
        <f t="shared" ref="BY38:BY48" si="15">SUM(E38:BX38)</f>
        <v>-4532701.1275000013</v>
      </c>
      <c r="BZ38" s="771"/>
      <c r="CA38" s="226">
        <f>BY39/1.21</f>
        <v>-1019800</v>
      </c>
      <c r="CB38" s="252"/>
      <c r="CC38" s="771"/>
      <c r="CD38" s="226"/>
      <c r="CE38" s="226"/>
    </row>
    <row r="39" spans="1:83" ht="16" hidden="1" outlineLevel="1">
      <c r="A39" s="603"/>
      <c r="B39" s="787"/>
      <c r="C39" s="267" t="s">
        <v>217</v>
      </c>
      <c r="D39" s="254" t="s">
        <v>270</v>
      </c>
      <c r="E39" s="259"/>
      <c r="F39" s="259"/>
      <c r="G39" s="259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>
        <f>-100000*1.21</f>
        <v>-121000</v>
      </c>
      <c r="S39" s="260">
        <f>-Businessplan_prodej!$F$82/7*1.21</f>
        <v>-158994</v>
      </c>
      <c r="T39" s="260">
        <f>-Businessplan_prodej!$F$82/7*1.21</f>
        <v>-158994</v>
      </c>
      <c r="U39" s="260">
        <f>-Businessplan_prodej!$F$82/7*1.21</f>
        <v>-158994</v>
      </c>
      <c r="V39" s="260">
        <f>-Businessplan_prodej!$F$82/7*1.21</f>
        <v>-158994</v>
      </c>
      <c r="W39" s="260">
        <f>-Businessplan_prodej!$F$82/7*1.21</f>
        <v>-158994</v>
      </c>
      <c r="X39" s="260">
        <f>-Businessplan_prodej!$F$82/7*1.21</f>
        <v>-158994</v>
      </c>
      <c r="Y39" s="260">
        <f>-Businessplan_prodej!$F$82/7*1.21</f>
        <v>-158994</v>
      </c>
      <c r="Z39" s="260"/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66">
        <f t="shared" si="15"/>
        <v>-1233958</v>
      </c>
      <c r="BZ39" s="771"/>
      <c r="CA39" s="226"/>
      <c r="CB39" s="252"/>
      <c r="CC39" s="771"/>
      <c r="CD39" s="226"/>
      <c r="CE39" s="226"/>
    </row>
    <row r="40" spans="1:83" ht="16" hidden="1" outlineLevel="1">
      <c r="A40" s="603"/>
      <c r="B40" s="787"/>
      <c r="C40" s="267" t="s">
        <v>218</v>
      </c>
      <c r="D40" s="254" t="s">
        <v>270</v>
      </c>
      <c r="E40" s="259"/>
      <c r="F40" s="259"/>
      <c r="G40" s="259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72"/>
      <c r="T40" s="260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66">
        <f t="shared" si="15"/>
        <v>0</v>
      </c>
      <c r="BZ40" s="771"/>
      <c r="CA40" s="226"/>
      <c r="CB40" s="252"/>
      <c r="CC40" s="771"/>
      <c r="CD40" s="226"/>
      <c r="CE40" s="242"/>
    </row>
    <row r="41" spans="1:83" ht="16" hidden="1" outlineLevel="1">
      <c r="A41" s="603"/>
      <c r="B41" s="787"/>
      <c r="C41" s="267" t="s">
        <v>222</v>
      </c>
      <c r="D41" s="254" t="s">
        <v>270</v>
      </c>
      <c r="E41" s="259"/>
      <c r="F41" s="259"/>
      <c r="G41" s="259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72"/>
      <c r="S41" s="272">
        <f>-Businessplan_prodej!$F$87/9*1.21</f>
        <v>0</v>
      </c>
      <c r="T41" s="272">
        <f>-Businessplan_prodej!$F$87/9*1.21</f>
        <v>0</v>
      </c>
      <c r="U41" s="272">
        <f>-Businessplan_prodej!$F$87/9*1.21</f>
        <v>0</v>
      </c>
      <c r="V41" s="272">
        <f>-Businessplan_prodej!$F$87/9*1.21</f>
        <v>0</v>
      </c>
      <c r="W41" s="272">
        <f>-Businessplan_prodej!$F$87/9*1.21</f>
        <v>0</v>
      </c>
      <c r="X41" s="272">
        <f>-Businessplan_prodej!$F$87/9*1.21</f>
        <v>0</v>
      </c>
      <c r="Y41" s="272">
        <f>-Businessplan_prodej!$F$87/9*1.21</f>
        <v>0</v>
      </c>
      <c r="Z41" s="272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66">
        <f t="shared" si="15"/>
        <v>0</v>
      </c>
      <c r="BZ41" s="771"/>
      <c r="CA41" s="226">
        <f>BY41/1.21</f>
        <v>0</v>
      </c>
      <c r="CB41" s="252"/>
      <c r="CC41" s="771"/>
      <c r="CD41" s="226"/>
      <c r="CE41" s="226"/>
    </row>
    <row r="42" spans="1:83" ht="16" hidden="1" outlineLevel="1">
      <c r="A42" s="603"/>
      <c r="B42" s="787"/>
      <c r="C42" s="253" t="s">
        <v>223</v>
      </c>
      <c r="D42" s="273" t="s">
        <v>270</v>
      </c>
      <c r="E42" s="274"/>
      <c r="F42" s="275"/>
      <c r="G42" s="275"/>
      <c r="H42" s="275">
        <f t="shared" ref="H42:AA42" si="16">SUM(H43:H44)</f>
        <v>-36364</v>
      </c>
      <c r="I42" s="275">
        <f t="shared" si="16"/>
        <v>-8194</v>
      </c>
      <c r="J42" s="275">
        <f t="shared" si="16"/>
        <v>-27000</v>
      </c>
      <c r="K42" s="275">
        <f t="shared" si="16"/>
        <v>-7113</v>
      </c>
      <c r="L42" s="275">
        <f t="shared" si="16"/>
        <v>-5262</v>
      </c>
      <c r="M42" s="275">
        <f t="shared" si="16"/>
        <v>-3613</v>
      </c>
      <c r="N42" s="275">
        <f t="shared" si="16"/>
        <v>-3999</v>
      </c>
      <c r="O42" s="275">
        <f t="shared" si="16"/>
        <v>-6441</v>
      </c>
      <c r="P42" s="275">
        <f t="shared" si="16"/>
        <v>-8402</v>
      </c>
      <c r="Q42" s="275">
        <f t="shared" si="16"/>
        <v>-8131</v>
      </c>
      <c r="R42" s="275">
        <f t="shared" si="16"/>
        <v>-160000</v>
      </c>
      <c r="S42" s="275">
        <f t="shared" si="16"/>
        <v>-10000</v>
      </c>
      <c r="T42" s="275">
        <f t="shared" si="16"/>
        <v>-10000</v>
      </c>
      <c r="U42" s="275">
        <f t="shared" si="16"/>
        <v>-10000</v>
      </c>
      <c r="V42" s="275">
        <f t="shared" si="16"/>
        <v>-10000</v>
      </c>
      <c r="W42" s="275">
        <f t="shared" si="16"/>
        <v>-10000</v>
      </c>
      <c r="X42" s="275">
        <f t="shared" si="16"/>
        <v>-10000</v>
      </c>
      <c r="Y42" s="275">
        <f t="shared" si="16"/>
        <v>-10000</v>
      </c>
      <c r="Z42" s="275">
        <f t="shared" si="16"/>
        <v>-110000</v>
      </c>
      <c r="AA42" s="275">
        <f t="shared" si="16"/>
        <v>-10000</v>
      </c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6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64"/>
      <c r="BY42" s="266">
        <f t="shared" si="15"/>
        <v>-464519</v>
      </c>
      <c r="BZ42" s="771"/>
      <c r="CA42" s="226"/>
      <c r="CB42" s="252"/>
      <c r="CC42" s="771"/>
      <c r="CD42" s="226"/>
      <c r="CE42" s="226"/>
    </row>
    <row r="43" spans="1:83" ht="16" hidden="1" outlineLevel="2">
      <c r="A43" s="603"/>
      <c r="B43" s="787"/>
      <c r="C43" s="277" t="s">
        <v>290</v>
      </c>
      <c r="D43" s="254" t="s">
        <v>270</v>
      </c>
      <c r="E43" s="255"/>
      <c r="F43" s="255"/>
      <c r="G43" s="255"/>
      <c r="H43" s="278">
        <f>-11364</f>
        <v>-11364</v>
      </c>
      <c r="I43" s="278">
        <f>-8194</f>
        <v>-8194</v>
      </c>
      <c r="J43" s="278"/>
      <c r="K43" s="278">
        <f>-3219-3894</f>
        <v>-7113</v>
      </c>
      <c r="L43" s="278">
        <f>-5262</f>
        <v>-5262</v>
      </c>
      <c r="M43" s="278">
        <f>-3613</f>
        <v>-3613</v>
      </c>
      <c r="N43" s="278">
        <f>-3999</f>
        <v>-3999</v>
      </c>
      <c r="O43" s="278">
        <f>-6441</f>
        <v>-6441</v>
      </c>
      <c r="P43" s="278">
        <f>-8402</f>
        <v>-8402</v>
      </c>
      <c r="Q43" s="278">
        <f>-8131</f>
        <v>-8131</v>
      </c>
      <c r="R43" s="278">
        <f>-(Businessplan_prodej!$F$88-3000*25)/11</f>
        <v>-10000</v>
      </c>
      <c r="S43" s="278">
        <f>-(Businessplan_prodej!$F$88-3000*25)/11</f>
        <v>-10000</v>
      </c>
      <c r="T43" s="278">
        <f>-(Businessplan_prodej!$F$88-3000*25)/11</f>
        <v>-10000</v>
      </c>
      <c r="U43" s="278">
        <f>-(Businessplan_prodej!$F$88-3000*25)/11</f>
        <v>-10000</v>
      </c>
      <c r="V43" s="278">
        <f>-(Businessplan_prodej!$F$88-3000*25)/11</f>
        <v>-10000</v>
      </c>
      <c r="W43" s="278">
        <f>-(Businessplan_prodej!$F$88-3000*25)/11</f>
        <v>-10000</v>
      </c>
      <c r="X43" s="278">
        <f>-(Businessplan_prodej!$F$88-3000*25)/11</f>
        <v>-10000</v>
      </c>
      <c r="Y43" s="278">
        <f>-(Businessplan_prodej!$F$88-3000*25)/11</f>
        <v>-10000</v>
      </c>
      <c r="Z43" s="278">
        <f>-(Businessplan_prodej!$F$88-3000*25)/11</f>
        <v>-10000</v>
      </c>
      <c r="AA43" s="278">
        <f>-(Businessplan_prodej!$F$88-3000*25)/11</f>
        <v>-10000</v>
      </c>
      <c r="AB43" s="278"/>
      <c r="AC43" s="278"/>
      <c r="AD43" s="278"/>
      <c r="AE43" s="278"/>
      <c r="AF43" s="278"/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66">
        <f t="shared" si="15"/>
        <v>-162519</v>
      </c>
      <c r="BZ43" s="771"/>
      <c r="CA43" s="226"/>
      <c r="CB43" s="252"/>
      <c r="CC43" s="771"/>
      <c r="CD43" s="226"/>
      <c r="CE43" s="226"/>
    </row>
    <row r="44" spans="1:83" ht="16" hidden="1" outlineLevel="2">
      <c r="A44" s="603"/>
      <c r="B44" s="787"/>
      <c r="C44" s="277" t="s">
        <v>291</v>
      </c>
      <c r="D44" s="254" t="s">
        <v>270</v>
      </c>
      <c r="E44" s="255"/>
      <c r="F44" s="255"/>
      <c r="G44" s="255"/>
      <c r="H44" s="278">
        <f>-25000</f>
        <v>-25000</v>
      </c>
      <c r="I44" s="278"/>
      <c r="J44" s="278">
        <f>-27000</f>
        <v>-27000</v>
      </c>
      <c r="K44" s="278"/>
      <c r="L44" s="278"/>
      <c r="M44" s="278"/>
      <c r="N44" s="278"/>
      <c r="O44" s="278"/>
      <c r="P44" s="278"/>
      <c r="Q44" s="278"/>
      <c r="R44" s="278">
        <f>-3000*25*2</f>
        <v>-150000</v>
      </c>
      <c r="S44" s="278"/>
      <c r="T44" s="278"/>
      <c r="U44" s="278"/>
      <c r="V44" s="278"/>
      <c r="W44" s="278"/>
      <c r="X44" s="278"/>
      <c r="Y44" s="278"/>
      <c r="Z44" s="278">
        <f>-50000*2</f>
        <v>-100000</v>
      </c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278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66">
        <f t="shared" si="15"/>
        <v>-302000</v>
      </c>
      <c r="BZ44" s="771"/>
      <c r="CA44" s="226"/>
      <c r="CB44" s="252"/>
      <c r="CC44" s="771"/>
      <c r="CD44" s="226"/>
      <c r="CE44" s="226"/>
    </row>
    <row r="45" spans="1:83" ht="16" hidden="1" outlineLevel="1">
      <c r="A45" s="603"/>
      <c r="B45" s="787"/>
      <c r="C45" s="253" t="s">
        <v>224</v>
      </c>
      <c r="D45" s="254" t="s">
        <v>270</v>
      </c>
      <c r="E45" s="255"/>
      <c r="F45" s="255"/>
      <c r="G45" s="255"/>
      <c r="H45" s="256">
        <f>-1000</f>
        <v>-1000</v>
      </c>
      <c r="I45" s="256"/>
      <c r="J45" s="256">
        <f>-100</f>
        <v>-100</v>
      </c>
      <c r="K45" s="256">
        <f>-7230</f>
        <v>-7230</v>
      </c>
      <c r="L45" s="256">
        <f>-1000-6742</f>
        <v>-7742</v>
      </c>
      <c r="M45" s="256">
        <f>-2000-20570-2000</f>
        <v>-24570</v>
      </c>
      <c r="N45" s="256">
        <f>-19360-1980</f>
        <v>-21340</v>
      </c>
      <c r="O45" s="256">
        <f>-7865-7000-19360-21780-43021</f>
        <v>-99026</v>
      </c>
      <c r="P45" s="256">
        <f>-7230-33957-13068-5082</f>
        <v>-59337</v>
      </c>
      <c r="Q45" s="256">
        <f>-4054</f>
        <v>-4054</v>
      </c>
      <c r="R45" s="256">
        <f>-3500*1.21</f>
        <v>-4235</v>
      </c>
      <c r="S45" s="256">
        <f t="shared" ref="S45:Z45" si="17">-3500*1.21-19360</f>
        <v>-23595</v>
      </c>
      <c r="T45" s="256">
        <f t="shared" si="17"/>
        <v>-23595</v>
      </c>
      <c r="U45" s="256">
        <f t="shared" si="17"/>
        <v>-23595</v>
      </c>
      <c r="V45" s="256">
        <f t="shared" si="17"/>
        <v>-23595</v>
      </c>
      <c r="W45" s="256">
        <f t="shared" si="17"/>
        <v>-23595</v>
      </c>
      <c r="X45" s="256">
        <f t="shared" si="17"/>
        <v>-23595</v>
      </c>
      <c r="Y45" s="256">
        <f t="shared" si="17"/>
        <v>-23595</v>
      </c>
      <c r="Z45" s="256">
        <f t="shared" si="17"/>
        <v>-23595</v>
      </c>
      <c r="AA45" s="256">
        <f>-3500*1.21</f>
        <v>-4235</v>
      </c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66">
        <f t="shared" si="15"/>
        <v>-421629</v>
      </c>
      <c r="BZ45" s="771"/>
      <c r="CA45" s="226"/>
      <c r="CB45" s="252"/>
      <c r="CC45" s="771"/>
      <c r="CD45" s="226"/>
      <c r="CE45" s="226"/>
    </row>
    <row r="46" spans="1:83" ht="14.25" hidden="1" customHeight="1" outlineLevel="1">
      <c r="A46" s="603"/>
      <c r="B46" s="787"/>
      <c r="C46" s="253" t="s">
        <v>225</v>
      </c>
      <c r="D46" s="254" t="s">
        <v>270</v>
      </c>
      <c r="E46" s="255"/>
      <c r="F46" s="255"/>
      <c r="G46" s="255"/>
      <c r="H46" s="256">
        <f>-10188.2-65673</f>
        <v>-75861.2</v>
      </c>
      <c r="I46" s="256">
        <f>-6776</f>
        <v>-6776</v>
      </c>
      <c r="J46" s="256"/>
      <c r="K46" s="256">
        <f>-4900.5</f>
        <v>-4900.5</v>
      </c>
      <c r="L46" s="256"/>
      <c r="M46" s="256"/>
      <c r="N46" s="256"/>
      <c r="O46" s="256"/>
      <c r="P46" s="256">
        <f>-30250</f>
        <v>-30250</v>
      </c>
      <c r="Q46" s="256"/>
      <c r="R46" s="256">
        <f>-Businessplan_prodej!$F$69*0.3*1.21-$K$46</f>
        <v>-30435.809999999998</v>
      </c>
      <c r="S46" s="256">
        <f>-Businessplan_prodej!$F$69*0.2*1.21</f>
        <v>-23557.54</v>
      </c>
      <c r="T46" s="256">
        <f>-Businessplan_prodej!$F$69*0.25*1.21</f>
        <v>-29446.924999999999</v>
      </c>
      <c r="U46" s="255"/>
      <c r="V46" s="255"/>
      <c r="W46" s="255"/>
      <c r="X46" s="255"/>
      <c r="Y46" s="255"/>
      <c r="Z46" s="256">
        <f>-Businessplan_prodej!$F$69*0.25*1.21</f>
        <v>-29446.924999999999</v>
      </c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66">
        <f t="shared" si="15"/>
        <v>-230674.9</v>
      </c>
      <c r="BZ46" s="771"/>
      <c r="CA46" s="226"/>
      <c r="CB46" s="252"/>
      <c r="CC46" s="771"/>
      <c r="CD46" s="226"/>
      <c r="CE46" s="226"/>
    </row>
    <row r="47" spans="1:83" ht="14.25" hidden="1" customHeight="1" outlineLevel="1">
      <c r="A47" s="603"/>
      <c r="B47" s="787"/>
      <c r="C47" s="253" t="s">
        <v>226</v>
      </c>
      <c r="D47" s="254" t="s">
        <v>270</v>
      </c>
      <c r="E47" s="255"/>
      <c r="F47" s="255"/>
      <c r="G47" s="255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>
        <f>-Businessplan_prodej!$F$91*0.2*1.21</f>
        <v>0</v>
      </c>
      <c r="T47" s="256"/>
      <c r="U47" s="255"/>
      <c r="V47" s="255"/>
      <c r="W47" s="256">
        <f>-Businessplan_prodej!$F$91*0.3*1.21</f>
        <v>0</v>
      </c>
      <c r="X47" s="255"/>
      <c r="Y47" s="256">
        <f>-Businessplan_prodej!$F$91*0.5*1.21</f>
        <v>0</v>
      </c>
      <c r="Z47" s="256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5"/>
      <c r="BS47" s="255"/>
      <c r="BT47" s="255"/>
      <c r="BU47" s="255"/>
      <c r="BV47" s="255"/>
      <c r="BW47" s="255"/>
      <c r="BX47" s="264"/>
      <c r="BY47" s="266">
        <f t="shared" si="15"/>
        <v>0</v>
      </c>
      <c r="BZ47" s="771"/>
      <c r="CA47" s="226"/>
      <c r="CB47" s="252"/>
      <c r="CC47" s="771"/>
      <c r="CD47" s="226"/>
      <c r="CE47" s="226"/>
    </row>
    <row r="48" spans="1:83" ht="14.25" hidden="1" customHeight="1" outlineLevel="1">
      <c r="A48" s="603"/>
      <c r="B48" s="787"/>
      <c r="C48" s="253" t="s">
        <v>227</v>
      </c>
      <c r="D48" s="258" t="s">
        <v>270</v>
      </c>
      <c r="E48" s="255"/>
      <c r="F48" s="255"/>
      <c r="G48" s="255"/>
      <c r="H48" s="256"/>
      <c r="I48" s="256"/>
      <c r="J48" s="256"/>
      <c r="K48" s="256">
        <f>-((17529*2*25.2+44407*2)*1.21)*75%</f>
        <v>-882340.10700000008</v>
      </c>
      <c r="L48" s="256"/>
      <c r="M48" s="256"/>
      <c r="N48" s="256"/>
      <c r="O48" s="256"/>
      <c r="P48" s="256"/>
      <c r="Q48" s="256">
        <f>-((17529*2*25.2+44407*2)*1.21)*25%</f>
        <v>-294113.36900000001</v>
      </c>
      <c r="R48" s="256"/>
      <c r="S48" s="256">
        <f>-Businessplan_prodej!$F$92*0.5*1.21</f>
        <v>-458110.34541249991</v>
      </c>
      <c r="T48" s="256"/>
      <c r="U48" s="255"/>
      <c r="V48" s="255"/>
      <c r="W48" s="255"/>
      <c r="X48" s="255"/>
      <c r="Y48" s="255"/>
      <c r="Z48" s="256">
        <f>-Businessplan_prodej!$F$92*0.5*1.21</f>
        <v>-458110.34541249991</v>
      </c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66">
        <f t="shared" si="15"/>
        <v>-2092674.166825</v>
      </c>
      <c r="BZ48" s="771"/>
      <c r="CA48" s="226"/>
      <c r="CB48" s="252"/>
      <c r="CC48" s="771"/>
      <c r="CD48" s="226"/>
      <c r="CE48" s="226"/>
    </row>
    <row r="49" spans="1:87" ht="16" collapsed="1">
      <c r="A49" s="603"/>
      <c r="B49" s="787"/>
      <c r="C49" s="248" t="s">
        <v>292</v>
      </c>
      <c r="D49" s="249"/>
      <c r="E49" s="250">
        <f t="shared" ref="E49:BX49" si="18">SUM(E50:E54)</f>
        <v>0</v>
      </c>
      <c r="F49" s="250">
        <f t="shared" si="18"/>
        <v>0</v>
      </c>
      <c r="G49" s="250">
        <f t="shared" si="18"/>
        <v>0</v>
      </c>
      <c r="H49" s="250">
        <f t="shared" si="18"/>
        <v>-1442.155</v>
      </c>
      <c r="I49" s="250">
        <f t="shared" si="18"/>
        <v>-4792.1949999999997</v>
      </c>
      <c r="J49" s="250">
        <f t="shared" si="18"/>
        <v>-1444.855</v>
      </c>
      <c r="K49" s="250">
        <f t="shared" si="18"/>
        <v>-1290.27</v>
      </c>
      <c r="L49" s="250">
        <f t="shared" si="18"/>
        <v>-1842.35</v>
      </c>
      <c r="M49" s="250">
        <f t="shared" si="18"/>
        <v>-1088.2900000000002</v>
      </c>
      <c r="N49" s="250">
        <f t="shared" si="18"/>
        <v>-1844.5900000000001</v>
      </c>
      <c r="O49" s="250">
        <f t="shared" si="18"/>
        <v>-3360</v>
      </c>
      <c r="P49" s="250">
        <f t="shared" si="18"/>
        <v>-11871.31</v>
      </c>
      <c r="Q49" s="250">
        <f t="shared" si="18"/>
        <v>-1369.95</v>
      </c>
      <c r="R49" s="250">
        <f t="shared" si="18"/>
        <v>-1290.27</v>
      </c>
      <c r="S49" s="250">
        <f t="shared" si="18"/>
        <v>-1290.27</v>
      </c>
      <c r="T49" s="250">
        <f t="shared" si="18"/>
        <v>-1290.27</v>
      </c>
      <c r="U49" s="250">
        <f t="shared" si="18"/>
        <v>-1290.27</v>
      </c>
      <c r="V49" s="250">
        <f t="shared" si="18"/>
        <v>-1290.27</v>
      </c>
      <c r="W49" s="250">
        <f t="shared" si="18"/>
        <v>-1290.27</v>
      </c>
      <c r="X49" s="250">
        <f t="shared" si="18"/>
        <v>-1290.27</v>
      </c>
      <c r="Y49" s="250">
        <f t="shared" si="18"/>
        <v>-1290.27</v>
      </c>
      <c r="Z49" s="250">
        <f t="shared" si="18"/>
        <v>-1290.27</v>
      </c>
      <c r="AA49" s="250">
        <f t="shared" si="18"/>
        <v>-1290.27</v>
      </c>
      <c r="AB49" s="250">
        <f t="shared" si="18"/>
        <v>0</v>
      </c>
      <c r="AC49" s="250">
        <f t="shared" si="18"/>
        <v>0</v>
      </c>
      <c r="AD49" s="250">
        <f t="shared" si="18"/>
        <v>0</v>
      </c>
      <c r="AE49" s="250">
        <f t="shared" si="18"/>
        <v>0</v>
      </c>
      <c r="AF49" s="250">
        <f t="shared" si="18"/>
        <v>0</v>
      </c>
      <c r="AG49" s="250">
        <f t="shared" si="18"/>
        <v>0</v>
      </c>
      <c r="AH49" s="250">
        <f t="shared" si="18"/>
        <v>0</v>
      </c>
      <c r="AI49" s="250">
        <f t="shared" si="18"/>
        <v>0</v>
      </c>
      <c r="AJ49" s="250">
        <f t="shared" si="18"/>
        <v>0</v>
      </c>
      <c r="AK49" s="250">
        <f t="shared" si="18"/>
        <v>0</v>
      </c>
      <c r="AL49" s="250">
        <f t="shared" si="18"/>
        <v>0</v>
      </c>
      <c r="AM49" s="250">
        <f t="shared" si="18"/>
        <v>0</v>
      </c>
      <c r="AN49" s="250">
        <f t="shared" si="18"/>
        <v>0</v>
      </c>
      <c r="AO49" s="250">
        <f t="shared" si="18"/>
        <v>0</v>
      </c>
      <c r="AP49" s="250">
        <f t="shared" si="18"/>
        <v>0</v>
      </c>
      <c r="AQ49" s="250">
        <f t="shared" si="18"/>
        <v>0</v>
      </c>
      <c r="AR49" s="250">
        <f t="shared" si="18"/>
        <v>0</v>
      </c>
      <c r="AS49" s="250">
        <f t="shared" si="18"/>
        <v>0</v>
      </c>
      <c r="AT49" s="250">
        <f t="shared" si="18"/>
        <v>0</v>
      </c>
      <c r="AU49" s="250">
        <f t="shared" si="18"/>
        <v>0</v>
      </c>
      <c r="AV49" s="250">
        <f t="shared" si="18"/>
        <v>0</v>
      </c>
      <c r="AW49" s="250">
        <f t="shared" si="18"/>
        <v>0</v>
      </c>
      <c r="AX49" s="250">
        <f t="shared" si="18"/>
        <v>0</v>
      </c>
      <c r="AY49" s="250">
        <f t="shared" si="18"/>
        <v>0</v>
      </c>
      <c r="AZ49" s="250">
        <f t="shared" si="18"/>
        <v>0</v>
      </c>
      <c r="BA49" s="250">
        <f t="shared" si="18"/>
        <v>0</v>
      </c>
      <c r="BB49" s="250">
        <f t="shared" si="18"/>
        <v>0</v>
      </c>
      <c r="BC49" s="250">
        <f t="shared" si="18"/>
        <v>0</v>
      </c>
      <c r="BD49" s="250">
        <f t="shared" si="18"/>
        <v>0</v>
      </c>
      <c r="BE49" s="250">
        <f t="shared" si="18"/>
        <v>0</v>
      </c>
      <c r="BF49" s="250">
        <f t="shared" si="18"/>
        <v>0</v>
      </c>
      <c r="BG49" s="250">
        <f t="shared" si="18"/>
        <v>0</v>
      </c>
      <c r="BH49" s="250">
        <f t="shared" si="18"/>
        <v>0</v>
      </c>
      <c r="BI49" s="250">
        <f t="shared" si="18"/>
        <v>0</v>
      </c>
      <c r="BJ49" s="250">
        <f t="shared" si="18"/>
        <v>0</v>
      </c>
      <c r="BK49" s="250">
        <f t="shared" si="18"/>
        <v>0</v>
      </c>
      <c r="BL49" s="250">
        <f t="shared" si="18"/>
        <v>0</v>
      </c>
      <c r="BM49" s="250">
        <f t="shared" si="18"/>
        <v>0</v>
      </c>
      <c r="BN49" s="250">
        <f t="shared" si="18"/>
        <v>0</v>
      </c>
      <c r="BO49" s="250">
        <f t="shared" si="18"/>
        <v>0</v>
      </c>
      <c r="BP49" s="250">
        <f t="shared" si="18"/>
        <v>0</v>
      </c>
      <c r="BQ49" s="250">
        <f t="shared" si="18"/>
        <v>0</v>
      </c>
      <c r="BR49" s="250">
        <f t="shared" si="18"/>
        <v>0</v>
      </c>
      <c r="BS49" s="250">
        <f t="shared" si="18"/>
        <v>0</v>
      </c>
      <c r="BT49" s="250">
        <f t="shared" si="18"/>
        <v>0</v>
      </c>
      <c r="BU49" s="250">
        <f t="shared" si="18"/>
        <v>0</v>
      </c>
      <c r="BV49" s="250">
        <f t="shared" si="18"/>
        <v>0</v>
      </c>
      <c r="BW49" s="250">
        <f t="shared" si="18"/>
        <v>0</v>
      </c>
      <c r="BX49" s="250">
        <f t="shared" si="18"/>
        <v>0</v>
      </c>
      <c r="BY49" s="252">
        <f>SUM(BY50:BY54)</f>
        <v>-43248.664999999994</v>
      </c>
      <c r="BZ49" s="771"/>
      <c r="CA49" s="226"/>
      <c r="CB49" s="252"/>
      <c r="CC49" s="771"/>
      <c r="CD49" s="226"/>
      <c r="CE49" s="226"/>
      <c r="CF49" s="226"/>
      <c r="CG49" s="226"/>
      <c r="CH49" s="226"/>
      <c r="CI49" s="226"/>
    </row>
    <row r="50" spans="1:87" ht="16" hidden="1" outlineLevel="1">
      <c r="A50" s="603"/>
      <c r="B50" s="787"/>
      <c r="C50" s="253" t="s">
        <v>229</v>
      </c>
      <c r="D50" s="254" t="s">
        <v>270</v>
      </c>
      <c r="E50" s="255"/>
      <c r="F50" s="255"/>
      <c r="G50" s="255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64"/>
      <c r="BY50" s="265">
        <f t="shared" ref="BY50:BY54" si="19">SUM(E50:BX50)</f>
        <v>0</v>
      </c>
      <c r="BZ50" s="771"/>
      <c r="CA50" s="226"/>
      <c r="CB50" s="252"/>
      <c r="CC50" s="771"/>
      <c r="CD50" s="226"/>
      <c r="CE50" s="226"/>
      <c r="CF50" s="226"/>
      <c r="CG50" s="226"/>
      <c r="CH50" s="226"/>
      <c r="CI50" s="226"/>
    </row>
    <row r="51" spans="1:87" ht="16" hidden="1" outlineLevel="1">
      <c r="A51" s="603"/>
      <c r="B51" s="787"/>
      <c r="C51" s="253" t="s">
        <v>293</v>
      </c>
      <c r="D51" s="254" t="s">
        <v>270</v>
      </c>
      <c r="E51" s="255"/>
      <c r="F51" s="255"/>
      <c r="G51" s="255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65">
        <f t="shared" si="19"/>
        <v>0</v>
      </c>
      <c r="BZ51" s="771"/>
      <c r="CA51" s="226"/>
      <c r="CB51" s="252"/>
      <c r="CC51" s="771"/>
      <c r="CD51" s="226"/>
      <c r="CE51" s="226"/>
      <c r="CF51" s="226"/>
      <c r="CG51" s="226"/>
      <c r="CH51" s="226"/>
      <c r="CI51" s="226"/>
    </row>
    <row r="52" spans="1:87" ht="16" hidden="1" outlineLevel="1">
      <c r="A52" s="603"/>
      <c r="B52" s="787"/>
      <c r="C52" s="253" t="s">
        <v>294</v>
      </c>
      <c r="D52" s="254" t="s">
        <v>270</v>
      </c>
      <c r="E52" s="255"/>
      <c r="F52" s="255"/>
      <c r="G52" s="255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65">
        <f t="shared" si="19"/>
        <v>0</v>
      </c>
      <c r="BZ52" s="771"/>
      <c r="CA52" s="226"/>
      <c r="CB52" s="252"/>
      <c r="CC52" s="771"/>
      <c r="CD52" s="226"/>
      <c r="CE52" s="226"/>
      <c r="CF52" s="226"/>
      <c r="CG52" s="226"/>
      <c r="CH52" s="226"/>
      <c r="CI52" s="226"/>
    </row>
    <row r="53" spans="1:87" ht="16" hidden="1" outlineLevel="1">
      <c r="A53" s="603"/>
      <c r="B53" s="787"/>
      <c r="C53" s="253" t="s">
        <v>236</v>
      </c>
      <c r="D53" s="254" t="s">
        <v>270</v>
      </c>
      <c r="E53" s="255"/>
      <c r="F53" s="255"/>
      <c r="G53" s="255"/>
      <c r="H53" s="256">
        <f>-3-12-5-200-2-12-400-36-(0.02+0.09+0.21+17.06)*22-15.91*24.5</f>
        <v>-1442.155</v>
      </c>
      <c r="I53" s="256">
        <f>-6-5-200-12-400-24-2-16.19*24.5-17.57*22</f>
        <v>-1432.1949999999999</v>
      </c>
      <c r="J53" s="256">
        <f>-3-32-5-6-200-15-400-2-(0.01+0.08+15.98+0.2)*24.5-(0.02+0.09+0.21+17.1)*22</f>
        <v>-1444.855</v>
      </c>
      <c r="K53" s="256">
        <f>-20-12-3-200-2-400-10-2-10.9*24.5-17.01*22</f>
        <v>-1290.27</v>
      </c>
      <c r="L53" s="256">
        <f>-12-4-6-200-15-400-24-400-15.98*24.5-17.72*22</f>
        <v>-1842.35</v>
      </c>
      <c r="M53" s="256">
        <f>-40-200-15-2-12-400-10-2-400.11-(0.01+0.08+0.2+15.89)*25-(0.03-0.09-17.78-0.22)*22</f>
        <v>-1088.2900000000002</v>
      </c>
      <c r="N53" s="256">
        <f>-9-9-5-200-400-24-3-399.88-15.79*25-18.18*22</f>
        <v>-1844.5900000000001</v>
      </c>
      <c r="O53" s="256"/>
      <c r="P53" s="256">
        <f>-500-5656.91-300-6-25-4-18-44-200-15-400-399.94-500-972.22-2053.74-16.5*23-15.88*25</f>
        <v>-11871.31</v>
      </c>
      <c r="Q53" s="256">
        <f>-300-9-20-9-200-400-8-24-399.95</f>
        <v>-1369.95</v>
      </c>
      <c r="R53" s="256">
        <f t="shared" ref="R53:AA53" si="20">-20-12-3-200-2-400-10-2-10.9*24.5-17.01*22</f>
        <v>-1290.27</v>
      </c>
      <c r="S53" s="256">
        <f t="shared" si="20"/>
        <v>-1290.27</v>
      </c>
      <c r="T53" s="256">
        <f t="shared" si="20"/>
        <v>-1290.27</v>
      </c>
      <c r="U53" s="256">
        <f t="shared" si="20"/>
        <v>-1290.27</v>
      </c>
      <c r="V53" s="256">
        <f t="shared" si="20"/>
        <v>-1290.27</v>
      </c>
      <c r="W53" s="256">
        <f t="shared" si="20"/>
        <v>-1290.27</v>
      </c>
      <c r="X53" s="256">
        <f t="shared" si="20"/>
        <v>-1290.27</v>
      </c>
      <c r="Y53" s="256">
        <f t="shared" si="20"/>
        <v>-1290.27</v>
      </c>
      <c r="Z53" s="256">
        <f t="shared" si="20"/>
        <v>-1290.27</v>
      </c>
      <c r="AA53" s="256">
        <f t="shared" si="20"/>
        <v>-1290.27</v>
      </c>
      <c r="AB53" s="255"/>
      <c r="AC53" s="255"/>
      <c r="AD53" s="255"/>
      <c r="AE53" s="255"/>
      <c r="AF53" s="255"/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  <c r="AT53" s="255"/>
      <c r="AU53" s="255"/>
      <c r="AV53" s="255"/>
      <c r="AW53" s="255"/>
      <c r="AX53" s="255"/>
      <c r="AY53" s="255"/>
      <c r="AZ53" s="255"/>
      <c r="BA53" s="255"/>
      <c r="BB53" s="255"/>
      <c r="BC53" s="255"/>
      <c r="BD53" s="255"/>
      <c r="BE53" s="255"/>
      <c r="BF53" s="255"/>
      <c r="BG53" s="255"/>
      <c r="BH53" s="255"/>
      <c r="BI53" s="255"/>
      <c r="BJ53" s="255"/>
      <c r="BK53" s="255"/>
      <c r="BL53" s="255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64"/>
      <c r="BY53" s="266">
        <f t="shared" si="19"/>
        <v>-36528.664999999994</v>
      </c>
      <c r="BZ53" s="771"/>
      <c r="CA53" s="226"/>
      <c r="CB53" s="252"/>
      <c r="CC53" s="771"/>
      <c r="CD53" s="226"/>
      <c r="CE53" s="226"/>
      <c r="CF53" s="226"/>
      <c r="CG53" s="226"/>
      <c r="CH53" s="226"/>
      <c r="CI53" s="226"/>
    </row>
    <row r="54" spans="1:87" ht="16" hidden="1" outlineLevel="1">
      <c r="A54" s="603"/>
      <c r="B54" s="787"/>
      <c r="C54" s="253" t="s">
        <v>237</v>
      </c>
      <c r="D54" s="258" t="s">
        <v>270</v>
      </c>
      <c r="E54" s="259"/>
      <c r="F54" s="259"/>
      <c r="G54" s="255"/>
      <c r="H54" s="256"/>
      <c r="I54" s="256">
        <f>-3360</f>
        <v>-3360</v>
      </c>
      <c r="J54" s="256"/>
      <c r="K54" s="256"/>
      <c r="L54" s="256"/>
      <c r="M54" s="256"/>
      <c r="N54" s="256"/>
      <c r="O54" s="256">
        <f>-3360</f>
        <v>-3360</v>
      </c>
      <c r="P54" s="256"/>
      <c r="Q54" s="256"/>
      <c r="R54" s="256"/>
      <c r="S54" s="256"/>
      <c r="T54" s="256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55"/>
      <c r="BN54" s="255"/>
      <c r="BO54" s="255"/>
      <c r="BP54" s="255"/>
      <c r="BQ54" s="255"/>
      <c r="BR54" s="255"/>
      <c r="BS54" s="255"/>
      <c r="BT54" s="255"/>
      <c r="BU54" s="255"/>
      <c r="BV54" s="255"/>
      <c r="BW54" s="255"/>
      <c r="BX54" s="264"/>
      <c r="BY54" s="268">
        <f t="shared" si="19"/>
        <v>-6720</v>
      </c>
      <c r="BZ54" s="771"/>
      <c r="CA54" s="226"/>
      <c r="CB54" s="252"/>
      <c r="CC54" s="771"/>
      <c r="CD54" s="226"/>
      <c r="CE54" s="226"/>
      <c r="CF54" s="226"/>
      <c r="CG54" s="226"/>
      <c r="CH54" s="226"/>
      <c r="CI54" s="226"/>
    </row>
    <row r="55" spans="1:87" ht="16" collapsed="1">
      <c r="A55" s="603"/>
      <c r="B55" s="787"/>
      <c r="C55" s="248" t="s">
        <v>295</v>
      </c>
      <c r="D55" s="249"/>
      <c r="E55" s="250">
        <f t="shared" ref="E55:BX55" si="21">SUM(E56:E62)</f>
        <v>0</v>
      </c>
      <c r="F55" s="250">
        <f t="shared" si="21"/>
        <v>0</v>
      </c>
      <c r="G55" s="250">
        <f t="shared" si="21"/>
        <v>0</v>
      </c>
      <c r="H55" s="250">
        <f t="shared" si="21"/>
        <v>0</v>
      </c>
      <c r="I55" s="250">
        <f t="shared" si="21"/>
        <v>0</v>
      </c>
      <c r="J55" s="250">
        <f t="shared" si="21"/>
        <v>0</v>
      </c>
      <c r="K55" s="250">
        <f t="shared" si="21"/>
        <v>0</v>
      </c>
      <c r="L55" s="250">
        <f t="shared" si="21"/>
        <v>0</v>
      </c>
      <c r="M55" s="250">
        <f t="shared" si="21"/>
        <v>-48944.520000000004</v>
      </c>
      <c r="N55" s="250">
        <f t="shared" si="21"/>
        <v>-123582.04</v>
      </c>
      <c r="O55" s="250">
        <f t="shared" si="21"/>
        <v>-10395.44</v>
      </c>
      <c r="P55" s="250">
        <f t="shared" si="21"/>
        <v>-394726.13999999996</v>
      </c>
      <c r="Q55" s="250">
        <f t="shared" si="21"/>
        <v>-245545.71499999997</v>
      </c>
      <c r="R55" s="250">
        <f t="shared" si="21"/>
        <v>-299380.84942500008</v>
      </c>
      <c r="S55" s="250">
        <f t="shared" si="21"/>
        <v>-258547.51609166674</v>
      </c>
      <c r="T55" s="250">
        <f t="shared" si="21"/>
        <v>-258547.51609166674</v>
      </c>
      <c r="U55" s="250">
        <f t="shared" si="21"/>
        <v>-268747.51609166677</v>
      </c>
      <c r="V55" s="250">
        <f t="shared" si="21"/>
        <v>-289147.51609166677</v>
      </c>
      <c r="W55" s="250">
        <f t="shared" si="21"/>
        <v>-319747.51609166677</v>
      </c>
      <c r="X55" s="250">
        <f t="shared" si="21"/>
        <v>-350857.51609166677</v>
      </c>
      <c r="Y55" s="250">
        <f t="shared" si="21"/>
        <v>-382987.51609166677</v>
      </c>
      <c r="Z55" s="250">
        <f t="shared" si="21"/>
        <v>-382987.51609166677</v>
      </c>
      <c r="AA55" s="250">
        <f t="shared" si="21"/>
        <v>-4896599.2988861874</v>
      </c>
      <c r="AB55" s="250">
        <f t="shared" si="21"/>
        <v>0</v>
      </c>
      <c r="AC55" s="250">
        <f t="shared" si="21"/>
        <v>0</v>
      </c>
      <c r="AD55" s="250">
        <f t="shared" si="21"/>
        <v>0</v>
      </c>
      <c r="AE55" s="250">
        <f t="shared" si="21"/>
        <v>0</v>
      </c>
      <c r="AF55" s="250">
        <f t="shared" si="21"/>
        <v>0</v>
      </c>
      <c r="AG55" s="250">
        <f t="shared" si="21"/>
        <v>0</v>
      </c>
      <c r="AH55" s="250">
        <f t="shared" si="21"/>
        <v>0</v>
      </c>
      <c r="AI55" s="250">
        <f t="shared" si="21"/>
        <v>0</v>
      </c>
      <c r="AJ55" s="250">
        <f t="shared" si="21"/>
        <v>0</v>
      </c>
      <c r="AK55" s="250">
        <f t="shared" si="21"/>
        <v>0</v>
      </c>
      <c r="AL55" s="250">
        <f t="shared" si="21"/>
        <v>0</v>
      </c>
      <c r="AM55" s="250">
        <f t="shared" si="21"/>
        <v>0</v>
      </c>
      <c r="AN55" s="250">
        <f t="shared" si="21"/>
        <v>0</v>
      </c>
      <c r="AO55" s="250">
        <f t="shared" si="21"/>
        <v>0</v>
      </c>
      <c r="AP55" s="250">
        <f t="shared" si="21"/>
        <v>0</v>
      </c>
      <c r="AQ55" s="250">
        <f t="shared" si="21"/>
        <v>0</v>
      </c>
      <c r="AR55" s="250">
        <f t="shared" si="21"/>
        <v>0</v>
      </c>
      <c r="AS55" s="250">
        <f t="shared" si="21"/>
        <v>0</v>
      </c>
      <c r="AT55" s="250">
        <f t="shared" si="21"/>
        <v>0</v>
      </c>
      <c r="AU55" s="250">
        <f t="shared" si="21"/>
        <v>0</v>
      </c>
      <c r="AV55" s="250">
        <f t="shared" si="21"/>
        <v>0</v>
      </c>
      <c r="AW55" s="250">
        <f t="shared" si="21"/>
        <v>0</v>
      </c>
      <c r="AX55" s="250">
        <f t="shared" si="21"/>
        <v>0</v>
      </c>
      <c r="AY55" s="250">
        <f t="shared" si="21"/>
        <v>0</v>
      </c>
      <c r="AZ55" s="250">
        <f t="shared" si="21"/>
        <v>0</v>
      </c>
      <c r="BA55" s="250">
        <f t="shared" si="21"/>
        <v>0</v>
      </c>
      <c r="BB55" s="250">
        <f t="shared" si="21"/>
        <v>0</v>
      </c>
      <c r="BC55" s="250">
        <f t="shared" si="21"/>
        <v>0</v>
      </c>
      <c r="BD55" s="250">
        <f t="shared" si="21"/>
        <v>0</v>
      </c>
      <c r="BE55" s="250">
        <f t="shared" si="21"/>
        <v>0</v>
      </c>
      <c r="BF55" s="250">
        <f t="shared" si="21"/>
        <v>0</v>
      </c>
      <c r="BG55" s="250">
        <f t="shared" si="21"/>
        <v>0</v>
      </c>
      <c r="BH55" s="250">
        <f t="shared" si="21"/>
        <v>0</v>
      </c>
      <c r="BI55" s="250">
        <f t="shared" si="21"/>
        <v>0</v>
      </c>
      <c r="BJ55" s="250">
        <f t="shared" si="21"/>
        <v>0</v>
      </c>
      <c r="BK55" s="250">
        <f t="shared" si="21"/>
        <v>0</v>
      </c>
      <c r="BL55" s="250">
        <f t="shared" si="21"/>
        <v>0</v>
      </c>
      <c r="BM55" s="250">
        <f t="shared" si="21"/>
        <v>0</v>
      </c>
      <c r="BN55" s="250">
        <f t="shared" si="21"/>
        <v>0</v>
      </c>
      <c r="BO55" s="250">
        <f t="shared" si="21"/>
        <v>0</v>
      </c>
      <c r="BP55" s="250">
        <f t="shared" si="21"/>
        <v>0</v>
      </c>
      <c r="BQ55" s="250">
        <f t="shared" si="21"/>
        <v>0</v>
      </c>
      <c r="BR55" s="250">
        <f t="shared" si="21"/>
        <v>0</v>
      </c>
      <c r="BS55" s="250">
        <f t="shared" si="21"/>
        <v>0</v>
      </c>
      <c r="BT55" s="250">
        <f t="shared" si="21"/>
        <v>0</v>
      </c>
      <c r="BU55" s="250">
        <f t="shared" si="21"/>
        <v>0</v>
      </c>
      <c r="BV55" s="250">
        <f t="shared" si="21"/>
        <v>0</v>
      </c>
      <c r="BW55" s="250">
        <f t="shared" si="21"/>
        <v>0</v>
      </c>
      <c r="BX55" s="250">
        <f t="shared" si="21"/>
        <v>0</v>
      </c>
      <c r="BY55" s="252">
        <f>SUM(BY56:BY62)</f>
        <v>-8530744.1320445202</v>
      </c>
      <c r="BZ55" s="771"/>
      <c r="CA55" s="226"/>
      <c r="CB55" s="252"/>
      <c r="CC55" s="771"/>
      <c r="CD55" s="226"/>
      <c r="CE55" s="226"/>
      <c r="CF55" s="226"/>
      <c r="CG55" s="226"/>
      <c r="CH55" s="226"/>
      <c r="CI55" s="226"/>
    </row>
    <row r="56" spans="1:87" ht="16" hidden="1" outlineLevel="1">
      <c r="A56" s="603"/>
      <c r="B56" s="787"/>
      <c r="C56" s="253" t="s">
        <v>296</v>
      </c>
      <c r="D56" s="279">
        <v>0</v>
      </c>
      <c r="E56" s="255"/>
      <c r="F56" s="255"/>
      <c r="G56" s="255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5"/>
      <c r="V56" s="255"/>
      <c r="W56" s="255"/>
      <c r="X56" s="255"/>
      <c r="Y56" s="255"/>
      <c r="Z56" s="255"/>
      <c r="AA56" s="269">
        <f>-BY5*D57/365*CG27</f>
        <v>-1977699.2827945205</v>
      </c>
      <c r="AB56" s="255"/>
      <c r="AC56" s="255"/>
      <c r="AD56" s="255"/>
      <c r="AE56" s="255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80">
        <f t="shared" ref="BY56:BY62" si="22">SUM(E56:BX56)</f>
        <v>-1977699.2827945205</v>
      </c>
      <c r="BZ56" s="771"/>
      <c r="CA56" s="226"/>
      <c r="CB56" s="252"/>
      <c r="CC56" s="771"/>
      <c r="CD56" s="226"/>
      <c r="CE56" s="226"/>
      <c r="CF56" s="226"/>
      <c r="CG56" s="226"/>
      <c r="CH56" s="226"/>
      <c r="CI56" s="226"/>
    </row>
    <row r="57" spans="1:87" ht="16" hidden="1" outlineLevel="1">
      <c r="A57" s="603"/>
      <c r="B57" s="787"/>
      <c r="C57" s="253" t="s">
        <v>297</v>
      </c>
      <c r="D57" s="279">
        <v>0.11</v>
      </c>
      <c r="E57" s="255"/>
      <c r="F57" s="255"/>
      <c r="G57" s="255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5"/>
      <c r="V57" s="255"/>
      <c r="W57" s="255"/>
      <c r="X57" s="255"/>
      <c r="Y57" s="255"/>
      <c r="Z57" s="255"/>
      <c r="AA57" s="269">
        <f>-SUM(' Interest Calc Cash-flow Plan v'!E8:E23)-' Interest Calc Cash-flow Plan v'!E23</f>
        <v>-2535912.5</v>
      </c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80">
        <f t="shared" si="22"/>
        <v>-2535912.5</v>
      </c>
      <c r="BZ57" s="771"/>
      <c r="CA57" s="226"/>
      <c r="CB57" s="252"/>
      <c r="CC57" s="771"/>
      <c r="CD57" s="226"/>
      <c r="CE57" s="226"/>
      <c r="CF57" s="226"/>
      <c r="CG57" s="226"/>
      <c r="CH57" s="226"/>
      <c r="CI57" s="226"/>
    </row>
    <row r="58" spans="1:87" ht="16" hidden="1" outlineLevel="1">
      <c r="A58" s="603"/>
      <c r="B58" s="787"/>
      <c r="C58" s="253" t="s">
        <v>298</v>
      </c>
      <c r="D58" s="279">
        <v>0.11</v>
      </c>
      <c r="E58" s="255"/>
      <c r="F58" s="255"/>
      <c r="G58" s="255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80">
        <f t="shared" si="22"/>
        <v>0</v>
      </c>
      <c r="BZ58" s="771"/>
      <c r="CA58" s="226"/>
      <c r="CB58" s="252"/>
      <c r="CC58" s="771"/>
      <c r="CD58" s="226"/>
      <c r="CE58" s="226"/>
      <c r="CF58" s="226"/>
      <c r="CG58" s="226"/>
      <c r="CH58" s="226"/>
      <c r="CI58" s="226"/>
    </row>
    <row r="59" spans="1:87" ht="16" hidden="1" outlineLevel="1">
      <c r="A59" s="603"/>
      <c r="B59" s="787"/>
      <c r="C59" s="253" t="s">
        <v>299</v>
      </c>
      <c r="D59" s="279">
        <v>0.105</v>
      </c>
      <c r="E59" s="255"/>
      <c r="F59" s="255"/>
      <c r="G59" s="255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81">
        <f t="shared" si="22"/>
        <v>0</v>
      </c>
      <c r="BZ59" s="771"/>
      <c r="CA59" s="226"/>
      <c r="CB59" s="252"/>
      <c r="CC59" s="771"/>
      <c r="CD59" s="226"/>
      <c r="CE59" s="226"/>
      <c r="CF59" s="226"/>
      <c r="CG59" s="226"/>
      <c r="CH59" s="226"/>
      <c r="CI59" s="226"/>
    </row>
    <row r="60" spans="1:87" ht="16" hidden="1" outlineLevel="1">
      <c r="A60" s="603"/>
      <c r="B60" s="787"/>
      <c r="C60" s="253" t="s">
        <v>300</v>
      </c>
      <c r="D60" s="279">
        <v>0.15</v>
      </c>
      <c r="E60" s="255"/>
      <c r="F60" s="255"/>
      <c r="G60" s="255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5"/>
      <c r="AL60" s="255"/>
      <c r="AM60" s="255"/>
      <c r="AN60" s="255"/>
      <c r="AO60" s="255"/>
      <c r="AP60" s="255"/>
      <c r="AQ60" s="255"/>
      <c r="AR60" s="255"/>
      <c r="AS60" s="255"/>
      <c r="AT60" s="255"/>
      <c r="AU60" s="255"/>
      <c r="AV60" s="255"/>
      <c r="AW60" s="255"/>
      <c r="AX60" s="255"/>
      <c r="AY60" s="255"/>
      <c r="AZ60" s="255"/>
      <c r="BA60" s="255"/>
      <c r="BB60" s="255"/>
      <c r="BC60" s="255"/>
      <c r="BD60" s="255"/>
      <c r="BE60" s="255"/>
      <c r="BF60" s="255"/>
      <c r="BG60" s="255"/>
      <c r="BH60" s="255"/>
      <c r="BI60" s="255"/>
      <c r="BJ60" s="255"/>
      <c r="BK60" s="255"/>
      <c r="BL60" s="255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82">
        <f t="shared" si="22"/>
        <v>0</v>
      </c>
      <c r="BZ60" s="771"/>
      <c r="CA60" s="226"/>
      <c r="CB60" s="252"/>
      <c r="CC60" s="771"/>
      <c r="CD60" s="226"/>
      <c r="CE60" s="226"/>
      <c r="CF60" s="226"/>
      <c r="CG60" s="226"/>
      <c r="CH60" s="226"/>
      <c r="CI60" s="226"/>
    </row>
    <row r="61" spans="1:87" ht="16" hidden="1" outlineLevel="1">
      <c r="A61" s="603"/>
      <c r="B61" s="787"/>
      <c r="C61" s="253" t="s">
        <v>301</v>
      </c>
      <c r="D61" s="283">
        <v>6.1199999999999997E-2</v>
      </c>
      <c r="E61" s="259"/>
      <c r="F61" s="259"/>
      <c r="G61" s="259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>
        <f>-U10*D61/12</f>
        <v>-10200</v>
      </c>
      <c r="V61" s="260">
        <f t="shared" ref="V61:AA61" si="23">-SUM($U$10:V10)*$D$61/12</f>
        <v>-30600</v>
      </c>
      <c r="W61" s="260">
        <f t="shared" si="23"/>
        <v>-61200</v>
      </c>
      <c r="X61" s="260">
        <f t="shared" si="23"/>
        <v>-92310</v>
      </c>
      <c r="Y61" s="260">
        <f t="shared" si="23"/>
        <v>-124440</v>
      </c>
      <c r="Z61" s="260">
        <f t="shared" si="23"/>
        <v>-124440</v>
      </c>
      <c r="AA61" s="260">
        <f t="shared" si="23"/>
        <v>-124440</v>
      </c>
      <c r="AB61" s="259"/>
      <c r="AC61" s="259"/>
      <c r="AD61" s="259"/>
      <c r="AE61" s="259"/>
      <c r="AF61" s="259"/>
      <c r="AG61" s="259"/>
      <c r="AH61" s="259"/>
      <c r="AI61" s="259"/>
      <c r="AJ61" s="259"/>
      <c r="AK61" s="259"/>
      <c r="AL61" s="259"/>
      <c r="AM61" s="259"/>
      <c r="AN61" s="259"/>
      <c r="AO61" s="259"/>
      <c r="AP61" s="259"/>
      <c r="AQ61" s="259"/>
      <c r="AR61" s="259"/>
      <c r="AS61" s="259"/>
      <c r="AT61" s="259"/>
      <c r="AU61" s="259"/>
      <c r="AV61" s="259"/>
      <c r="AW61" s="259"/>
      <c r="AX61" s="259"/>
      <c r="AY61" s="259"/>
      <c r="AZ61" s="259"/>
      <c r="BA61" s="259"/>
      <c r="BB61" s="259"/>
      <c r="BC61" s="259"/>
      <c r="BD61" s="259"/>
      <c r="BE61" s="259"/>
      <c r="BF61" s="259"/>
      <c r="BG61" s="259"/>
      <c r="BH61" s="259"/>
      <c r="BI61" s="259"/>
      <c r="BJ61" s="259"/>
      <c r="BK61" s="259"/>
      <c r="BL61" s="255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82">
        <f t="shared" si="22"/>
        <v>-567630</v>
      </c>
      <c r="BZ61" s="771"/>
      <c r="CA61" s="226"/>
      <c r="CB61" s="252"/>
      <c r="CC61" s="771"/>
      <c r="CD61" s="226"/>
      <c r="CE61" s="226"/>
      <c r="CF61" s="226"/>
      <c r="CG61" s="226"/>
      <c r="CH61" s="226"/>
      <c r="CI61" s="226"/>
    </row>
    <row r="62" spans="1:87" ht="16" hidden="1" outlineLevel="1">
      <c r="A62" s="603"/>
      <c r="B62" s="787"/>
      <c r="C62" s="284" t="s">
        <v>302</v>
      </c>
      <c r="D62" s="285">
        <v>7.0000000000000007E-2</v>
      </c>
      <c r="E62" s="286"/>
      <c r="F62" s="286"/>
      <c r="G62" s="286"/>
      <c r="H62" s="287"/>
      <c r="I62" s="287"/>
      <c r="J62" s="287"/>
      <c r="K62" s="287"/>
      <c r="L62" s="287"/>
      <c r="M62" s="287">
        <f>-500-3013.89-17009.89-28420.74</f>
        <v>-48944.520000000004</v>
      </c>
      <c r="N62" s="287">
        <f>-500-3013.89-9715.85-35542.84-269.74-74539.72</f>
        <v>-123582.04</v>
      </c>
      <c r="O62" s="287">
        <f>-10395.44</f>
        <v>-10395.44</v>
      </c>
      <c r="P62" s="287">
        <f>-36289.12-275.39-112183.53-655.08-28529.87-31795.97-241.3-98293.51-658.05-45740.57-920.44-22573.06-16570.25</f>
        <v>-394726.13999999996</v>
      </c>
      <c r="Q62" s="287">
        <f>-11880.56-500-4442.66-33933.26-257.52-104900.69-702.28-48815.2-982.31-27035.66-1156.555-10939.02</f>
        <v>-245545.71499999997</v>
      </c>
      <c r="R62" s="287">
        <f>-SUM($K$11:R11)*$D$62/12</f>
        <v>-299380.84942500008</v>
      </c>
      <c r="S62" s="287">
        <f t="shared" ref="S62:AA62" si="24">(-SUM($K$11:S11)+7000000)*$D$62/12</f>
        <v>-258547.51609166674</v>
      </c>
      <c r="T62" s="287">
        <f t="shared" si="24"/>
        <v>-258547.51609166674</v>
      </c>
      <c r="U62" s="287">
        <f t="shared" si="24"/>
        <v>-258547.51609166674</v>
      </c>
      <c r="V62" s="287">
        <f t="shared" si="24"/>
        <v>-258547.51609166674</v>
      </c>
      <c r="W62" s="287">
        <f t="shared" si="24"/>
        <v>-258547.51609166674</v>
      </c>
      <c r="X62" s="287">
        <f t="shared" si="24"/>
        <v>-258547.51609166674</v>
      </c>
      <c r="Y62" s="287">
        <f t="shared" si="24"/>
        <v>-258547.51609166674</v>
      </c>
      <c r="Z62" s="287">
        <f t="shared" si="24"/>
        <v>-258547.51609166674</v>
      </c>
      <c r="AA62" s="287">
        <f t="shared" si="24"/>
        <v>-258547.51609166674</v>
      </c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8"/>
      <c r="BN62" s="288"/>
      <c r="BO62" s="288"/>
      <c r="BP62" s="288"/>
      <c r="BQ62" s="288"/>
      <c r="BR62" s="288"/>
      <c r="BS62" s="288"/>
      <c r="BT62" s="288"/>
      <c r="BU62" s="288"/>
      <c r="BV62" s="288"/>
      <c r="BW62" s="288"/>
      <c r="BX62" s="288"/>
      <c r="BY62" s="289">
        <f t="shared" si="22"/>
        <v>-3449502.34925</v>
      </c>
      <c r="BZ62" s="771"/>
      <c r="CA62" s="226"/>
      <c r="CB62" s="252"/>
      <c r="CC62" s="771"/>
      <c r="CD62" s="226"/>
      <c r="CE62" s="226"/>
      <c r="CF62" s="226"/>
      <c r="CG62" s="226"/>
      <c r="CH62" s="226"/>
      <c r="CI62" s="226"/>
    </row>
    <row r="63" spans="1:87" ht="16" collapsed="1">
      <c r="A63" s="603"/>
      <c r="B63" s="787"/>
      <c r="C63" s="248" t="s">
        <v>303</v>
      </c>
      <c r="D63" s="249"/>
      <c r="E63" s="250">
        <f t="shared" ref="E63:BY63" si="25">SUM(E64:E86)</f>
        <v>0</v>
      </c>
      <c r="F63" s="250">
        <f t="shared" si="25"/>
        <v>0</v>
      </c>
      <c r="G63" s="250">
        <f t="shared" si="25"/>
        <v>0</v>
      </c>
      <c r="H63" s="250">
        <f t="shared" si="25"/>
        <v>0</v>
      </c>
      <c r="I63" s="250">
        <f t="shared" si="25"/>
        <v>0</v>
      </c>
      <c r="J63" s="250">
        <f t="shared" si="25"/>
        <v>0</v>
      </c>
      <c r="K63" s="250">
        <f t="shared" si="25"/>
        <v>0</v>
      </c>
      <c r="L63" s="250">
        <f t="shared" si="25"/>
        <v>0</v>
      </c>
      <c r="M63" s="250">
        <f t="shared" si="25"/>
        <v>0</v>
      </c>
      <c r="N63" s="250">
        <f t="shared" si="25"/>
        <v>0</v>
      </c>
      <c r="O63" s="250">
        <f t="shared" si="25"/>
        <v>0</v>
      </c>
      <c r="P63" s="250">
        <f t="shared" si="25"/>
        <v>0</v>
      </c>
      <c r="Q63" s="250">
        <f t="shared" si="25"/>
        <v>0</v>
      </c>
      <c r="R63" s="250">
        <f t="shared" si="25"/>
        <v>0</v>
      </c>
      <c r="S63" s="250">
        <f t="shared" si="25"/>
        <v>0</v>
      </c>
      <c r="T63" s="250">
        <f t="shared" si="25"/>
        <v>0</v>
      </c>
      <c r="U63" s="250">
        <f t="shared" si="25"/>
        <v>0</v>
      </c>
      <c r="V63" s="250">
        <f t="shared" si="25"/>
        <v>0</v>
      </c>
      <c r="W63" s="250">
        <f t="shared" si="25"/>
        <v>0</v>
      </c>
      <c r="X63" s="250">
        <f t="shared" si="25"/>
        <v>0</v>
      </c>
      <c r="Y63" s="250">
        <f t="shared" si="25"/>
        <v>0</v>
      </c>
      <c r="Z63" s="250">
        <f t="shared" si="25"/>
        <v>0</v>
      </c>
      <c r="AA63" s="250">
        <f t="shared" si="25"/>
        <v>-768858.19642857125</v>
      </c>
      <c r="AB63" s="250">
        <f t="shared" si="25"/>
        <v>0</v>
      </c>
      <c r="AC63" s="250">
        <f t="shared" si="25"/>
        <v>0</v>
      </c>
      <c r="AD63" s="250">
        <f t="shared" si="25"/>
        <v>0</v>
      </c>
      <c r="AE63" s="250">
        <f t="shared" si="25"/>
        <v>0</v>
      </c>
      <c r="AF63" s="250">
        <f t="shared" si="25"/>
        <v>0</v>
      </c>
      <c r="AG63" s="250">
        <f t="shared" si="25"/>
        <v>0</v>
      </c>
      <c r="AH63" s="250">
        <f t="shared" si="25"/>
        <v>0</v>
      </c>
      <c r="AI63" s="250">
        <f t="shared" si="25"/>
        <v>0</v>
      </c>
      <c r="AJ63" s="250">
        <f t="shared" si="25"/>
        <v>0</v>
      </c>
      <c r="AK63" s="250">
        <f t="shared" si="25"/>
        <v>0</v>
      </c>
      <c r="AL63" s="250">
        <f t="shared" si="25"/>
        <v>0</v>
      </c>
      <c r="AM63" s="250">
        <f t="shared" si="25"/>
        <v>0</v>
      </c>
      <c r="AN63" s="250">
        <f t="shared" si="25"/>
        <v>0</v>
      </c>
      <c r="AO63" s="250">
        <f t="shared" si="25"/>
        <v>0</v>
      </c>
      <c r="AP63" s="250">
        <f t="shared" si="25"/>
        <v>0</v>
      </c>
      <c r="AQ63" s="250">
        <f t="shared" si="25"/>
        <v>0</v>
      </c>
      <c r="AR63" s="250">
        <f t="shared" si="25"/>
        <v>0</v>
      </c>
      <c r="AS63" s="250">
        <f t="shared" si="25"/>
        <v>0</v>
      </c>
      <c r="AT63" s="250">
        <f t="shared" si="25"/>
        <v>0</v>
      </c>
      <c r="AU63" s="250">
        <f t="shared" si="25"/>
        <v>0</v>
      </c>
      <c r="AV63" s="250">
        <f t="shared" si="25"/>
        <v>0</v>
      </c>
      <c r="AW63" s="250">
        <f t="shared" si="25"/>
        <v>0</v>
      </c>
      <c r="AX63" s="250">
        <f t="shared" si="25"/>
        <v>0</v>
      </c>
      <c r="AY63" s="250">
        <f t="shared" si="25"/>
        <v>0</v>
      </c>
      <c r="AZ63" s="250">
        <f t="shared" si="25"/>
        <v>0</v>
      </c>
      <c r="BA63" s="250">
        <f t="shared" si="25"/>
        <v>0</v>
      </c>
      <c r="BB63" s="250">
        <f t="shared" si="25"/>
        <v>0</v>
      </c>
      <c r="BC63" s="250">
        <f t="shared" si="25"/>
        <v>0</v>
      </c>
      <c r="BD63" s="250">
        <f t="shared" si="25"/>
        <v>0</v>
      </c>
      <c r="BE63" s="250">
        <f t="shared" si="25"/>
        <v>0</v>
      </c>
      <c r="BF63" s="250">
        <f t="shared" si="25"/>
        <v>0</v>
      </c>
      <c r="BG63" s="250">
        <f t="shared" si="25"/>
        <v>0</v>
      </c>
      <c r="BH63" s="250">
        <f t="shared" si="25"/>
        <v>0</v>
      </c>
      <c r="BI63" s="250">
        <f t="shared" si="25"/>
        <v>0</v>
      </c>
      <c r="BJ63" s="250">
        <f t="shared" si="25"/>
        <v>0</v>
      </c>
      <c r="BK63" s="250">
        <f t="shared" si="25"/>
        <v>0</v>
      </c>
      <c r="BL63" s="250">
        <f t="shared" si="25"/>
        <v>0</v>
      </c>
      <c r="BM63" s="250">
        <f t="shared" si="25"/>
        <v>0</v>
      </c>
      <c r="BN63" s="250">
        <f t="shared" si="25"/>
        <v>0</v>
      </c>
      <c r="BO63" s="250">
        <f t="shared" si="25"/>
        <v>0</v>
      </c>
      <c r="BP63" s="250">
        <f t="shared" si="25"/>
        <v>0</v>
      </c>
      <c r="BQ63" s="250">
        <f t="shared" si="25"/>
        <v>0</v>
      </c>
      <c r="BR63" s="250">
        <f t="shared" si="25"/>
        <v>0</v>
      </c>
      <c r="BS63" s="250">
        <f t="shared" si="25"/>
        <v>0</v>
      </c>
      <c r="BT63" s="250">
        <f t="shared" si="25"/>
        <v>0</v>
      </c>
      <c r="BU63" s="250">
        <f t="shared" si="25"/>
        <v>0</v>
      </c>
      <c r="BV63" s="250">
        <f t="shared" si="25"/>
        <v>0</v>
      </c>
      <c r="BW63" s="250">
        <f t="shared" si="25"/>
        <v>0</v>
      </c>
      <c r="BX63" s="250">
        <f t="shared" si="25"/>
        <v>0</v>
      </c>
      <c r="BY63" s="251">
        <f t="shared" si="25"/>
        <v>-768858.19642857125</v>
      </c>
      <c r="BZ63" s="771"/>
      <c r="CA63" s="226"/>
      <c r="CB63" s="252"/>
      <c r="CC63" s="771"/>
      <c r="CD63" s="226"/>
      <c r="CE63" s="226">
        <v>-165083.33333333334</v>
      </c>
      <c r="CF63" s="226">
        <v>-215833.33333333337</v>
      </c>
      <c r="CG63" s="226">
        <v>-271833.33333333337</v>
      </c>
      <c r="CH63" s="226">
        <v>-280000.00000000006</v>
      </c>
      <c r="CI63" s="226">
        <v>-165083.33333333334</v>
      </c>
    </row>
    <row r="64" spans="1:87" ht="16" hidden="1" outlineLevel="1">
      <c r="A64" s="603"/>
      <c r="B64" s="787"/>
      <c r="C64" s="290" t="s">
        <v>304</v>
      </c>
      <c r="D64" s="254" t="s">
        <v>270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  <c r="AN64" s="256"/>
      <c r="AO64" s="256"/>
      <c r="AP64" s="256"/>
      <c r="AQ64" s="256"/>
      <c r="AR64" s="256"/>
      <c r="AS64" s="256"/>
      <c r="AT64" s="256"/>
      <c r="AU64" s="256"/>
      <c r="AV64" s="256"/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91">
        <f t="shared" ref="BY64:BY86" si="26">SUM(E64:BX64)</f>
        <v>0</v>
      </c>
      <c r="BZ64" s="771"/>
      <c r="CA64" s="226"/>
      <c r="CB64" s="252"/>
      <c r="CC64" s="771"/>
      <c r="CD64" s="226"/>
      <c r="CE64" s="226"/>
      <c r="CF64" s="226"/>
      <c r="CG64" s="226"/>
      <c r="CH64" s="226"/>
      <c r="CI64" s="226"/>
    </row>
    <row r="65" spans="1:81" ht="16" hidden="1" outlineLevel="1">
      <c r="A65" s="603"/>
      <c r="B65" s="787"/>
      <c r="C65" s="292" t="s">
        <v>305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91">
        <f t="shared" si="26"/>
        <v>0</v>
      </c>
      <c r="BZ65" s="771"/>
      <c r="CA65" s="226"/>
      <c r="CB65" s="252"/>
      <c r="CC65" s="771"/>
    </row>
    <row r="66" spans="1:81" ht="16" hidden="1" outlineLevel="1">
      <c r="A66" s="603"/>
      <c r="B66" s="787"/>
      <c r="C66" s="292" t="s">
        <v>306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91">
        <f t="shared" si="26"/>
        <v>0</v>
      </c>
      <c r="BZ66" s="771"/>
      <c r="CA66" s="226"/>
      <c r="CB66" s="252"/>
      <c r="CC66" s="771"/>
    </row>
    <row r="67" spans="1:81" ht="16" hidden="1" outlineLevel="1">
      <c r="A67" s="603"/>
      <c r="B67" s="787"/>
      <c r="C67" s="292" t="s">
        <v>307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91">
        <f t="shared" si="26"/>
        <v>0</v>
      </c>
      <c r="BZ67" s="771"/>
      <c r="CA67" s="226"/>
      <c r="CB67" s="252"/>
      <c r="CC67" s="771"/>
    </row>
    <row r="68" spans="1:81" ht="16" hidden="1" outlineLevel="1">
      <c r="A68" s="603"/>
      <c r="B68" s="787"/>
      <c r="C68" s="292" t="s">
        <v>308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91">
        <f t="shared" si="26"/>
        <v>0</v>
      </c>
      <c r="BZ68" s="771"/>
      <c r="CA68" s="226"/>
      <c r="CB68" s="252"/>
      <c r="CC68" s="771"/>
    </row>
    <row r="69" spans="1:81" ht="16" hidden="1" outlineLevel="1">
      <c r="A69" s="603"/>
      <c r="B69" s="787"/>
      <c r="C69" s="292" t="s">
        <v>309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91">
        <f t="shared" si="26"/>
        <v>0</v>
      </c>
      <c r="BZ69" s="771"/>
      <c r="CA69" s="226"/>
      <c r="CB69" s="252"/>
      <c r="CC69" s="771"/>
    </row>
    <row r="70" spans="1:81" ht="16" hidden="1" outlineLevel="1">
      <c r="A70" s="603"/>
      <c r="B70" s="787"/>
      <c r="C70" s="292" t="s">
        <v>310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91">
        <f t="shared" si="26"/>
        <v>0</v>
      </c>
      <c r="BZ70" s="771"/>
      <c r="CA70" s="226"/>
      <c r="CB70" s="252"/>
      <c r="CC70" s="771"/>
    </row>
    <row r="71" spans="1:81" ht="16" hidden="1" outlineLevel="1">
      <c r="A71" s="603"/>
      <c r="B71" s="787"/>
      <c r="C71" s="292" t="s">
        <v>311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91">
        <f t="shared" si="26"/>
        <v>0</v>
      </c>
      <c r="BZ71" s="771"/>
      <c r="CA71" s="226"/>
      <c r="CB71" s="252"/>
      <c r="CC71" s="771"/>
    </row>
    <row r="72" spans="1:81" ht="16" hidden="1" outlineLevel="1">
      <c r="A72" s="603"/>
      <c r="B72" s="787"/>
      <c r="C72" s="292" t="s">
        <v>312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91">
        <f t="shared" si="26"/>
        <v>0</v>
      </c>
      <c r="BZ72" s="771"/>
      <c r="CA72" s="226"/>
      <c r="CB72" s="252"/>
      <c r="CC72" s="771"/>
    </row>
    <row r="73" spans="1:81" ht="16" hidden="1" outlineLevel="1">
      <c r="A73" s="603"/>
      <c r="B73" s="787"/>
      <c r="C73" s="292" t="s">
        <v>313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91">
        <f t="shared" si="26"/>
        <v>0</v>
      </c>
      <c r="BZ73" s="771"/>
      <c r="CA73" s="226"/>
      <c r="CB73" s="252"/>
      <c r="CC73" s="771"/>
    </row>
    <row r="74" spans="1:81" ht="16" hidden="1" outlineLevel="1">
      <c r="A74" s="603"/>
      <c r="B74" s="787"/>
      <c r="C74" s="292" t="s">
        <v>314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91">
        <f t="shared" si="26"/>
        <v>0</v>
      </c>
      <c r="BZ74" s="771"/>
      <c r="CA74" s="226"/>
      <c r="CB74" s="252"/>
      <c r="CC74" s="771"/>
    </row>
    <row r="75" spans="1:81" ht="16" hidden="1" outlineLevel="1">
      <c r="A75" s="603"/>
      <c r="B75" s="787"/>
      <c r="C75" s="292" t="s">
        <v>315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91">
        <f t="shared" si="26"/>
        <v>0</v>
      </c>
      <c r="BZ75" s="771"/>
      <c r="CA75" s="226"/>
      <c r="CB75" s="252"/>
      <c r="CC75" s="771"/>
    </row>
    <row r="76" spans="1:81" ht="16" hidden="1" outlineLevel="1">
      <c r="A76" s="603"/>
      <c r="B76" s="787"/>
      <c r="C76" s="292" t="s">
        <v>316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91">
        <f t="shared" si="26"/>
        <v>0</v>
      </c>
      <c r="BZ76" s="771"/>
      <c r="CA76" s="226"/>
      <c r="CB76" s="252"/>
      <c r="CC76" s="771"/>
    </row>
    <row r="77" spans="1:81" ht="16" hidden="1" outlineLevel="1">
      <c r="A77" s="603"/>
      <c r="B77" s="787"/>
      <c r="C77" s="292" t="s">
        <v>317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91">
        <f t="shared" si="26"/>
        <v>0</v>
      </c>
      <c r="BZ77" s="771"/>
      <c r="CA77" s="226"/>
      <c r="CB77" s="252"/>
      <c r="CC77" s="771"/>
    </row>
    <row r="78" spans="1:81" ht="16" hidden="1" outlineLevel="1">
      <c r="A78" s="603"/>
      <c r="B78" s="787"/>
      <c r="C78" s="292" t="s">
        <v>318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91">
        <f t="shared" si="26"/>
        <v>0</v>
      </c>
      <c r="BZ78" s="771"/>
      <c r="CA78" s="226"/>
      <c r="CB78" s="252"/>
      <c r="CC78" s="771"/>
    </row>
    <row r="79" spans="1:81" ht="16" hidden="1" outlineLevel="1">
      <c r="A79" s="603"/>
      <c r="B79" s="787"/>
      <c r="C79" s="292" t="s">
        <v>319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91">
        <f t="shared" si="26"/>
        <v>0</v>
      </c>
      <c r="BZ79" s="771"/>
      <c r="CA79" s="226"/>
      <c r="CB79" s="252"/>
      <c r="CC79" s="771"/>
    </row>
    <row r="80" spans="1:81" ht="16" hidden="1" outlineLevel="1">
      <c r="A80" s="603"/>
      <c r="B80" s="787"/>
      <c r="C80" s="292" t="s">
        <v>320</v>
      </c>
      <c r="D80" s="254" t="s">
        <v>270</v>
      </c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  <c r="BX80" s="256"/>
      <c r="BY80" s="291">
        <f t="shared" si="26"/>
        <v>0</v>
      </c>
      <c r="BZ80" s="771"/>
      <c r="CA80" s="226"/>
      <c r="CB80" s="252"/>
      <c r="CC80" s="771"/>
    </row>
    <row r="81" spans="1:81" ht="16" hidden="1" outlineLevel="1">
      <c r="A81" s="603"/>
      <c r="B81" s="787"/>
      <c r="C81" s="292" t="s">
        <v>321</v>
      </c>
      <c r="D81" s="254" t="s">
        <v>270</v>
      </c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/>
      <c r="AP81" s="256"/>
      <c r="AQ81" s="256"/>
      <c r="AR81" s="256"/>
      <c r="AS81" s="256"/>
      <c r="AT81" s="256"/>
      <c r="AU81" s="256"/>
      <c r="AV81" s="256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6"/>
      <c r="BR81" s="256"/>
      <c r="BS81" s="256"/>
      <c r="BT81" s="256"/>
      <c r="BU81" s="256"/>
      <c r="BV81" s="256"/>
      <c r="BW81" s="256"/>
      <c r="BX81" s="256"/>
      <c r="BY81" s="291">
        <f t="shared" si="26"/>
        <v>0</v>
      </c>
      <c r="BZ81" s="771"/>
      <c r="CA81" s="226"/>
      <c r="CB81" s="252"/>
      <c r="CC81" s="771"/>
    </row>
    <row r="82" spans="1:81" ht="16" hidden="1" outlineLevel="1">
      <c r="A82" s="603"/>
      <c r="B82" s="787"/>
      <c r="C82" s="293" t="s">
        <v>224</v>
      </c>
      <c r="D82" s="254" t="s">
        <v>270</v>
      </c>
      <c r="E82" s="256"/>
      <c r="F82" s="255"/>
      <c r="G82" s="255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>
        <f>-Businessplan_prodej!$N$19/12*1.21*Businessplan_prodej!$J$27</f>
        <v>0</v>
      </c>
      <c r="S82" s="256">
        <f>-Businessplan_prodej!$N$19/12*1.21*Businessplan_prodej!$J$27</f>
        <v>0</v>
      </c>
      <c r="T82" s="256">
        <f>-Businessplan_prodej!$N$19/12*1.21*Businessplan_prodej!$J$27</f>
        <v>0</v>
      </c>
      <c r="U82" s="256">
        <f>-Businessplan_prodej!$N$19/12*1.21*Businessplan_prodej!$J$27</f>
        <v>0</v>
      </c>
      <c r="V82" s="256">
        <f>-Businessplan_prodej!$N$19/12*1.21*Businessplan_prodej!$J$27</f>
        <v>0</v>
      </c>
      <c r="W82" s="256">
        <f>-Businessplan_prodej!$N$19/12*1.21*Businessplan_prodej!$J$27</f>
        <v>0</v>
      </c>
      <c r="X82" s="256">
        <f>-Businessplan_prodej!$N$19/12*1.21*Businessplan_prodej!$J$27</f>
        <v>0</v>
      </c>
      <c r="Y82" s="256">
        <f>-Businessplan_prodej!$N$19/12*1.21*Businessplan_prodej!$J$27</f>
        <v>0</v>
      </c>
      <c r="Z82" s="256">
        <f>-Businessplan_prodej!$N$19/12*1.21*Businessplan_prodej!$J$27</f>
        <v>0</v>
      </c>
      <c r="AA82" s="256">
        <f>-Businessplan_prodej!$N$19/12*1.21</f>
        <v>-97718.69249999999</v>
      </c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91">
        <f t="shared" si="26"/>
        <v>-97718.69249999999</v>
      </c>
      <c r="BZ82" s="771"/>
      <c r="CA82" s="226"/>
      <c r="CB82" s="252"/>
      <c r="CC82" s="771"/>
    </row>
    <row r="83" spans="1:81" ht="16" hidden="1" outlineLevel="1">
      <c r="A83" s="603"/>
      <c r="B83" s="787"/>
      <c r="C83" s="292" t="s">
        <v>225</v>
      </c>
      <c r="D83" s="254" t="s">
        <v>270</v>
      </c>
      <c r="E83" s="256"/>
      <c r="F83" s="255"/>
      <c r="G83" s="255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5"/>
      <c r="V83" s="255"/>
      <c r="W83" s="255"/>
      <c r="X83" s="255"/>
      <c r="Y83" s="255"/>
      <c r="Z83" s="255"/>
      <c r="AA83" s="255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91">
        <f t="shared" si="26"/>
        <v>0</v>
      </c>
      <c r="BZ83" s="771"/>
      <c r="CA83" s="226"/>
      <c r="CB83" s="252"/>
      <c r="CC83" s="771"/>
    </row>
    <row r="84" spans="1:81" ht="16" hidden="1" outlineLevel="1">
      <c r="A84" s="603"/>
      <c r="B84" s="787"/>
      <c r="C84" s="292" t="s">
        <v>236</v>
      </c>
      <c r="D84" s="254" t="s">
        <v>270</v>
      </c>
      <c r="E84" s="256"/>
      <c r="F84" s="255"/>
      <c r="G84" s="255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5"/>
      <c r="V84" s="255"/>
      <c r="W84" s="255"/>
      <c r="X84" s="255"/>
      <c r="Y84" s="255"/>
      <c r="Z84" s="255"/>
      <c r="AA84" s="255"/>
      <c r="AB84" s="255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5"/>
      <c r="BD84" s="255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91">
        <f t="shared" si="26"/>
        <v>0</v>
      </c>
      <c r="BZ84" s="771"/>
      <c r="CA84" s="226"/>
      <c r="CB84" s="252"/>
      <c r="CC84" s="771"/>
    </row>
    <row r="85" spans="1:81" ht="16" hidden="1" outlineLevel="1">
      <c r="A85" s="603"/>
      <c r="B85" s="787"/>
      <c r="C85" s="292" t="s">
        <v>237</v>
      </c>
      <c r="D85" s="254" t="s">
        <v>270</v>
      </c>
      <c r="E85" s="256"/>
      <c r="F85" s="255"/>
      <c r="G85" s="255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P85" s="255"/>
      <c r="AQ85" s="255"/>
      <c r="AR85" s="255"/>
      <c r="AS85" s="255"/>
      <c r="AT85" s="255"/>
      <c r="AU85" s="255"/>
      <c r="AV85" s="255"/>
      <c r="AW85" s="255"/>
      <c r="AX85" s="255"/>
      <c r="AY85" s="255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91">
        <f t="shared" si="26"/>
        <v>0</v>
      </c>
      <c r="BZ85" s="771"/>
      <c r="CA85" s="226"/>
      <c r="CB85" s="252"/>
      <c r="CC85" s="771"/>
    </row>
    <row r="86" spans="1:81" ht="16" hidden="1" outlineLevel="1">
      <c r="A86" s="603"/>
      <c r="B86" s="787"/>
      <c r="C86" s="294" t="s">
        <v>322</v>
      </c>
      <c r="D86" s="258" t="s">
        <v>270</v>
      </c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>
        <f>Businessplan_prodej!N21</f>
        <v>-671139.50392857124</v>
      </c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5"/>
      <c r="BQ86" s="295"/>
      <c r="BR86" s="295"/>
      <c r="BS86" s="295"/>
      <c r="BT86" s="295"/>
      <c r="BU86" s="295"/>
      <c r="BV86" s="295"/>
      <c r="BW86" s="295"/>
      <c r="BX86" s="295"/>
      <c r="BY86" s="291">
        <f t="shared" si="26"/>
        <v>-671139.50392857124</v>
      </c>
      <c r="BZ86" s="771"/>
      <c r="CA86" s="226"/>
      <c r="CB86" s="252"/>
      <c r="CC86" s="771"/>
    </row>
    <row r="87" spans="1:81" ht="16" collapsed="1">
      <c r="A87" s="603"/>
      <c r="B87" s="787"/>
      <c r="C87" s="248" t="s">
        <v>323</v>
      </c>
      <c r="D87" s="249"/>
      <c r="E87" s="250">
        <f t="shared" ref="E87:BY87" si="27">SUM(E88:E89)</f>
        <v>0</v>
      </c>
      <c r="F87" s="250">
        <f t="shared" si="27"/>
        <v>0</v>
      </c>
      <c r="G87" s="250">
        <f t="shared" si="27"/>
        <v>0</v>
      </c>
      <c r="H87" s="250">
        <f t="shared" si="27"/>
        <v>0</v>
      </c>
      <c r="I87" s="250">
        <f t="shared" si="27"/>
        <v>0</v>
      </c>
      <c r="J87" s="250">
        <f t="shared" si="27"/>
        <v>0</v>
      </c>
      <c r="K87" s="250">
        <f t="shared" si="27"/>
        <v>0</v>
      </c>
      <c r="L87" s="250">
        <f t="shared" si="27"/>
        <v>0</v>
      </c>
      <c r="M87" s="250">
        <f t="shared" si="27"/>
        <v>0</v>
      </c>
      <c r="N87" s="250">
        <f t="shared" si="27"/>
        <v>0</v>
      </c>
      <c r="O87" s="250">
        <f t="shared" si="27"/>
        <v>0</v>
      </c>
      <c r="P87" s="250">
        <f t="shared" si="27"/>
        <v>0</v>
      </c>
      <c r="Q87" s="250">
        <f t="shared" si="27"/>
        <v>0</v>
      </c>
      <c r="R87" s="250">
        <f t="shared" si="27"/>
        <v>0</v>
      </c>
      <c r="S87" s="250">
        <f t="shared" si="27"/>
        <v>0</v>
      </c>
      <c r="T87" s="250">
        <f t="shared" si="27"/>
        <v>0</v>
      </c>
      <c r="U87" s="250">
        <f t="shared" si="27"/>
        <v>0</v>
      </c>
      <c r="V87" s="250">
        <f t="shared" si="27"/>
        <v>0</v>
      </c>
      <c r="W87" s="250">
        <f t="shared" si="27"/>
        <v>0</v>
      </c>
      <c r="X87" s="250">
        <f t="shared" si="27"/>
        <v>0</v>
      </c>
      <c r="Y87" s="250">
        <f t="shared" si="27"/>
        <v>0</v>
      </c>
      <c r="Z87" s="250">
        <f t="shared" si="27"/>
        <v>0</v>
      </c>
      <c r="AA87" s="250">
        <f t="shared" si="27"/>
        <v>0</v>
      </c>
      <c r="AB87" s="250">
        <f t="shared" si="27"/>
        <v>0</v>
      </c>
      <c r="AC87" s="250">
        <f t="shared" si="27"/>
        <v>0</v>
      </c>
      <c r="AD87" s="250">
        <f t="shared" si="27"/>
        <v>0</v>
      </c>
      <c r="AE87" s="250">
        <f t="shared" si="27"/>
        <v>0</v>
      </c>
      <c r="AF87" s="250">
        <f t="shared" si="27"/>
        <v>0</v>
      </c>
      <c r="AG87" s="250">
        <f t="shared" si="27"/>
        <v>0</v>
      </c>
      <c r="AH87" s="250">
        <f t="shared" si="27"/>
        <v>0</v>
      </c>
      <c r="AI87" s="250">
        <f t="shared" si="27"/>
        <v>0</v>
      </c>
      <c r="AJ87" s="250">
        <f t="shared" si="27"/>
        <v>0</v>
      </c>
      <c r="AK87" s="250">
        <f t="shared" si="27"/>
        <v>0</v>
      </c>
      <c r="AL87" s="250">
        <f t="shared" si="27"/>
        <v>0</v>
      </c>
      <c r="AM87" s="250">
        <f t="shared" si="27"/>
        <v>0</v>
      </c>
      <c r="AN87" s="250">
        <f t="shared" si="27"/>
        <v>0</v>
      </c>
      <c r="AO87" s="250">
        <f t="shared" si="27"/>
        <v>0</v>
      </c>
      <c r="AP87" s="250">
        <f t="shared" si="27"/>
        <v>0</v>
      </c>
      <c r="AQ87" s="250">
        <f t="shared" si="27"/>
        <v>0</v>
      </c>
      <c r="AR87" s="250">
        <f t="shared" si="27"/>
        <v>0</v>
      </c>
      <c r="AS87" s="250">
        <f t="shared" si="27"/>
        <v>0</v>
      </c>
      <c r="AT87" s="250">
        <f t="shared" si="27"/>
        <v>0</v>
      </c>
      <c r="AU87" s="250">
        <f t="shared" si="27"/>
        <v>0</v>
      </c>
      <c r="AV87" s="250">
        <f t="shared" si="27"/>
        <v>0</v>
      </c>
      <c r="AW87" s="250">
        <f t="shared" si="27"/>
        <v>0</v>
      </c>
      <c r="AX87" s="250">
        <f t="shared" si="27"/>
        <v>0</v>
      </c>
      <c r="AY87" s="250">
        <f t="shared" si="27"/>
        <v>0</v>
      </c>
      <c r="AZ87" s="250">
        <f t="shared" si="27"/>
        <v>0</v>
      </c>
      <c r="BA87" s="250">
        <f t="shared" si="27"/>
        <v>0</v>
      </c>
      <c r="BB87" s="250">
        <f t="shared" si="27"/>
        <v>0</v>
      </c>
      <c r="BC87" s="250">
        <f t="shared" si="27"/>
        <v>0</v>
      </c>
      <c r="BD87" s="250">
        <f t="shared" si="27"/>
        <v>0</v>
      </c>
      <c r="BE87" s="250">
        <f t="shared" si="27"/>
        <v>0</v>
      </c>
      <c r="BF87" s="250">
        <f t="shared" si="27"/>
        <v>0</v>
      </c>
      <c r="BG87" s="250">
        <f t="shared" si="27"/>
        <v>0</v>
      </c>
      <c r="BH87" s="250">
        <f t="shared" si="27"/>
        <v>0</v>
      </c>
      <c r="BI87" s="250">
        <f t="shared" si="27"/>
        <v>0</v>
      </c>
      <c r="BJ87" s="250">
        <f t="shared" si="27"/>
        <v>0</v>
      </c>
      <c r="BK87" s="250">
        <f t="shared" si="27"/>
        <v>0</v>
      </c>
      <c r="BL87" s="250">
        <f t="shared" si="27"/>
        <v>0</v>
      </c>
      <c r="BM87" s="250">
        <f t="shared" si="27"/>
        <v>0</v>
      </c>
      <c r="BN87" s="250">
        <f t="shared" si="27"/>
        <v>0</v>
      </c>
      <c r="BO87" s="250">
        <f t="shared" si="27"/>
        <v>0</v>
      </c>
      <c r="BP87" s="250">
        <f t="shared" si="27"/>
        <v>0</v>
      </c>
      <c r="BQ87" s="250">
        <f t="shared" si="27"/>
        <v>0</v>
      </c>
      <c r="BR87" s="250">
        <f t="shared" si="27"/>
        <v>0</v>
      </c>
      <c r="BS87" s="250">
        <f t="shared" si="27"/>
        <v>0</v>
      </c>
      <c r="BT87" s="250">
        <f t="shared" si="27"/>
        <v>0</v>
      </c>
      <c r="BU87" s="250">
        <f t="shared" si="27"/>
        <v>0</v>
      </c>
      <c r="BV87" s="250">
        <f t="shared" si="27"/>
        <v>0</v>
      </c>
      <c r="BW87" s="250">
        <f t="shared" si="27"/>
        <v>0</v>
      </c>
      <c r="BX87" s="250">
        <f t="shared" si="27"/>
        <v>0</v>
      </c>
      <c r="BY87" s="251">
        <f t="shared" si="27"/>
        <v>0</v>
      </c>
      <c r="BZ87" s="771"/>
      <c r="CA87" s="226"/>
      <c r="CB87" s="252"/>
      <c r="CC87" s="771"/>
    </row>
    <row r="88" spans="1:81" ht="16" hidden="1" outlineLevel="1">
      <c r="A88" s="603"/>
      <c r="B88" s="787"/>
      <c r="C88" s="290" t="s">
        <v>324</v>
      </c>
      <c r="D88" s="254" t="s">
        <v>270</v>
      </c>
      <c r="E88" s="260"/>
      <c r="F88" s="260"/>
      <c r="G88" s="260"/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0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60"/>
      <c r="AV88" s="260"/>
      <c r="AW88" s="260"/>
      <c r="AX88" s="260"/>
      <c r="AY88" s="260"/>
      <c r="AZ88" s="260"/>
      <c r="BA88" s="260"/>
      <c r="BB88" s="260"/>
      <c r="BC88" s="260"/>
      <c r="BD88" s="260"/>
      <c r="BE88" s="260"/>
      <c r="BF88" s="260"/>
      <c r="BG88" s="260"/>
      <c r="BH88" s="260"/>
      <c r="BI88" s="260"/>
      <c r="BJ88" s="260"/>
      <c r="BK88" s="260"/>
      <c r="BL88" s="260"/>
      <c r="BM88" s="260"/>
      <c r="BN88" s="260"/>
      <c r="BO88" s="260"/>
      <c r="BP88" s="260"/>
      <c r="BQ88" s="260"/>
      <c r="BR88" s="260"/>
      <c r="BS88" s="260"/>
      <c r="BT88" s="260"/>
      <c r="BU88" s="260"/>
      <c r="BV88" s="260"/>
      <c r="BW88" s="260"/>
      <c r="BX88" s="260"/>
      <c r="BY88" s="296">
        <f t="shared" ref="BY88:BY89" si="28">SUM(E88:BX88)</f>
        <v>0</v>
      </c>
      <c r="BZ88" s="771"/>
      <c r="CA88" s="226"/>
      <c r="CB88" s="252"/>
      <c r="CC88" s="771"/>
    </row>
    <row r="89" spans="1:81" ht="16" hidden="1" outlineLevel="1">
      <c r="A89" s="603"/>
      <c r="B89" s="787"/>
      <c r="C89" s="294" t="s">
        <v>325</v>
      </c>
      <c r="D89" s="258" t="s">
        <v>270</v>
      </c>
      <c r="E89" s="287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97">
        <f t="shared" si="28"/>
        <v>0</v>
      </c>
      <c r="BZ89" s="774"/>
      <c r="CA89" s="226"/>
      <c r="CB89" s="252"/>
      <c r="CC89" s="774"/>
    </row>
    <row r="90" spans="1:81" collapsed="1">
      <c r="A90" s="603"/>
      <c r="B90" s="787"/>
      <c r="C90" s="248" t="s">
        <v>326</v>
      </c>
      <c r="D90" s="249"/>
      <c r="E90" s="250">
        <f t="shared" ref="E90:BX90" si="29">SUM(E91:E97)</f>
        <v>0</v>
      </c>
      <c r="F90" s="250">
        <f t="shared" si="29"/>
        <v>0</v>
      </c>
      <c r="G90" s="250">
        <f t="shared" si="29"/>
        <v>0</v>
      </c>
      <c r="H90" s="250">
        <f t="shared" si="29"/>
        <v>0</v>
      </c>
      <c r="I90" s="250">
        <f t="shared" si="29"/>
        <v>0</v>
      </c>
      <c r="J90" s="250">
        <f t="shared" si="29"/>
        <v>0</v>
      </c>
      <c r="K90" s="250">
        <f t="shared" si="29"/>
        <v>0</v>
      </c>
      <c r="L90" s="250">
        <f t="shared" si="29"/>
        <v>0</v>
      </c>
      <c r="M90" s="250">
        <f t="shared" si="29"/>
        <v>0</v>
      </c>
      <c r="N90" s="250">
        <f t="shared" si="29"/>
        <v>0</v>
      </c>
      <c r="O90" s="250">
        <f t="shared" si="29"/>
        <v>0</v>
      </c>
      <c r="P90" s="250">
        <f t="shared" si="29"/>
        <v>0</v>
      </c>
      <c r="Q90" s="250">
        <f t="shared" si="29"/>
        <v>-7000000</v>
      </c>
      <c r="R90" s="250">
        <f t="shared" si="29"/>
        <v>-54993</v>
      </c>
      <c r="S90" s="250">
        <f t="shared" si="29"/>
        <v>-54714.208275311074</v>
      </c>
      <c r="T90" s="250">
        <f t="shared" si="29"/>
        <v>-54714.208275311074</v>
      </c>
      <c r="U90" s="250">
        <f t="shared" si="29"/>
        <v>-54714.208275311074</v>
      </c>
      <c r="V90" s="250">
        <f t="shared" si="29"/>
        <v>-54714.208275311074</v>
      </c>
      <c r="W90" s="250">
        <f t="shared" si="29"/>
        <v>-54714.208275311074</v>
      </c>
      <c r="X90" s="250">
        <f t="shared" si="29"/>
        <v>-54714.208275311074</v>
      </c>
      <c r="Y90" s="250">
        <f t="shared" si="29"/>
        <v>-54714.208275311074</v>
      </c>
      <c r="Z90" s="250">
        <f t="shared" si="29"/>
        <v>-54714.208275311074</v>
      </c>
      <c r="AA90" s="250">
        <f t="shared" si="29"/>
        <v>-109738476.66379753</v>
      </c>
      <c r="AB90" s="250">
        <f t="shared" si="29"/>
        <v>0</v>
      </c>
      <c r="AC90" s="250">
        <f t="shared" si="29"/>
        <v>0</v>
      </c>
      <c r="AD90" s="250">
        <f t="shared" si="29"/>
        <v>0</v>
      </c>
      <c r="AE90" s="250">
        <f t="shared" si="29"/>
        <v>0</v>
      </c>
      <c r="AF90" s="250">
        <f t="shared" si="29"/>
        <v>0</v>
      </c>
      <c r="AG90" s="250">
        <f t="shared" si="29"/>
        <v>0</v>
      </c>
      <c r="AH90" s="250">
        <f t="shared" si="29"/>
        <v>0</v>
      </c>
      <c r="AI90" s="250">
        <f t="shared" si="29"/>
        <v>0</v>
      </c>
      <c r="AJ90" s="250">
        <f t="shared" si="29"/>
        <v>0</v>
      </c>
      <c r="AK90" s="250">
        <f t="shared" si="29"/>
        <v>0</v>
      </c>
      <c r="AL90" s="250">
        <f t="shared" si="29"/>
        <v>0</v>
      </c>
      <c r="AM90" s="250">
        <f t="shared" si="29"/>
        <v>0</v>
      </c>
      <c r="AN90" s="250">
        <f t="shared" si="29"/>
        <v>0</v>
      </c>
      <c r="AO90" s="250">
        <f t="shared" si="29"/>
        <v>0</v>
      </c>
      <c r="AP90" s="250">
        <f t="shared" si="29"/>
        <v>0</v>
      </c>
      <c r="AQ90" s="250">
        <f t="shared" si="29"/>
        <v>0</v>
      </c>
      <c r="AR90" s="250">
        <f t="shared" si="29"/>
        <v>0</v>
      </c>
      <c r="AS90" s="250">
        <f t="shared" si="29"/>
        <v>0</v>
      </c>
      <c r="AT90" s="250">
        <f t="shared" si="29"/>
        <v>0</v>
      </c>
      <c r="AU90" s="250">
        <f t="shared" si="29"/>
        <v>0</v>
      </c>
      <c r="AV90" s="250">
        <f t="shared" si="29"/>
        <v>0</v>
      </c>
      <c r="AW90" s="250">
        <f t="shared" si="29"/>
        <v>0</v>
      </c>
      <c r="AX90" s="250">
        <f t="shared" si="29"/>
        <v>0</v>
      </c>
      <c r="AY90" s="250">
        <f t="shared" si="29"/>
        <v>0</v>
      </c>
      <c r="AZ90" s="250">
        <f t="shared" si="29"/>
        <v>0</v>
      </c>
      <c r="BA90" s="250">
        <f t="shared" si="29"/>
        <v>0</v>
      </c>
      <c r="BB90" s="250">
        <f t="shared" si="29"/>
        <v>0</v>
      </c>
      <c r="BC90" s="250">
        <f t="shared" si="29"/>
        <v>0</v>
      </c>
      <c r="BD90" s="250">
        <f t="shared" si="29"/>
        <v>0</v>
      </c>
      <c r="BE90" s="250">
        <f t="shared" si="29"/>
        <v>0</v>
      </c>
      <c r="BF90" s="250">
        <f t="shared" si="29"/>
        <v>0</v>
      </c>
      <c r="BG90" s="250">
        <f t="shared" si="29"/>
        <v>0</v>
      </c>
      <c r="BH90" s="250">
        <f t="shared" si="29"/>
        <v>0</v>
      </c>
      <c r="BI90" s="250">
        <f t="shared" si="29"/>
        <v>0</v>
      </c>
      <c r="BJ90" s="250">
        <f t="shared" si="29"/>
        <v>0</v>
      </c>
      <c r="BK90" s="250">
        <f t="shared" si="29"/>
        <v>0</v>
      </c>
      <c r="BL90" s="250">
        <f t="shared" si="29"/>
        <v>0</v>
      </c>
      <c r="BM90" s="250">
        <f t="shared" si="29"/>
        <v>0</v>
      </c>
      <c r="BN90" s="250">
        <f t="shared" si="29"/>
        <v>0</v>
      </c>
      <c r="BO90" s="250">
        <f t="shared" si="29"/>
        <v>0</v>
      </c>
      <c r="BP90" s="250">
        <f t="shared" si="29"/>
        <v>0</v>
      </c>
      <c r="BQ90" s="250">
        <f t="shared" si="29"/>
        <v>0</v>
      </c>
      <c r="BR90" s="250">
        <f t="shared" si="29"/>
        <v>0</v>
      </c>
      <c r="BS90" s="250">
        <f t="shared" si="29"/>
        <v>0</v>
      </c>
      <c r="BT90" s="250">
        <f t="shared" si="29"/>
        <v>0</v>
      </c>
      <c r="BU90" s="250">
        <f t="shared" si="29"/>
        <v>0</v>
      </c>
      <c r="BV90" s="250">
        <f t="shared" si="29"/>
        <v>0</v>
      </c>
      <c r="BW90" s="250">
        <f t="shared" si="29"/>
        <v>0</v>
      </c>
      <c r="BX90" s="250">
        <f t="shared" si="29"/>
        <v>0</v>
      </c>
      <c r="BY90" s="779">
        <f>BZ17</f>
        <v>-123959168.60779811</v>
      </c>
      <c r="BZ90" s="768"/>
      <c r="CA90" s="226"/>
      <c r="CB90" s="226"/>
      <c r="CC90" s="226"/>
    </row>
    <row r="91" spans="1:81" hidden="1" outlineLevel="1">
      <c r="A91" s="603"/>
      <c r="B91" s="787"/>
      <c r="C91" s="253" t="s">
        <v>327</v>
      </c>
      <c r="D91" s="254" t="s">
        <v>270</v>
      </c>
      <c r="E91" s="255"/>
      <c r="F91" s="255"/>
      <c r="G91" s="255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5"/>
      <c r="V91" s="255"/>
      <c r="W91" s="255"/>
      <c r="X91" s="255"/>
      <c r="Y91" s="255"/>
      <c r="Z91" s="255"/>
      <c r="AA91" s="256">
        <f>-BY5-SUM(L91:Z91)</f>
        <v>-16365002</v>
      </c>
      <c r="AB91" s="255"/>
      <c r="AC91" s="255"/>
      <c r="AD91" s="255"/>
      <c r="AE91" s="255"/>
      <c r="AF91" s="255"/>
      <c r="AG91" s="255"/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6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64"/>
      <c r="BY91" s="296">
        <f t="shared" ref="BY91:BY97" si="30">SUM(E91:BX91)</f>
        <v>-16365002</v>
      </c>
      <c r="BZ91" s="777">
        <f>SUM(BY91:BY97)</f>
        <v>-117231183.33000001</v>
      </c>
      <c r="CA91" s="226"/>
      <c r="CB91" s="226"/>
      <c r="CC91" s="226"/>
    </row>
    <row r="92" spans="1:81" hidden="1" outlineLevel="1">
      <c r="A92" s="253" t="s">
        <v>328</v>
      </c>
      <c r="B92" s="787"/>
      <c r="C92" s="253" t="s">
        <v>329</v>
      </c>
      <c r="D92" s="254" t="s">
        <v>270</v>
      </c>
      <c r="E92" s="255"/>
      <c r="F92" s="255"/>
      <c r="G92" s="255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5"/>
      <c r="V92" s="255"/>
      <c r="W92" s="255"/>
      <c r="X92" s="255"/>
      <c r="Y92" s="255"/>
      <c r="Z92" s="255"/>
      <c r="AA92" s="256">
        <f>-BY6-SUM(E92:Z92)</f>
        <v>-24825000</v>
      </c>
      <c r="AB92" s="255"/>
      <c r="AC92" s="255"/>
      <c r="AD92" s="255"/>
      <c r="AE92" s="255"/>
      <c r="AF92" s="255"/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91">
        <f t="shared" si="30"/>
        <v>-24825000</v>
      </c>
      <c r="BZ92" s="771"/>
      <c r="CA92" s="226"/>
      <c r="CB92" s="226"/>
      <c r="CC92" s="226"/>
    </row>
    <row r="93" spans="1:81" hidden="1" outlineLevel="1">
      <c r="A93" s="253" t="s">
        <v>330</v>
      </c>
      <c r="B93" s="787"/>
      <c r="C93" s="293" t="s">
        <v>328</v>
      </c>
      <c r="D93" s="254" t="s">
        <v>270</v>
      </c>
      <c r="E93" s="255"/>
      <c r="F93" s="255"/>
      <c r="G93" s="255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5"/>
      <c r="V93" s="255"/>
      <c r="W93" s="255"/>
      <c r="X93" s="255"/>
      <c r="Y93" s="255"/>
      <c r="Z93" s="255"/>
      <c r="AA93" s="256">
        <f>-CF7</f>
        <v>0</v>
      </c>
      <c r="AB93" s="255"/>
      <c r="AC93" s="255"/>
      <c r="AD93" s="255"/>
      <c r="AE93" s="255"/>
      <c r="AF93" s="255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5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91">
        <f t="shared" si="30"/>
        <v>0</v>
      </c>
      <c r="BZ93" s="771"/>
      <c r="CA93" s="226"/>
      <c r="CB93" s="226"/>
      <c r="CC93" s="226"/>
    </row>
    <row r="94" spans="1:81" hidden="1" outlineLevel="1">
      <c r="A94" s="603"/>
      <c r="B94" s="787"/>
      <c r="C94" s="292" t="s">
        <v>330</v>
      </c>
      <c r="D94" s="254" t="s">
        <v>270</v>
      </c>
      <c r="E94" s="255"/>
      <c r="F94" s="255"/>
      <c r="G94" s="255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91">
        <f t="shared" si="30"/>
        <v>0</v>
      </c>
      <c r="BZ94" s="771"/>
      <c r="CA94" s="226"/>
      <c r="CB94" s="226"/>
      <c r="CC94" s="226"/>
    </row>
    <row r="95" spans="1:81" hidden="1" outlineLevel="1">
      <c r="A95" s="603"/>
      <c r="B95" s="787"/>
      <c r="C95" s="253" t="s">
        <v>331</v>
      </c>
      <c r="D95" s="254" t="s">
        <v>270</v>
      </c>
      <c r="E95" s="255"/>
      <c r="F95" s="255"/>
      <c r="G95" s="255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6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64"/>
      <c r="BY95" s="291">
        <f t="shared" si="30"/>
        <v>0</v>
      </c>
      <c r="BZ95" s="771"/>
      <c r="CA95" s="226"/>
      <c r="CB95" s="226"/>
      <c r="CC95" s="226"/>
    </row>
    <row r="96" spans="1:81" hidden="1" outlineLevel="1">
      <c r="A96" s="603"/>
      <c r="B96" s="787"/>
      <c r="C96" s="253" t="s">
        <v>332</v>
      </c>
      <c r="D96" s="254" t="s">
        <v>270</v>
      </c>
      <c r="E96" s="255"/>
      <c r="F96" s="255"/>
      <c r="G96" s="255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5"/>
      <c r="V96" s="255"/>
      <c r="W96" s="255"/>
      <c r="X96" s="255"/>
      <c r="Y96" s="255"/>
      <c r="Z96" s="255"/>
      <c r="AA96" s="255">
        <f>-BY10-BY9</f>
        <v>-24718750</v>
      </c>
      <c r="AB96" s="255"/>
      <c r="AC96" s="255"/>
      <c r="AD96" s="255"/>
      <c r="AE96" s="255"/>
      <c r="AF96" s="255"/>
      <c r="AG96" s="255"/>
      <c r="AH96" s="255"/>
      <c r="AI96" s="255"/>
      <c r="AJ96" s="255"/>
      <c r="AK96" s="255"/>
      <c r="AL96" s="255"/>
      <c r="AM96" s="255"/>
      <c r="AN96" s="255"/>
      <c r="AO96" s="255"/>
      <c r="AP96" s="255"/>
      <c r="AQ96" s="255"/>
      <c r="AR96" s="255"/>
      <c r="AS96" s="255"/>
      <c r="AT96" s="255"/>
      <c r="AU96" s="255"/>
      <c r="AV96" s="255"/>
      <c r="AW96" s="255"/>
      <c r="AX96" s="255"/>
      <c r="AY96" s="255"/>
      <c r="AZ96" s="255"/>
      <c r="BA96" s="255"/>
      <c r="BB96" s="255"/>
      <c r="BC96" s="256"/>
      <c r="BD96" s="255"/>
      <c r="BE96" s="255"/>
      <c r="BF96" s="255"/>
      <c r="BG96" s="255"/>
      <c r="BH96" s="255"/>
      <c r="BI96" s="255"/>
      <c r="BJ96" s="255"/>
      <c r="BK96" s="255"/>
      <c r="BL96" s="255"/>
      <c r="BM96" s="255"/>
      <c r="BN96" s="255"/>
      <c r="BO96" s="255"/>
      <c r="BP96" s="255"/>
      <c r="BQ96" s="255"/>
      <c r="BR96" s="255"/>
      <c r="BS96" s="255"/>
      <c r="BT96" s="255"/>
      <c r="BU96" s="255"/>
      <c r="BV96" s="255"/>
      <c r="BW96" s="255"/>
      <c r="BX96" s="264"/>
      <c r="BY96" s="298">
        <f t="shared" si="30"/>
        <v>-24718750</v>
      </c>
      <c r="BZ96" s="771"/>
      <c r="CA96" s="226"/>
      <c r="CB96" s="226"/>
      <c r="CC96" s="226"/>
    </row>
    <row r="97" spans="1:81" hidden="1" outlineLevel="1">
      <c r="A97" s="603"/>
      <c r="B97" s="781"/>
      <c r="C97" s="284" t="s">
        <v>333</v>
      </c>
      <c r="D97" s="299" t="s">
        <v>270</v>
      </c>
      <c r="E97" s="286"/>
      <c r="F97" s="286"/>
      <c r="G97" s="286"/>
      <c r="H97" s="287"/>
      <c r="I97" s="287"/>
      <c r="J97" s="287"/>
      <c r="K97" s="287"/>
      <c r="L97" s="287"/>
      <c r="M97" s="287"/>
      <c r="N97" s="287"/>
      <c r="O97" s="287"/>
      <c r="P97" s="287"/>
      <c r="Q97" s="287">
        <f>-7000000</f>
        <v>-7000000</v>
      </c>
      <c r="R97" s="287">
        <v>-54993</v>
      </c>
      <c r="S97" s="287">
        <f t="shared" ref="S97:Z97" si="31">(PMT($D$62/12,25*12,$BY11-7000000)-S62)</f>
        <v>-54714.208275311074</v>
      </c>
      <c r="T97" s="287">
        <f t="shared" si="31"/>
        <v>-54714.208275311074</v>
      </c>
      <c r="U97" s="287">
        <f t="shared" si="31"/>
        <v>-54714.208275311074</v>
      </c>
      <c r="V97" s="287">
        <f t="shared" si="31"/>
        <v>-54714.208275311074</v>
      </c>
      <c r="W97" s="287">
        <f t="shared" si="31"/>
        <v>-54714.208275311074</v>
      </c>
      <c r="X97" s="287">
        <f t="shared" si="31"/>
        <v>-54714.208275311074</v>
      </c>
      <c r="Y97" s="287">
        <f t="shared" si="31"/>
        <v>-54714.208275311074</v>
      </c>
      <c r="Z97" s="287">
        <f t="shared" si="31"/>
        <v>-54714.208275311074</v>
      </c>
      <c r="AA97" s="287">
        <f>-$BY$11-SUM($P$97:Z97)</f>
        <v>-43829724.66379752</v>
      </c>
      <c r="AB97" s="286"/>
      <c r="AC97" s="286"/>
      <c r="AD97" s="286"/>
      <c r="AE97" s="286"/>
      <c r="AF97" s="286"/>
      <c r="AG97" s="286"/>
      <c r="AH97" s="286"/>
      <c r="AI97" s="286"/>
      <c r="AJ97" s="286"/>
      <c r="AK97" s="286"/>
      <c r="AL97" s="286"/>
      <c r="AM97" s="286"/>
      <c r="AN97" s="286"/>
      <c r="AO97" s="286"/>
      <c r="AP97" s="286"/>
      <c r="AQ97" s="286"/>
      <c r="AR97" s="286"/>
      <c r="AS97" s="286"/>
      <c r="AT97" s="286"/>
      <c r="AU97" s="286"/>
      <c r="AV97" s="286"/>
      <c r="AW97" s="286"/>
      <c r="AX97" s="286"/>
      <c r="AY97" s="286"/>
      <c r="AZ97" s="286"/>
      <c r="BA97" s="286"/>
      <c r="BB97" s="286"/>
      <c r="BC97" s="286"/>
      <c r="BD97" s="286"/>
      <c r="BE97" s="286"/>
      <c r="BF97" s="286"/>
      <c r="BG97" s="286"/>
      <c r="BH97" s="286"/>
      <c r="BI97" s="286"/>
      <c r="BJ97" s="286"/>
      <c r="BK97" s="286"/>
      <c r="BL97" s="286"/>
      <c r="BM97" s="286"/>
      <c r="BN97" s="286"/>
      <c r="BO97" s="286"/>
      <c r="BP97" s="286"/>
      <c r="BQ97" s="286"/>
      <c r="BR97" s="286"/>
      <c r="BS97" s="286"/>
      <c r="BT97" s="286"/>
      <c r="BU97" s="286"/>
      <c r="BV97" s="286"/>
      <c r="BW97" s="286"/>
      <c r="BX97" s="288"/>
      <c r="BY97" s="268">
        <f t="shared" si="30"/>
        <v>-51322431.330000006</v>
      </c>
      <c r="BZ97" s="776"/>
      <c r="CA97" s="226"/>
      <c r="CB97" s="226"/>
      <c r="CC97" s="226"/>
    </row>
    <row r="98" spans="1:81" ht="16">
      <c r="A98" s="603"/>
      <c r="B98" s="790" t="s">
        <v>334</v>
      </c>
      <c r="C98" s="774"/>
      <c r="D98" s="300" t="s">
        <v>270</v>
      </c>
      <c r="E98" s="301">
        <f t="shared" ref="E98:BX98" si="32">(E17+E23+E26+E34+E37+E49+E55+E63+E87+E90)</f>
        <v>0</v>
      </c>
      <c r="F98" s="301">
        <f t="shared" si="32"/>
        <v>0</v>
      </c>
      <c r="G98" s="301">
        <f t="shared" si="32"/>
        <v>0</v>
      </c>
      <c r="H98" s="301">
        <f t="shared" si="32"/>
        <v>-10737799.354999999</v>
      </c>
      <c r="I98" s="301">
        <f t="shared" si="32"/>
        <v>-1867696.1950000001</v>
      </c>
      <c r="J98" s="301">
        <f t="shared" si="32"/>
        <v>-1817623.665</v>
      </c>
      <c r="K98" s="301">
        <f t="shared" si="32"/>
        <v>-902873.87700000009</v>
      </c>
      <c r="L98" s="301">
        <f t="shared" si="32"/>
        <v>-5038194.0799999991</v>
      </c>
      <c r="M98" s="301">
        <f t="shared" si="32"/>
        <v>-10761502.959999999</v>
      </c>
      <c r="N98" s="301">
        <f t="shared" si="32"/>
        <v>-20069846.199999999</v>
      </c>
      <c r="O98" s="301">
        <f t="shared" si="32"/>
        <v>-9758870.4799999986</v>
      </c>
      <c r="P98" s="301">
        <f t="shared" si="32"/>
        <v>-12889323.373000002</v>
      </c>
      <c r="Q98" s="301">
        <f t="shared" si="32"/>
        <v>-10518924.400999999</v>
      </c>
      <c r="R98" s="301">
        <f t="shared" si="32"/>
        <v>-2998503.4453625004</v>
      </c>
      <c r="S98" s="301">
        <f t="shared" si="32"/>
        <v>-1600584.0857169777</v>
      </c>
      <c r="T98" s="301">
        <f t="shared" si="32"/>
        <v>-6575911.9586378103</v>
      </c>
      <c r="U98" s="301">
        <f t="shared" si="32"/>
        <v>-5688165.0336378105</v>
      </c>
      <c r="V98" s="301">
        <f t="shared" si="32"/>
        <v>-5708565.0336378105</v>
      </c>
      <c r="W98" s="301">
        <f t="shared" si="32"/>
        <v>-5739165.0336378105</v>
      </c>
      <c r="X98" s="301">
        <f t="shared" si="32"/>
        <v>-5770275.0336378105</v>
      </c>
      <c r="Y98" s="301">
        <f t="shared" si="32"/>
        <v>-5802405.0336378105</v>
      </c>
      <c r="Z98" s="301">
        <f t="shared" si="32"/>
        <v>-1060144.2647794778</v>
      </c>
      <c r="AA98" s="301">
        <f t="shared" si="32"/>
        <v>-115419459.42911229</v>
      </c>
      <c r="AB98" s="301">
        <f t="shared" si="32"/>
        <v>0</v>
      </c>
      <c r="AC98" s="301">
        <f t="shared" si="32"/>
        <v>0</v>
      </c>
      <c r="AD98" s="301">
        <f t="shared" si="32"/>
        <v>0</v>
      </c>
      <c r="AE98" s="301">
        <f t="shared" si="32"/>
        <v>0</v>
      </c>
      <c r="AF98" s="301">
        <f t="shared" si="32"/>
        <v>0</v>
      </c>
      <c r="AG98" s="301">
        <f t="shared" si="32"/>
        <v>0</v>
      </c>
      <c r="AH98" s="301">
        <f t="shared" si="32"/>
        <v>0</v>
      </c>
      <c r="AI98" s="301">
        <f t="shared" si="32"/>
        <v>0</v>
      </c>
      <c r="AJ98" s="301">
        <f t="shared" si="32"/>
        <v>0</v>
      </c>
      <c r="AK98" s="301">
        <f t="shared" si="32"/>
        <v>0</v>
      </c>
      <c r="AL98" s="301">
        <f t="shared" si="32"/>
        <v>0</v>
      </c>
      <c r="AM98" s="301">
        <f t="shared" si="32"/>
        <v>0</v>
      </c>
      <c r="AN98" s="301">
        <f t="shared" si="32"/>
        <v>0</v>
      </c>
      <c r="AO98" s="301">
        <f t="shared" si="32"/>
        <v>0</v>
      </c>
      <c r="AP98" s="301">
        <f t="shared" si="32"/>
        <v>0</v>
      </c>
      <c r="AQ98" s="301">
        <f t="shared" si="32"/>
        <v>0</v>
      </c>
      <c r="AR98" s="301">
        <f t="shared" si="32"/>
        <v>0</v>
      </c>
      <c r="AS98" s="301">
        <f t="shared" si="32"/>
        <v>0</v>
      </c>
      <c r="AT98" s="301">
        <f t="shared" si="32"/>
        <v>0</v>
      </c>
      <c r="AU98" s="301">
        <f t="shared" si="32"/>
        <v>0</v>
      </c>
      <c r="AV98" s="301">
        <f t="shared" si="32"/>
        <v>0</v>
      </c>
      <c r="AW98" s="301">
        <f t="shared" si="32"/>
        <v>0</v>
      </c>
      <c r="AX98" s="301">
        <f t="shared" si="32"/>
        <v>0</v>
      </c>
      <c r="AY98" s="301">
        <f t="shared" si="32"/>
        <v>0</v>
      </c>
      <c r="AZ98" s="301">
        <f t="shared" si="32"/>
        <v>0</v>
      </c>
      <c r="BA98" s="301">
        <f t="shared" si="32"/>
        <v>0</v>
      </c>
      <c r="BB98" s="301">
        <f t="shared" si="32"/>
        <v>0</v>
      </c>
      <c r="BC98" s="301">
        <f t="shared" si="32"/>
        <v>0</v>
      </c>
      <c r="BD98" s="301">
        <f t="shared" si="32"/>
        <v>0</v>
      </c>
      <c r="BE98" s="301">
        <f t="shared" si="32"/>
        <v>0</v>
      </c>
      <c r="BF98" s="301">
        <f t="shared" si="32"/>
        <v>0</v>
      </c>
      <c r="BG98" s="301">
        <f t="shared" si="32"/>
        <v>0</v>
      </c>
      <c r="BH98" s="301">
        <f t="shared" si="32"/>
        <v>0</v>
      </c>
      <c r="BI98" s="301">
        <f t="shared" si="32"/>
        <v>0</v>
      </c>
      <c r="BJ98" s="301">
        <f t="shared" si="32"/>
        <v>0</v>
      </c>
      <c r="BK98" s="301">
        <f t="shared" si="32"/>
        <v>0</v>
      </c>
      <c r="BL98" s="301">
        <f t="shared" si="32"/>
        <v>0</v>
      </c>
      <c r="BM98" s="301">
        <f t="shared" si="32"/>
        <v>0</v>
      </c>
      <c r="BN98" s="301">
        <f t="shared" si="32"/>
        <v>0</v>
      </c>
      <c r="BO98" s="301">
        <f t="shared" si="32"/>
        <v>0</v>
      </c>
      <c r="BP98" s="301">
        <f t="shared" si="32"/>
        <v>0</v>
      </c>
      <c r="BQ98" s="301">
        <f t="shared" si="32"/>
        <v>0</v>
      </c>
      <c r="BR98" s="301">
        <f t="shared" si="32"/>
        <v>0</v>
      </c>
      <c r="BS98" s="301">
        <f t="shared" si="32"/>
        <v>0</v>
      </c>
      <c r="BT98" s="301">
        <f t="shared" si="32"/>
        <v>0</v>
      </c>
      <c r="BU98" s="301">
        <f t="shared" si="32"/>
        <v>0</v>
      </c>
      <c r="BV98" s="301">
        <f t="shared" si="32"/>
        <v>0</v>
      </c>
      <c r="BW98" s="301">
        <f t="shared" si="32"/>
        <v>0</v>
      </c>
      <c r="BX98" s="301">
        <f t="shared" si="32"/>
        <v>0</v>
      </c>
      <c r="BY98" s="780">
        <f>BZ91</f>
        <v>-117231183.33000001</v>
      </c>
      <c r="BZ98" s="781"/>
      <c r="CA98" s="226"/>
      <c r="CB98" s="226"/>
      <c r="CC98" s="226"/>
    </row>
    <row r="99" spans="1:81" ht="16">
      <c r="A99" s="603"/>
      <c r="B99" s="605"/>
      <c r="C99" s="605"/>
      <c r="D99" s="302"/>
      <c r="E99" s="303"/>
      <c r="F99" s="303"/>
      <c r="G99" s="303"/>
      <c r="H99" s="303">
        <f>H98</f>
        <v>-10737799.354999999</v>
      </c>
      <c r="I99" s="303">
        <f t="shared" ref="I99:N99" si="33">H99+I98</f>
        <v>-12605495.549999999</v>
      </c>
      <c r="J99" s="303">
        <f t="shared" si="33"/>
        <v>-14423119.215</v>
      </c>
      <c r="K99" s="303">
        <f t="shared" si="33"/>
        <v>-15325993.092</v>
      </c>
      <c r="L99" s="303">
        <f t="shared" si="33"/>
        <v>-20364187.171999998</v>
      </c>
      <c r="M99" s="303">
        <f t="shared" si="33"/>
        <v>-31125690.131999999</v>
      </c>
      <c r="N99" s="303">
        <f t="shared" si="33"/>
        <v>-51195536.332000002</v>
      </c>
      <c r="O99" s="304"/>
      <c r="P99" s="304"/>
      <c r="Q99" s="304"/>
      <c r="R99" s="304"/>
      <c r="S99" s="304"/>
      <c r="T99" s="304"/>
      <c r="U99" s="303"/>
      <c r="V99" s="303"/>
      <c r="W99" s="303"/>
      <c r="X99" s="304"/>
      <c r="Y99" s="304"/>
      <c r="Z99" s="304"/>
      <c r="AA99" s="304"/>
      <c r="AB99" s="304"/>
      <c r="AC99" s="303"/>
      <c r="AD99" s="304"/>
      <c r="AE99" s="304"/>
      <c r="AF99" s="304"/>
      <c r="AG99" s="304"/>
      <c r="AH99" s="304"/>
      <c r="AI99" s="304"/>
      <c r="AJ99" s="304"/>
      <c r="AK99" s="304"/>
      <c r="AL99" s="304"/>
      <c r="AM99" s="304"/>
      <c r="AN99" s="304"/>
      <c r="AO99" s="303"/>
      <c r="AP99" s="304"/>
      <c r="AQ99" s="304"/>
      <c r="AR99" s="304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  <c r="BJ99" s="303"/>
      <c r="BK99" s="303"/>
      <c r="BL99" s="305"/>
      <c r="BM99" s="305"/>
      <c r="BN99" s="305"/>
      <c r="BO99" s="305"/>
      <c r="BP99" s="305"/>
      <c r="BQ99" s="305"/>
      <c r="BR99" s="305"/>
      <c r="BS99" s="305"/>
      <c r="BT99" s="305"/>
      <c r="BU99" s="305"/>
      <c r="BV99" s="305"/>
      <c r="BW99" s="305"/>
      <c r="BX99" s="305"/>
      <c r="BY99" s="306"/>
      <c r="BZ99" s="306"/>
      <c r="CA99" s="226"/>
      <c r="CB99" s="226"/>
      <c r="CC99" s="226"/>
    </row>
    <row r="100" spans="1:81" ht="16">
      <c r="A100" s="603"/>
      <c r="B100" s="791" t="s">
        <v>335</v>
      </c>
      <c r="C100" s="774"/>
      <c r="D100" s="307"/>
      <c r="E100" s="303">
        <f t="shared" ref="E100:BX100" si="34">E16+E98</f>
        <v>0</v>
      </c>
      <c r="F100" s="303">
        <f t="shared" si="34"/>
        <v>0</v>
      </c>
      <c r="G100" s="303">
        <f t="shared" si="34"/>
        <v>0</v>
      </c>
      <c r="H100" s="303">
        <f t="shared" si="34"/>
        <v>5627202.6450000014</v>
      </c>
      <c r="I100" s="303">
        <f t="shared" si="34"/>
        <v>-1861469.1950000001</v>
      </c>
      <c r="J100" s="303">
        <f t="shared" si="34"/>
        <v>-1803035.665</v>
      </c>
      <c r="K100" s="303">
        <f t="shared" si="34"/>
        <v>439594.12299999991</v>
      </c>
      <c r="L100" s="303">
        <f t="shared" si="34"/>
        <v>-3040677.0799999991</v>
      </c>
      <c r="M100" s="304">
        <f t="shared" si="34"/>
        <v>57291.090000001714</v>
      </c>
      <c r="N100" s="303">
        <f t="shared" si="34"/>
        <v>-75913.25</v>
      </c>
      <c r="O100" s="304">
        <f t="shared" si="34"/>
        <v>32310.750000001863</v>
      </c>
      <c r="P100" s="304">
        <f t="shared" si="34"/>
        <v>72433.306999998167</v>
      </c>
      <c r="Q100" s="304">
        <f t="shared" si="34"/>
        <v>1568038.199000001</v>
      </c>
      <c r="R100" s="304">
        <f t="shared" si="34"/>
        <v>-1426065.2799905995</v>
      </c>
      <c r="S100" s="304">
        <f t="shared" si="34"/>
        <v>758831.92047310481</v>
      </c>
      <c r="T100" s="304">
        <f t="shared" si="34"/>
        <v>922432.0566075407</v>
      </c>
      <c r="U100" s="303">
        <f t="shared" si="34"/>
        <v>1545230.6185799576</v>
      </c>
      <c r="V100" s="303">
        <f t="shared" si="34"/>
        <v>-619553.51091312058</v>
      </c>
      <c r="W100" s="303">
        <f t="shared" si="34"/>
        <v>375335.8657397721</v>
      </c>
      <c r="X100" s="304">
        <f t="shared" si="34"/>
        <v>475335.8657397721</v>
      </c>
      <c r="Y100" s="304">
        <f t="shared" si="34"/>
        <v>675335.8657397721</v>
      </c>
      <c r="Z100" s="304">
        <f t="shared" si="34"/>
        <v>-1006843.3654018953</v>
      </c>
      <c r="AA100" s="304">
        <f t="shared" si="34"/>
        <v>19957539.493858695</v>
      </c>
      <c r="AB100" s="304">
        <f t="shared" si="34"/>
        <v>0</v>
      </c>
      <c r="AC100" s="303">
        <f t="shared" si="34"/>
        <v>0</v>
      </c>
      <c r="AD100" s="304">
        <f t="shared" si="34"/>
        <v>0</v>
      </c>
      <c r="AE100" s="304">
        <f t="shared" si="34"/>
        <v>0</v>
      </c>
      <c r="AF100" s="304">
        <f t="shared" si="34"/>
        <v>0</v>
      </c>
      <c r="AG100" s="304">
        <f t="shared" si="34"/>
        <v>0</v>
      </c>
      <c r="AH100" s="304">
        <f t="shared" si="34"/>
        <v>0</v>
      </c>
      <c r="AI100" s="304">
        <f t="shared" si="34"/>
        <v>0</v>
      </c>
      <c r="AJ100" s="304">
        <f t="shared" si="34"/>
        <v>0</v>
      </c>
      <c r="AK100" s="304">
        <f t="shared" si="34"/>
        <v>0</v>
      </c>
      <c r="AL100" s="304">
        <f t="shared" si="34"/>
        <v>0</v>
      </c>
      <c r="AM100" s="304">
        <f t="shared" si="34"/>
        <v>0</v>
      </c>
      <c r="AN100" s="304">
        <f t="shared" si="34"/>
        <v>0</v>
      </c>
      <c r="AO100" s="303">
        <f t="shared" si="34"/>
        <v>0</v>
      </c>
      <c r="AP100" s="304">
        <f t="shared" si="34"/>
        <v>0</v>
      </c>
      <c r="AQ100" s="304">
        <f t="shared" si="34"/>
        <v>0</v>
      </c>
      <c r="AR100" s="304">
        <f t="shared" si="34"/>
        <v>0</v>
      </c>
      <c r="AS100" s="303">
        <f t="shared" si="34"/>
        <v>0</v>
      </c>
      <c r="AT100" s="303">
        <f t="shared" si="34"/>
        <v>0</v>
      </c>
      <c r="AU100" s="303">
        <f t="shared" si="34"/>
        <v>0</v>
      </c>
      <c r="AV100" s="303">
        <f t="shared" si="34"/>
        <v>0</v>
      </c>
      <c r="AW100" s="303">
        <f t="shared" si="34"/>
        <v>0</v>
      </c>
      <c r="AX100" s="303">
        <f t="shared" si="34"/>
        <v>0</v>
      </c>
      <c r="AY100" s="303">
        <f t="shared" si="34"/>
        <v>0</v>
      </c>
      <c r="AZ100" s="303">
        <f t="shared" si="34"/>
        <v>0</v>
      </c>
      <c r="BA100" s="303">
        <f t="shared" si="34"/>
        <v>0</v>
      </c>
      <c r="BB100" s="303">
        <f t="shared" si="34"/>
        <v>0</v>
      </c>
      <c r="BC100" s="303">
        <f t="shared" si="34"/>
        <v>0</v>
      </c>
      <c r="BD100" s="303">
        <f t="shared" si="34"/>
        <v>0</v>
      </c>
      <c r="BE100" s="303">
        <f t="shared" si="34"/>
        <v>0</v>
      </c>
      <c r="BF100" s="303">
        <f t="shared" si="34"/>
        <v>0</v>
      </c>
      <c r="BG100" s="303">
        <f t="shared" si="34"/>
        <v>0</v>
      </c>
      <c r="BH100" s="303">
        <f t="shared" si="34"/>
        <v>0</v>
      </c>
      <c r="BI100" s="303">
        <f t="shared" si="34"/>
        <v>0</v>
      </c>
      <c r="BJ100" s="303">
        <f t="shared" si="34"/>
        <v>0</v>
      </c>
      <c r="BK100" s="303">
        <f t="shared" si="34"/>
        <v>0</v>
      </c>
      <c r="BL100" s="308">
        <f t="shared" si="34"/>
        <v>0</v>
      </c>
      <c r="BM100" s="308">
        <f t="shared" si="34"/>
        <v>0</v>
      </c>
      <c r="BN100" s="308">
        <f t="shared" si="34"/>
        <v>0</v>
      </c>
      <c r="BO100" s="308">
        <f t="shared" si="34"/>
        <v>0</v>
      </c>
      <c r="BP100" s="308">
        <f t="shared" si="34"/>
        <v>0</v>
      </c>
      <c r="BQ100" s="308">
        <f t="shared" si="34"/>
        <v>0</v>
      </c>
      <c r="BR100" s="308">
        <f t="shared" si="34"/>
        <v>0</v>
      </c>
      <c r="BS100" s="308">
        <f t="shared" si="34"/>
        <v>0</v>
      </c>
      <c r="BT100" s="308">
        <f t="shared" si="34"/>
        <v>0</v>
      </c>
      <c r="BU100" s="308">
        <f t="shared" si="34"/>
        <v>0</v>
      </c>
      <c r="BV100" s="308">
        <f t="shared" si="34"/>
        <v>0</v>
      </c>
      <c r="BW100" s="308">
        <f t="shared" si="34"/>
        <v>0</v>
      </c>
      <c r="BX100" s="308">
        <f t="shared" si="34"/>
        <v>0</v>
      </c>
      <c r="BY100" s="782">
        <f>BY16+BY90+BY98</f>
        <v>22208835.454432994</v>
      </c>
      <c r="BZ100" s="783"/>
      <c r="CA100" s="226"/>
      <c r="CB100" s="226"/>
      <c r="CC100" s="226"/>
    </row>
    <row r="101" spans="1:81">
      <c r="A101" s="603"/>
      <c r="B101" s="792" t="s">
        <v>336</v>
      </c>
      <c r="C101" s="774"/>
      <c r="D101" s="309"/>
      <c r="E101" s="310">
        <f>E100</f>
        <v>0</v>
      </c>
      <c r="F101" s="310">
        <f>F100+E101</f>
        <v>0</v>
      </c>
      <c r="G101" s="310">
        <f>655760.63+24.98*24.5-16.85*22</f>
        <v>656001.94000000006</v>
      </c>
      <c r="H101" s="310">
        <f>H100+G101-66</f>
        <v>6283138.5850000018</v>
      </c>
      <c r="I101" s="310">
        <f t="shared" ref="I101:BX101" si="35">I100+H101</f>
        <v>4421669.3900000015</v>
      </c>
      <c r="J101" s="310">
        <f t="shared" si="35"/>
        <v>2618633.7250000015</v>
      </c>
      <c r="K101" s="310">
        <f t="shared" si="35"/>
        <v>3058227.8480000012</v>
      </c>
      <c r="L101" s="310">
        <f t="shared" si="35"/>
        <v>17550.768000002019</v>
      </c>
      <c r="M101" s="310">
        <f t="shared" si="35"/>
        <v>74841.858000003733</v>
      </c>
      <c r="N101" s="310">
        <f t="shared" si="35"/>
        <v>-1071.3919999962673</v>
      </c>
      <c r="O101" s="310">
        <f t="shared" si="35"/>
        <v>31239.358000005595</v>
      </c>
      <c r="P101" s="310">
        <f t="shared" si="35"/>
        <v>103672.66500000376</v>
      </c>
      <c r="Q101" s="310">
        <f t="shared" si="35"/>
        <v>1671710.8640000047</v>
      </c>
      <c r="R101" s="310">
        <f t="shared" si="35"/>
        <v>245645.58400940523</v>
      </c>
      <c r="S101" s="310">
        <f t="shared" si="35"/>
        <v>1004477.50448251</v>
      </c>
      <c r="T101" s="310">
        <f t="shared" si="35"/>
        <v>1926909.5610900507</v>
      </c>
      <c r="U101" s="310">
        <f t="shared" si="35"/>
        <v>3472140.1796700084</v>
      </c>
      <c r="V101" s="310">
        <f t="shared" si="35"/>
        <v>2852586.6687568878</v>
      </c>
      <c r="W101" s="310">
        <f t="shared" si="35"/>
        <v>3227922.5344966599</v>
      </c>
      <c r="X101" s="310">
        <f t="shared" si="35"/>
        <v>3703258.400236432</v>
      </c>
      <c r="Y101" s="310">
        <f t="shared" si="35"/>
        <v>4378594.2659762036</v>
      </c>
      <c r="Z101" s="310">
        <f t="shared" si="35"/>
        <v>3371750.9005743084</v>
      </c>
      <c r="AA101" s="310">
        <f t="shared" si="35"/>
        <v>23329290.394433003</v>
      </c>
      <c r="AB101" s="310">
        <f t="shared" si="35"/>
        <v>23329290.394433003</v>
      </c>
      <c r="AC101" s="310">
        <f t="shared" si="35"/>
        <v>23329290.394433003</v>
      </c>
      <c r="AD101" s="310">
        <f t="shared" si="35"/>
        <v>23329290.394433003</v>
      </c>
      <c r="AE101" s="310">
        <f t="shared" si="35"/>
        <v>23329290.394433003</v>
      </c>
      <c r="AF101" s="310">
        <f t="shared" si="35"/>
        <v>23329290.394433003</v>
      </c>
      <c r="AG101" s="310">
        <f t="shared" si="35"/>
        <v>23329290.394433003</v>
      </c>
      <c r="AH101" s="310">
        <f t="shared" si="35"/>
        <v>23329290.394433003</v>
      </c>
      <c r="AI101" s="310">
        <f t="shared" si="35"/>
        <v>23329290.394433003</v>
      </c>
      <c r="AJ101" s="310">
        <f t="shared" si="35"/>
        <v>23329290.394433003</v>
      </c>
      <c r="AK101" s="310">
        <f t="shared" si="35"/>
        <v>23329290.394433003</v>
      </c>
      <c r="AL101" s="310">
        <f t="shared" si="35"/>
        <v>23329290.394433003</v>
      </c>
      <c r="AM101" s="310">
        <f t="shared" si="35"/>
        <v>23329290.394433003</v>
      </c>
      <c r="AN101" s="310">
        <f t="shared" si="35"/>
        <v>23329290.394433003</v>
      </c>
      <c r="AO101" s="310">
        <f t="shared" si="35"/>
        <v>23329290.394433003</v>
      </c>
      <c r="AP101" s="310">
        <f t="shared" si="35"/>
        <v>23329290.394433003</v>
      </c>
      <c r="AQ101" s="310">
        <f t="shared" si="35"/>
        <v>23329290.394433003</v>
      </c>
      <c r="AR101" s="310">
        <f t="shared" si="35"/>
        <v>23329290.394433003</v>
      </c>
      <c r="AS101" s="310">
        <f t="shared" si="35"/>
        <v>23329290.394433003</v>
      </c>
      <c r="AT101" s="310">
        <f t="shared" si="35"/>
        <v>23329290.394433003</v>
      </c>
      <c r="AU101" s="310">
        <f t="shared" si="35"/>
        <v>23329290.394433003</v>
      </c>
      <c r="AV101" s="310">
        <f t="shared" si="35"/>
        <v>23329290.394433003</v>
      </c>
      <c r="AW101" s="310">
        <f t="shared" si="35"/>
        <v>23329290.394433003</v>
      </c>
      <c r="AX101" s="310">
        <f t="shared" si="35"/>
        <v>23329290.394433003</v>
      </c>
      <c r="AY101" s="310">
        <f t="shared" si="35"/>
        <v>23329290.394433003</v>
      </c>
      <c r="AZ101" s="310">
        <f t="shared" si="35"/>
        <v>23329290.394433003</v>
      </c>
      <c r="BA101" s="310">
        <f t="shared" si="35"/>
        <v>23329290.394433003</v>
      </c>
      <c r="BB101" s="310">
        <f t="shared" si="35"/>
        <v>23329290.394433003</v>
      </c>
      <c r="BC101" s="310">
        <f t="shared" si="35"/>
        <v>23329290.394433003</v>
      </c>
      <c r="BD101" s="310">
        <f t="shared" si="35"/>
        <v>23329290.394433003</v>
      </c>
      <c r="BE101" s="310">
        <f t="shared" si="35"/>
        <v>23329290.394433003</v>
      </c>
      <c r="BF101" s="310">
        <f t="shared" si="35"/>
        <v>23329290.394433003</v>
      </c>
      <c r="BG101" s="310">
        <f t="shared" si="35"/>
        <v>23329290.394433003</v>
      </c>
      <c r="BH101" s="310">
        <f t="shared" si="35"/>
        <v>23329290.394433003</v>
      </c>
      <c r="BI101" s="310">
        <f t="shared" si="35"/>
        <v>23329290.394433003</v>
      </c>
      <c r="BJ101" s="310">
        <f t="shared" si="35"/>
        <v>23329290.394433003</v>
      </c>
      <c r="BK101" s="310">
        <f t="shared" si="35"/>
        <v>23329290.394433003</v>
      </c>
      <c r="BL101" s="310">
        <f t="shared" si="35"/>
        <v>23329290.394433003</v>
      </c>
      <c r="BM101" s="310">
        <f t="shared" si="35"/>
        <v>23329290.394433003</v>
      </c>
      <c r="BN101" s="310">
        <f t="shared" si="35"/>
        <v>23329290.394433003</v>
      </c>
      <c r="BO101" s="310">
        <f t="shared" si="35"/>
        <v>23329290.394433003</v>
      </c>
      <c r="BP101" s="310">
        <f t="shared" si="35"/>
        <v>23329290.394433003</v>
      </c>
      <c r="BQ101" s="310">
        <f t="shared" si="35"/>
        <v>23329290.394433003</v>
      </c>
      <c r="BR101" s="310">
        <f t="shared" si="35"/>
        <v>23329290.394433003</v>
      </c>
      <c r="BS101" s="310">
        <f t="shared" si="35"/>
        <v>23329290.394433003</v>
      </c>
      <c r="BT101" s="310">
        <f t="shared" si="35"/>
        <v>23329290.394433003</v>
      </c>
      <c r="BU101" s="310">
        <f t="shared" si="35"/>
        <v>23329290.394433003</v>
      </c>
      <c r="BV101" s="310">
        <f t="shared" si="35"/>
        <v>23329290.394433003</v>
      </c>
      <c r="BW101" s="310">
        <f t="shared" si="35"/>
        <v>23329290.394433003</v>
      </c>
      <c r="BX101" s="310">
        <f t="shared" si="35"/>
        <v>23329290.394433003</v>
      </c>
      <c r="BY101" s="226"/>
      <c r="BZ101" s="226"/>
      <c r="CA101" s="226"/>
      <c r="CB101" s="226"/>
      <c r="CC101" s="226"/>
    </row>
    <row r="102" spans="1:81">
      <c r="A102" s="226"/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6">
        <f>Z101+SUM('Cash-flow 04.02.2025'!R12:Z12)</f>
        <v>9505211.4145743065</v>
      </c>
      <c r="AA102" s="226">
        <f>SUM('Cash-flow 04.02.2025'!R14:Z14)-SUM(R14:Z14)</f>
        <v>-639010.26839999994</v>
      </c>
      <c r="AB102" s="226"/>
      <c r="AC102" s="226"/>
      <c r="AD102" s="226"/>
      <c r="AE102" s="226"/>
      <c r="AF102" s="226"/>
      <c r="AG102" s="226"/>
      <c r="AH102" s="226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6"/>
      <c r="AT102" s="226"/>
      <c r="AU102" s="226"/>
      <c r="AV102" s="226"/>
      <c r="AW102" s="226"/>
      <c r="AX102" s="226"/>
      <c r="AY102" s="226"/>
      <c r="AZ102" s="226"/>
      <c r="BA102" s="226"/>
      <c r="BB102" s="226"/>
      <c r="BC102" s="226"/>
      <c r="BD102" s="226"/>
      <c r="BE102" s="226"/>
      <c r="BF102" s="226"/>
      <c r="BG102" s="226"/>
      <c r="BH102" s="226"/>
      <c r="BI102" s="226"/>
      <c r="BJ102" s="226"/>
      <c r="BK102" s="226"/>
      <c r="BL102" s="226"/>
      <c r="BM102" s="226"/>
      <c r="BN102" s="226"/>
      <c r="BO102" s="226"/>
      <c r="BP102" s="226"/>
      <c r="BQ102" s="226"/>
      <c r="BR102" s="226"/>
      <c r="BS102" s="226"/>
      <c r="BT102" s="226"/>
      <c r="BU102" s="226"/>
      <c r="BV102" s="226"/>
      <c r="BW102" s="226"/>
      <c r="BX102" s="226"/>
      <c r="BY102" s="311"/>
      <c r="BZ102" s="226">
        <f>T101-8333333</f>
        <v>-6406423.4389099497</v>
      </c>
      <c r="CA102" s="226"/>
      <c r="CB102" s="226"/>
      <c r="CC102" s="226"/>
    </row>
    <row r="103" spans="1:81" hidden="1">
      <c r="A103" s="226"/>
      <c r="B103" s="226"/>
      <c r="C103" s="226"/>
      <c r="D103" s="312" t="s">
        <v>337</v>
      </c>
      <c r="E103" s="312"/>
      <c r="F103" s="312"/>
      <c r="G103" s="312"/>
      <c r="H103" s="312"/>
      <c r="I103" s="312"/>
      <c r="J103" s="312"/>
      <c r="K103" s="312"/>
      <c r="L103" s="312"/>
      <c r="M103" s="312"/>
      <c r="N103" s="312"/>
      <c r="O103" s="312"/>
      <c r="P103" s="312"/>
      <c r="Q103" s="312"/>
      <c r="R103" s="312"/>
      <c r="S103" s="312"/>
      <c r="T103" s="312"/>
      <c r="U103" s="312"/>
      <c r="V103" s="313"/>
      <c r="W103" s="313"/>
      <c r="X103" s="313"/>
      <c r="Y103" s="313"/>
      <c r="Z103" s="313"/>
      <c r="AA103" s="313"/>
      <c r="AB103" s="313"/>
      <c r="AC103" s="313"/>
      <c r="AD103" s="313"/>
      <c r="AE103" s="313"/>
      <c r="AF103" s="313"/>
      <c r="AG103" s="313"/>
      <c r="AH103" s="313"/>
      <c r="AI103" s="313"/>
      <c r="AJ103" s="313"/>
      <c r="AK103" s="313"/>
      <c r="AL103" s="313"/>
      <c r="AM103" s="313"/>
      <c r="AN103" s="313"/>
      <c r="AO103" s="313"/>
      <c r="AP103" s="313"/>
      <c r="AQ103" s="313"/>
      <c r="AR103" s="313"/>
      <c r="AS103" s="313"/>
      <c r="AT103" s="313"/>
      <c r="AU103" s="313"/>
      <c r="AV103" s="313"/>
      <c r="AW103" s="313"/>
      <c r="AX103" s="313"/>
      <c r="AY103" s="313"/>
      <c r="AZ103" s="313"/>
      <c r="BA103" s="313"/>
      <c r="BB103" s="313"/>
      <c r="BC103" s="313"/>
      <c r="BD103" s="313"/>
      <c r="BE103" s="313"/>
      <c r="BF103" s="313"/>
      <c r="BG103" s="313"/>
      <c r="BH103" s="313"/>
      <c r="BI103" s="313"/>
      <c r="BJ103" s="313"/>
      <c r="BK103" s="313"/>
      <c r="BL103" s="313"/>
      <c r="BM103" s="313"/>
      <c r="BN103" s="313"/>
      <c r="BO103" s="313"/>
      <c r="BP103" s="313"/>
      <c r="BQ103" s="313"/>
      <c r="BR103" s="313"/>
      <c r="BS103" s="313"/>
      <c r="BT103" s="313"/>
      <c r="BU103" s="313"/>
      <c r="BV103" s="313"/>
      <c r="BW103" s="313"/>
      <c r="BX103" s="313"/>
      <c r="BY103" s="311"/>
      <c r="BZ103" s="226"/>
      <c r="CA103" s="226"/>
      <c r="CB103" s="226"/>
      <c r="CC103" s="226"/>
    </row>
    <row r="104" spans="1:81" hidden="1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6"/>
      <c r="BN104" s="226"/>
      <c r="BO104" s="226"/>
      <c r="BP104" s="226"/>
      <c r="BQ104" s="226"/>
      <c r="BR104" s="226"/>
      <c r="BS104" s="226"/>
      <c r="BT104" s="226"/>
      <c r="BU104" s="226"/>
      <c r="BV104" s="226"/>
      <c r="BW104" s="226"/>
      <c r="BX104" s="226"/>
      <c r="BY104" s="311"/>
      <c r="BZ104" s="226"/>
      <c r="CA104" s="226"/>
      <c r="CB104" s="226"/>
      <c r="CC104" s="226"/>
    </row>
    <row r="105" spans="1:81" hidden="1">
      <c r="A105" s="226"/>
      <c r="B105" s="226"/>
      <c r="C105" s="314" t="s">
        <v>338</v>
      </c>
      <c r="D105" s="315"/>
      <c r="E105" s="316">
        <f>E113+E131+E163+E179</f>
        <v>0</v>
      </c>
      <c r="F105" s="316">
        <f t="shared" ref="F105:BW105" si="36">F113+F179</f>
        <v>0</v>
      </c>
      <c r="G105" s="316">
        <f t="shared" si="36"/>
        <v>0</v>
      </c>
      <c r="H105" s="316">
        <f t="shared" si="36"/>
        <v>-5341205.5</v>
      </c>
      <c r="I105" s="316">
        <f t="shared" si="36"/>
        <v>0</v>
      </c>
      <c r="J105" s="316">
        <f t="shared" si="36"/>
        <v>0</v>
      </c>
      <c r="K105" s="316">
        <f t="shared" si="36"/>
        <v>-885000</v>
      </c>
      <c r="L105" s="316">
        <f t="shared" si="36"/>
        <v>-1940000</v>
      </c>
      <c r="M105" s="316">
        <f t="shared" si="36"/>
        <v>-4260000</v>
      </c>
      <c r="N105" s="316">
        <f t="shared" si="36"/>
        <v>0</v>
      </c>
      <c r="O105" s="316">
        <f t="shared" si="36"/>
        <v>-320000</v>
      </c>
      <c r="P105" s="316">
        <f t="shared" si="36"/>
        <v>-320000</v>
      </c>
      <c r="Q105" s="316">
        <f t="shared" si="36"/>
        <v>0</v>
      </c>
      <c r="R105" s="316">
        <f t="shared" si="36"/>
        <v>-1500000</v>
      </c>
      <c r="S105" s="316">
        <f t="shared" si="36"/>
        <v>-2300000</v>
      </c>
      <c r="T105" s="316">
        <f t="shared" si="36"/>
        <v>-1958794.5</v>
      </c>
      <c r="U105" s="316">
        <f t="shared" si="36"/>
        <v>-5000000</v>
      </c>
      <c r="V105" s="316">
        <f t="shared" si="36"/>
        <v>-1000000</v>
      </c>
      <c r="W105" s="316">
        <f t="shared" si="36"/>
        <v>0</v>
      </c>
      <c r="X105" s="316">
        <f t="shared" si="36"/>
        <v>0</v>
      </c>
      <c r="Y105" s="316">
        <f t="shared" si="36"/>
        <v>0</v>
      </c>
      <c r="Z105" s="316">
        <f t="shared" si="36"/>
        <v>0</v>
      </c>
      <c r="AA105" s="316">
        <f t="shared" si="36"/>
        <v>41190002</v>
      </c>
      <c r="AB105" s="316">
        <f t="shared" si="36"/>
        <v>0</v>
      </c>
      <c r="AC105" s="316">
        <f t="shared" si="36"/>
        <v>0</v>
      </c>
      <c r="AD105" s="316">
        <f t="shared" si="36"/>
        <v>0</v>
      </c>
      <c r="AE105" s="316">
        <f t="shared" si="36"/>
        <v>0</v>
      </c>
      <c r="AF105" s="316">
        <f t="shared" si="36"/>
        <v>0</v>
      </c>
      <c r="AG105" s="316">
        <f t="shared" si="36"/>
        <v>0</v>
      </c>
      <c r="AH105" s="316">
        <f t="shared" si="36"/>
        <v>0</v>
      </c>
      <c r="AI105" s="316">
        <f t="shared" si="36"/>
        <v>0</v>
      </c>
      <c r="AJ105" s="316">
        <f t="shared" si="36"/>
        <v>0</v>
      </c>
      <c r="AK105" s="316">
        <f t="shared" si="36"/>
        <v>0</v>
      </c>
      <c r="AL105" s="316">
        <f t="shared" si="36"/>
        <v>0</v>
      </c>
      <c r="AM105" s="316">
        <f t="shared" si="36"/>
        <v>0</v>
      </c>
      <c r="AN105" s="316">
        <f t="shared" si="36"/>
        <v>0</v>
      </c>
      <c r="AO105" s="316">
        <f t="shared" si="36"/>
        <v>0</v>
      </c>
      <c r="AP105" s="316">
        <f t="shared" si="36"/>
        <v>0</v>
      </c>
      <c r="AQ105" s="316">
        <f t="shared" si="36"/>
        <v>0</v>
      </c>
      <c r="AR105" s="316">
        <f t="shared" si="36"/>
        <v>0</v>
      </c>
      <c r="AS105" s="316">
        <f t="shared" si="36"/>
        <v>0</v>
      </c>
      <c r="AT105" s="316">
        <f t="shared" si="36"/>
        <v>0</v>
      </c>
      <c r="AU105" s="316">
        <f t="shared" si="36"/>
        <v>0</v>
      </c>
      <c r="AV105" s="316">
        <f t="shared" si="36"/>
        <v>0</v>
      </c>
      <c r="AW105" s="316">
        <f t="shared" si="36"/>
        <v>0</v>
      </c>
      <c r="AX105" s="316">
        <f t="shared" si="36"/>
        <v>0</v>
      </c>
      <c r="AY105" s="316">
        <f t="shared" si="36"/>
        <v>0</v>
      </c>
      <c r="AZ105" s="316">
        <f t="shared" si="36"/>
        <v>0</v>
      </c>
      <c r="BA105" s="316">
        <f t="shared" si="36"/>
        <v>0</v>
      </c>
      <c r="BB105" s="316">
        <f t="shared" si="36"/>
        <v>0</v>
      </c>
      <c r="BC105" s="316">
        <f t="shared" si="36"/>
        <v>0</v>
      </c>
      <c r="BD105" s="316">
        <f t="shared" si="36"/>
        <v>0</v>
      </c>
      <c r="BE105" s="316">
        <f t="shared" si="36"/>
        <v>0</v>
      </c>
      <c r="BF105" s="316">
        <f t="shared" si="36"/>
        <v>0</v>
      </c>
      <c r="BG105" s="316">
        <f t="shared" si="36"/>
        <v>0</v>
      </c>
      <c r="BH105" s="316">
        <f t="shared" si="36"/>
        <v>0</v>
      </c>
      <c r="BI105" s="316">
        <f t="shared" si="36"/>
        <v>0</v>
      </c>
      <c r="BJ105" s="316">
        <f t="shared" si="36"/>
        <v>0</v>
      </c>
      <c r="BK105" s="316">
        <f t="shared" si="36"/>
        <v>0</v>
      </c>
      <c r="BL105" s="316">
        <f t="shared" si="36"/>
        <v>0</v>
      </c>
      <c r="BM105" s="316">
        <f t="shared" si="36"/>
        <v>0</v>
      </c>
      <c r="BN105" s="316">
        <f t="shared" si="36"/>
        <v>0</v>
      </c>
      <c r="BO105" s="316">
        <f t="shared" si="36"/>
        <v>0</v>
      </c>
      <c r="BP105" s="316">
        <f t="shared" si="36"/>
        <v>0</v>
      </c>
      <c r="BQ105" s="316">
        <f t="shared" si="36"/>
        <v>0</v>
      </c>
      <c r="BR105" s="316">
        <f t="shared" si="36"/>
        <v>0</v>
      </c>
      <c r="BS105" s="316">
        <f t="shared" si="36"/>
        <v>0</v>
      </c>
      <c r="BT105" s="316">
        <f t="shared" si="36"/>
        <v>0</v>
      </c>
      <c r="BU105" s="316">
        <f t="shared" si="36"/>
        <v>0</v>
      </c>
      <c r="BV105" s="316">
        <f t="shared" si="36"/>
        <v>0</v>
      </c>
      <c r="BW105" s="316">
        <f t="shared" si="36"/>
        <v>0</v>
      </c>
      <c r="BX105" s="316">
        <f>BX113+BX179+BX101</f>
        <v>23329290.394433003</v>
      </c>
      <c r="BY105" s="311"/>
      <c r="BZ105" s="226"/>
      <c r="CA105" s="226"/>
      <c r="CB105" s="226"/>
      <c r="CC105" s="226"/>
    </row>
    <row r="106" spans="1:81" hidden="1">
      <c r="A106" s="226"/>
      <c r="B106" s="226"/>
      <c r="C106" s="317" t="s">
        <v>339</v>
      </c>
      <c r="D106" s="793">
        <f>IRR(E105:BX105)*12</f>
        <v>0.56092455384588202</v>
      </c>
      <c r="E106" s="768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AY106" s="226"/>
      <c r="AZ106" s="226"/>
      <c r="BA106" s="226"/>
      <c r="BB106" s="226"/>
      <c r="BC106" s="226"/>
      <c r="BD106" s="226"/>
      <c r="BE106" s="226"/>
      <c r="BF106" s="226"/>
      <c r="BG106" s="226"/>
      <c r="BH106" s="226"/>
      <c r="BI106" s="226"/>
      <c r="BJ106" s="226"/>
      <c r="BK106" s="226"/>
      <c r="BL106" s="226"/>
      <c r="BM106" s="226"/>
      <c r="BN106" s="226"/>
      <c r="BO106" s="226"/>
      <c r="BP106" s="226"/>
      <c r="BQ106" s="226"/>
      <c r="BR106" s="226"/>
      <c r="BS106" s="226"/>
      <c r="BT106" s="226"/>
      <c r="BU106" s="226"/>
      <c r="BV106" s="226"/>
      <c r="BW106" s="226"/>
      <c r="BX106" s="226"/>
      <c r="BY106" s="311"/>
      <c r="BZ106" s="226"/>
      <c r="CA106" s="226"/>
      <c r="CB106" s="226"/>
      <c r="CC106" s="226"/>
    </row>
    <row r="107" spans="1:81" hidden="1">
      <c r="A107" s="226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  <c r="CA107" s="226"/>
      <c r="CB107" s="226"/>
      <c r="CC107" s="226"/>
    </row>
    <row r="108" spans="1:81" hidden="1">
      <c r="A108" s="226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  <c r="AY108" s="226"/>
      <c r="AZ108" s="226"/>
      <c r="BA108" s="226"/>
      <c r="BB108" s="226"/>
      <c r="BC108" s="226"/>
      <c r="BD108" s="226"/>
      <c r="BE108" s="226"/>
      <c r="BF108" s="226"/>
      <c r="BG108" s="226"/>
      <c r="BH108" s="226"/>
      <c r="BI108" s="226"/>
      <c r="BJ108" s="226"/>
      <c r="BK108" s="226"/>
      <c r="BL108" s="226"/>
      <c r="BM108" s="226"/>
      <c r="BN108" s="226"/>
      <c r="BO108" s="226"/>
      <c r="BP108" s="226"/>
      <c r="BQ108" s="226"/>
      <c r="BR108" s="226"/>
      <c r="BS108" s="226"/>
      <c r="BT108" s="226"/>
      <c r="BU108" s="226"/>
      <c r="BV108" s="226"/>
      <c r="BW108" s="226"/>
      <c r="BX108" s="226"/>
      <c r="BY108" s="311"/>
      <c r="BZ108" s="226"/>
      <c r="CA108" s="226"/>
      <c r="CB108" s="226"/>
      <c r="CC108" s="226"/>
    </row>
    <row r="109" spans="1:81" ht="17" hidden="1">
      <c r="A109" s="226"/>
      <c r="B109" s="226"/>
      <c r="C109" s="314" t="s">
        <v>340</v>
      </c>
      <c r="D109" s="794"/>
      <c r="E109" s="767"/>
      <c r="F109" s="767"/>
      <c r="G109" s="767"/>
      <c r="H109" s="767"/>
      <c r="I109" s="767"/>
      <c r="J109" s="767"/>
      <c r="K109" s="767"/>
      <c r="L109" s="767"/>
      <c r="M109" s="767"/>
      <c r="N109" s="767"/>
      <c r="O109" s="767"/>
      <c r="P109" s="767"/>
      <c r="Q109" s="767"/>
      <c r="R109" s="767"/>
      <c r="S109" s="767"/>
      <c r="T109" s="767"/>
      <c r="U109" s="767"/>
      <c r="V109" s="767"/>
      <c r="W109" s="767"/>
      <c r="X109" s="767"/>
      <c r="Y109" s="767"/>
      <c r="Z109" s="767"/>
      <c r="AA109" s="767"/>
      <c r="AB109" s="767"/>
      <c r="AC109" s="767"/>
      <c r="AD109" s="767"/>
      <c r="AE109" s="767"/>
      <c r="AF109" s="767"/>
      <c r="AG109" s="767"/>
      <c r="AH109" s="767"/>
      <c r="AI109" s="767"/>
      <c r="AJ109" s="767"/>
      <c r="AK109" s="767"/>
      <c r="AL109" s="767"/>
      <c r="AM109" s="767"/>
      <c r="AN109" s="767"/>
      <c r="AO109" s="767"/>
      <c r="AP109" s="767"/>
      <c r="AQ109" s="767"/>
      <c r="AR109" s="767"/>
      <c r="AS109" s="767"/>
      <c r="AT109" s="767"/>
      <c r="AU109" s="767"/>
      <c r="AV109" s="767"/>
      <c r="AW109" s="767"/>
      <c r="AX109" s="767"/>
      <c r="AY109" s="767"/>
      <c r="AZ109" s="767"/>
      <c r="BA109" s="767"/>
      <c r="BB109" s="767"/>
      <c r="BC109" s="767"/>
      <c r="BD109" s="767"/>
      <c r="BE109" s="767"/>
      <c r="BF109" s="767"/>
      <c r="BG109" s="767"/>
      <c r="BH109" s="767"/>
      <c r="BI109" s="767"/>
      <c r="BJ109" s="767"/>
      <c r="BK109" s="767"/>
      <c r="BL109" s="767"/>
      <c r="BM109" s="767"/>
      <c r="BN109" s="767"/>
      <c r="BO109" s="767"/>
      <c r="BP109" s="767"/>
      <c r="BQ109" s="767"/>
      <c r="BR109" s="767"/>
      <c r="BS109" s="767"/>
      <c r="BT109" s="767"/>
      <c r="BU109" s="767"/>
      <c r="BV109" s="767"/>
      <c r="BW109" s="768"/>
      <c r="BX109" s="319">
        <f>BX101*C110</f>
        <v>4665858.0788866011</v>
      </c>
      <c r="BY109" s="311"/>
      <c r="BZ109" s="226"/>
      <c r="CA109" s="226"/>
      <c r="CB109" s="226"/>
      <c r="CC109" s="226"/>
    </row>
    <row r="110" spans="1:81" ht="19" hidden="1">
      <c r="A110" s="226"/>
      <c r="B110" s="226"/>
      <c r="C110" s="320">
        <v>0.2</v>
      </c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6"/>
      <c r="BF110" s="226"/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6"/>
      <c r="BQ110" s="226"/>
      <c r="BR110" s="226"/>
      <c r="BS110" s="226"/>
      <c r="BT110" s="226"/>
      <c r="BU110" s="226"/>
      <c r="BV110" s="226"/>
      <c r="BW110" s="226"/>
      <c r="BX110" s="226"/>
      <c r="BY110" s="311"/>
      <c r="BZ110" s="226"/>
      <c r="CA110" s="226"/>
      <c r="CB110" s="226"/>
      <c r="CC110" s="226"/>
    </row>
    <row r="113" spans="3:76">
      <c r="C113" s="314" t="s">
        <v>341</v>
      </c>
      <c r="D113" s="315"/>
      <c r="E113" s="316">
        <f t="shared" ref="E113:G113" si="37">-(E5+E6+E91+E92)</f>
        <v>0</v>
      </c>
      <c r="F113" s="316">
        <f t="shared" si="37"/>
        <v>0</v>
      </c>
      <c r="G113" s="316">
        <f t="shared" si="37"/>
        <v>0</v>
      </c>
      <c r="H113" s="316">
        <f>-(+H6+H91+H92)</f>
        <v>0</v>
      </c>
      <c r="I113" s="316">
        <f t="shared" ref="I113:BM113" si="38">-(I5+I6+I91+I92)</f>
        <v>0</v>
      </c>
      <c r="J113" s="316">
        <f t="shared" si="38"/>
        <v>0</v>
      </c>
      <c r="K113" s="316">
        <f t="shared" si="38"/>
        <v>-885000</v>
      </c>
      <c r="L113" s="316">
        <f t="shared" si="38"/>
        <v>-1940000</v>
      </c>
      <c r="M113" s="316">
        <f t="shared" si="38"/>
        <v>-4260000</v>
      </c>
      <c r="N113" s="316">
        <f t="shared" si="38"/>
        <v>0</v>
      </c>
      <c r="O113" s="316">
        <f t="shared" si="38"/>
        <v>-320000</v>
      </c>
      <c r="P113" s="316">
        <f t="shared" si="38"/>
        <v>-320000</v>
      </c>
      <c r="Q113" s="316">
        <f t="shared" si="38"/>
        <v>0</v>
      </c>
      <c r="R113" s="316">
        <f t="shared" si="38"/>
        <v>-1500000</v>
      </c>
      <c r="S113" s="316">
        <f t="shared" si="38"/>
        <v>-2300000</v>
      </c>
      <c r="T113" s="316">
        <f t="shared" si="38"/>
        <v>-7300000</v>
      </c>
      <c r="U113" s="316">
        <f t="shared" si="38"/>
        <v>-5000000</v>
      </c>
      <c r="V113" s="316">
        <f t="shared" si="38"/>
        <v>-1000000</v>
      </c>
      <c r="W113" s="316">
        <f t="shared" si="38"/>
        <v>0</v>
      </c>
      <c r="X113" s="316">
        <f t="shared" si="38"/>
        <v>0</v>
      </c>
      <c r="Y113" s="316">
        <f t="shared" si="38"/>
        <v>0</v>
      </c>
      <c r="Z113" s="316">
        <f t="shared" si="38"/>
        <v>0</v>
      </c>
      <c r="AA113" s="316">
        <f t="shared" si="38"/>
        <v>41190002</v>
      </c>
      <c r="AB113" s="316">
        <f t="shared" si="38"/>
        <v>0</v>
      </c>
      <c r="AC113" s="316">
        <f t="shared" si="38"/>
        <v>0</v>
      </c>
      <c r="AD113" s="316">
        <f t="shared" si="38"/>
        <v>0</v>
      </c>
      <c r="AE113" s="316">
        <f t="shared" si="38"/>
        <v>0</v>
      </c>
      <c r="AF113" s="316">
        <f t="shared" si="38"/>
        <v>0</v>
      </c>
      <c r="AG113" s="316">
        <f t="shared" si="38"/>
        <v>0</v>
      </c>
      <c r="AH113" s="316">
        <f t="shared" si="38"/>
        <v>0</v>
      </c>
      <c r="AI113" s="316">
        <f t="shared" si="38"/>
        <v>0</v>
      </c>
      <c r="AJ113" s="316">
        <f t="shared" si="38"/>
        <v>0</v>
      </c>
      <c r="AK113" s="316">
        <f t="shared" si="38"/>
        <v>0</v>
      </c>
      <c r="AL113" s="316">
        <f t="shared" si="38"/>
        <v>0</v>
      </c>
      <c r="AM113" s="316">
        <f t="shared" si="38"/>
        <v>0</v>
      </c>
      <c r="AN113" s="316">
        <f t="shared" si="38"/>
        <v>0</v>
      </c>
      <c r="AO113" s="316">
        <f t="shared" si="38"/>
        <v>0</v>
      </c>
      <c r="AP113" s="316">
        <f t="shared" si="38"/>
        <v>0</v>
      </c>
      <c r="AQ113" s="316">
        <f t="shared" si="38"/>
        <v>0</v>
      </c>
      <c r="AR113" s="316">
        <f t="shared" si="38"/>
        <v>0</v>
      </c>
      <c r="AS113" s="316">
        <f t="shared" si="38"/>
        <v>0</v>
      </c>
      <c r="AT113" s="316">
        <f t="shared" si="38"/>
        <v>0</v>
      </c>
      <c r="AU113" s="316">
        <f t="shared" si="38"/>
        <v>0</v>
      </c>
      <c r="AV113" s="316">
        <f t="shared" si="38"/>
        <v>0</v>
      </c>
      <c r="AW113" s="316">
        <f t="shared" si="38"/>
        <v>0</v>
      </c>
      <c r="AX113" s="316">
        <f t="shared" si="38"/>
        <v>0</v>
      </c>
      <c r="AY113" s="316">
        <f t="shared" si="38"/>
        <v>0</v>
      </c>
      <c r="AZ113" s="316">
        <f t="shared" si="38"/>
        <v>0</v>
      </c>
      <c r="BA113" s="316">
        <f t="shared" si="38"/>
        <v>0</v>
      </c>
      <c r="BB113" s="316">
        <f t="shared" si="38"/>
        <v>0</v>
      </c>
      <c r="BC113" s="316">
        <f t="shared" si="38"/>
        <v>0</v>
      </c>
      <c r="BD113" s="316">
        <f t="shared" si="38"/>
        <v>0</v>
      </c>
      <c r="BE113" s="316">
        <f t="shared" si="38"/>
        <v>0</v>
      </c>
      <c r="BF113" s="316">
        <f t="shared" si="38"/>
        <v>0</v>
      </c>
      <c r="BG113" s="316">
        <f t="shared" si="38"/>
        <v>0</v>
      </c>
      <c r="BH113" s="316">
        <f t="shared" si="38"/>
        <v>0</v>
      </c>
      <c r="BI113" s="316">
        <f t="shared" si="38"/>
        <v>0</v>
      </c>
      <c r="BJ113" s="316">
        <f t="shared" si="38"/>
        <v>0</v>
      </c>
      <c r="BK113" s="316">
        <f t="shared" si="38"/>
        <v>0</v>
      </c>
      <c r="BL113" s="316">
        <f t="shared" si="38"/>
        <v>0</v>
      </c>
      <c r="BM113" s="316">
        <f t="shared" si="38"/>
        <v>0</v>
      </c>
      <c r="BN113" s="316">
        <f t="shared" ref="BN113:BX113" si="39">-(BN5+BN91)</f>
        <v>0</v>
      </c>
      <c r="BO113" s="316">
        <f t="shared" si="39"/>
        <v>0</v>
      </c>
      <c r="BP113" s="316">
        <f t="shared" si="39"/>
        <v>0</v>
      </c>
      <c r="BQ113" s="316">
        <f t="shared" si="39"/>
        <v>0</v>
      </c>
      <c r="BR113" s="316">
        <f t="shared" si="39"/>
        <v>0</v>
      </c>
      <c r="BS113" s="316">
        <f t="shared" si="39"/>
        <v>0</v>
      </c>
      <c r="BT113" s="316">
        <f t="shared" si="39"/>
        <v>0</v>
      </c>
      <c r="BU113" s="316">
        <f t="shared" si="39"/>
        <v>0</v>
      </c>
      <c r="BV113" s="316">
        <f t="shared" si="39"/>
        <v>0</v>
      </c>
      <c r="BW113" s="316">
        <f t="shared" si="39"/>
        <v>0</v>
      </c>
      <c r="BX113" s="316">
        <f t="shared" si="39"/>
        <v>0</v>
      </c>
    </row>
    <row r="114" spans="3:76">
      <c r="C114" s="314" t="s">
        <v>342</v>
      </c>
      <c r="D114" s="323"/>
      <c r="E114" s="315"/>
      <c r="F114" s="315"/>
      <c r="G114" s="315"/>
      <c r="H114" s="315">
        <f>-8333333</f>
        <v>-8333333</v>
      </c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15"/>
      <c r="AH114" s="315"/>
      <c r="AI114" s="315"/>
      <c r="AJ114" s="315"/>
      <c r="AK114" s="315"/>
      <c r="AL114" s="315"/>
      <c r="AM114" s="315"/>
      <c r="AN114" s="315"/>
      <c r="AO114" s="315"/>
      <c r="AP114" s="315"/>
      <c r="AQ114" s="315"/>
      <c r="AR114" s="315"/>
      <c r="AS114" s="315"/>
      <c r="AT114" s="315"/>
      <c r="AU114" s="315"/>
      <c r="AV114" s="315"/>
      <c r="AW114" s="315"/>
      <c r="AX114" s="315"/>
      <c r="AY114" s="315"/>
      <c r="AZ114" s="315"/>
      <c r="BA114" s="315"/>
      <c r="BB114" s="315"/>
      <c r="BC114" s="315"/>
      <c r="BD114" s="315"/>
      <c r="BE114" s="315"/>
      <c r="BF114" s="315"/>
      <c r="BG114" s="315"/>
      <c r="BH114" s="315"/>
      <c r="BI114" s="315"/>
      <c r="BJ114" s="315"/>
      <c r="BK114" s="315"/>
      <c r="BL114" s="315"/>
      <c r="BM114" s="315"/>
      <c r="BN114" s="315"/>
      <c r="BO114" s="315"/>
      <c r="BP114" s="315"/>
      <c r="BQ114" s="315"/>
      <c r="BR114" s="315"/>
      <c r="BS114" s="315"/>
      <c r="BT114" s="315"/>
      <c r="BU114" s="315"/>
      <c r="BV114" s="315"/>
      <c r="BW114" s="315"/>
      <c r="BX114" s="315"/>
    </row>
    <row r="115" spans="3:76">
      <c r="C115" s="314" t="s">
        <v>343</v>
      </c>
      <c r="D115" s="323"/>
      <c r="E115" s="315">
        <f t="shared" ref="E115:S115" si="40">-E56</f>
        <v>0</v>
      </c>
      <c r="F115" s="315">
        <f t="shared" si="40"/>
        <v>0</v>
      </c>
      <c r="G115" s="315">
        <f t="shared" si="40"/>
        <v>0</v>
      </c>
      <c r="H115" s="315">
        <f t="shared" si="40"/>
        <v>0</v>
      </c>
      <c r="I115" s="315">
        <f t="shared" si="40"/>
        <v>0</v>
      </c>
      <c r="J115" s="315">
        <f t="shared" si="40"/>
        <v>0</v>
      </c>
      <c r="K115" s="315">
        <f t="shared" si="40"/>
        <v>0</v>
      </c>
      <c r="L115" s="315">
        <f t="shared" si="40"/>
        <v>0</v>
      </c>
      <c r="M115" s="315">
        <f t="shared" si="40"/>
        <v>0</v>
      </c>
      <c r="N115" s="315">
        <f t="shared" si="40"/>
        <v>0</v>
      </c>
      <c r="O115" s="315">
        <f t="shared" si="40"/>
        <v>0</v>
      </c>
      <c r="P115" s="315">
        <f t="shared" si="40"/>
        <v>0</v>
      </c>
      <c r="Q115" s="315">
        <f t="shared" si="40"/>
        <v>0</v>
      </c>
      <c r="R115" s="315">
        <f t="shared" si="40"/>
        <v>0</v>
      </c>
      <c r="S115" s="315">
        <f t="shared" si="40"/>
        <v>0</v>
      </c>
      <c r="T115" s="315">
        <f>-T56-T57</f>
        <v>0</v>
      </c>
      <c r="U115" s="315">
        <f t="shared" ref="U115:Z115" si="41">-U56</f>
        <v>0</v>
      </c>
      <c r="V115" s="315">
        <f t="shared" si="41"/>
        <v>0</v>
      </c>
      <c r="W115" s="315">
        <f t="shared" si="41"/>
        <v>0</v>
      </c>
      <c r="X115" s="315">
        <f t="shared" si="41"/>
        <v>0</v>
      </c>
      <c r="Y115" s="315">
        <f t="shared" si="41"/>
        <v>0</v>
      </c>
      <c r="Z115" s="315">
        <f t="shared" si="41"/>
        <v>0</v>
      </c>
      <c r="AA115" s="315">
        <f>-AA56-AA57</f>
        <v>4513611.7827945203</v>
      </c>
      <c r="AB115" s="315">
        <f t="shared" ref="AB115:BX115" si="42">-AB56</f>
        <v>0</v>
      </c>
      <c r="AC115" s="315">
        <f t="shared" si="42"/>
        <v>0</v>
      </c>
      <c r="AD115" s="315">
        <f t="shared" si="42"/>
        <v>0</v>
      </c>
      <c r="AE115" s="315">
        <f t="shared" si="42"/>
        <v>0</v>
      </c>
      <c r="AF115" s="315">
        <f t="shared" si="42"/>
        <v>0</v>
      </c>
      <c r="AG115" s="315">
        <f t="shared" si="42"/>
        <v>0</v>
      </c>
      <c r="AH115" s="315">
        <f t="shared" si="42"/>
        <v>0</v>
      </c>
      <c r="AI115" s="315">
        <f t="shared" si="42"/>
        <v>0</v>
      </c>
      <c r="AJ115" s="315">
        <f t="shared" si="42"/>
        <v>0</v>
      </c>
      <c r="AK115" s="315">
        <f t="shared" si="42"/>
        <v>0</v>
      </c>
      <c r="AL115" s="315">
        <f t="shared" si="42"/>
        <v>0</v>
      </c>
      <c r="AM115" s="315">
        <f t="shared" si="42"/>
        <v>0</v>
      </c>
      <c r="AN115" s="315">
        <f t="shared" si="42"/>
        <v>0</v>
      </c>
      <c r="AO115" s="315">
        <f t="shared" si="42"/>
        <v>0</v>
      </c>
      <c r="AP115" s="315">
        <f t="shared" si="42"/>
        <v>0</v>
      </c>
      <c r="AQ115" s="315">
        <f t="shared" si="42"/>
        <v>0</v>
      </c>
      <c r="AR115" s="315">
        <f t="shared" si="42"/>
        <v>0</v>
      </c>
      <c r="AS115" s="315">
        <f t="shared" si="42"/>
        <v>0</v>
      </c>
      <c r="AT115" s="315">
        <f t="shared" si="42"/>
        <v>0</v>
      </c>
      <c r="AU115" s="315">
        <f t="shared" si="42"/>
        <v>0</v>
      </c>
      <c r="AV115" s="315">
        <f t="shared" si="42"/>
        <v>0</v>
      </c>
      <c r="AW115" s="315">
        <f t="shared" si="42"/>
        <v>0</v>
      </c>
      <c r="AX115" s="315">
        <f t="shared" si="42"/>
        <v>0</v>
      </c>
      <c r="AY115" s="315">
        <f t="shared" si="42"/>
        <v>0</v>
      </c>
      <c r="AZ115" s="315">
        <f t="shared" si="42"/>
        <v>0</v>
      </c>
      <c r="BA115" s="315">
        <f t="shared" si="42"/>
        <v>0</v>
      </c>
      <c r="BB115" s="315">
        <f t="shared" si="42"/>
        <v>0</v>
      </c>
      <c r="BC115" s="315">
        <f t="shared" si="42"/>
        <v>0</v>
      </c>
      <c r="BD115" s="315">
        <f t="shared" si="42"/>
        <v>0</v>
      </c>
      <c r="BE115" s="315">
        <f t="shared" si="42"/>
        <v>0</v>
      </c>
      <c r="BF115" s="315">
        <f t="shared" si="42"/>
        <v>0</v>
      </c>
      <c r="BG115" s="315">
        <f t="shared" si="42"/>
        <v>0</v>
      </c>
      <c r="BH115" s="315">
        <f t="shared" si="42"/>
        <v>0</v>
      </c>
      <c r="BI115" s="315">
        <f t="shared" si="42"/>
        <v>0</v>
      </c>
      <c r="BJ115" s="315">
        <f t="shared" si="42"/>
        <v>0</v>
      </c>
      <c r="BK115" s="315">
        <f t="shared" si="42"/>
        <v>0</v>
      </c>
      <c r="BL115" s="315">
        <f t="shared" si="42"/>
        <v>0</v>
      </c>
      <c r="BM115" s="315">
        <f t="shared" si="42"/>
        <v>0</v>
      </c>
      <c r="BN115" s="315">
        <f t="shared" si="42"/>
        <v>0</v>
      </c>
      <c r="BO115" s="315">
        <f t="shared" si="42"/>
        <v>0</v>
      </c>
      <c r="BP115" s="315">
        <f t="shared" si="42"/>
        <v>0</v>
      </c>
      <c r="BQ115" s="315">
        <f t="shared" si="42"/>
        <v>0</v>
      </c>
      <c r="BR115" s="315">
        <f t="shared" si="42"/>
        <v>0</v>
      </c>
      <c r="BS115" s="315">
        <f t="shared" si="42"/>
        <v>0</v>
      </c>
      <c r="BT115" s="315">
        <f t="shared" si="42"/>
        <v>0</v>
      </c>
      <c r="BU115" s="315">
        <f t="shared" si="42"/>
        <v>0</v>
      </c>
      <c r="BV115" s="315">
        <f t="shared" si="42"/>
        <v>0</v>
      </c>
      <c r="BW115" s="315">
        <f t="shared" si="42"/>
        <v>0</v>
      </c>
      <c r="BX115" s="315">
        <f t="shared" si="42"/>
        <v>0</v>
      </c>
    </row>
    <row r="116" spans="3:76">
      <c r="C116" s="314" t="s">
        <v>344</v>
      </c>
      <c r="D116" s="323"/>
      <c r="E116" s="315"/>
      <c r="F116" s="315"/>
      <c r="G116" s="315"/>
      <c r="H116" s="315">
        <f>-H5</f>
        <v>-16365002</v>
      </c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>
        <f>AA101</f>
        <v>23329290.394433003</v>
      </c>
      <c r="AB116" s="315"/>
      <c r="AC116" s="315"/>
      <c r="AD116" s="315"/>
      <c r="AE116" s="315"/>
      <c r="AF116" s="315"/>
      <c r="AG116" s="315"/>
      <c r="AH116" s="315"/>
      <c r="AI116" s="315"/>
      <c r="AJ116" s="315"/>
      <c r="AK116" s="315"/>
      <c r="AL116" s="315"/>
      <c r="AM116" s="315"/>
      <c r="AN116" s="315"/>
      <c r="AO116" s="315"/>
      <c r="AP116" s="315"/>
      <c r="AQ116" s="315"/>
      <c r="AR116" s="315"/>
      <c r="AS116" s="315"/>
      <c r="AT116" s="315"/>
      <c r="AU116" s="315"/>
      <c r="AV116" s="315"/>
      <c r="AW116" s="315"/>
      <c r="AX116" s="315"/>
      <c r="AY116" s="315"/>
      <c r="AZ116" s="315"/>
      <c r="BA116" s="315"/>
      <c r="BB116" s="315"/>
      <c r="BC116" s="315"/>
      <c r="BD116" s="315"/>
      <c r="BE116" s="315"/>
      <c r="BF116" s="315"/>
      <c r="BG116" s="315"/>
      <c r="BH116" s="315"/>
      <c r="BI116" s="315"/>
      <c r="BJ116" s="315"/>
      <c r="BK116" s="315"/>
      <c r="BL116" s="315"/>
      <c r="BM116" s="315"/>
      <c r="BN116" s="315"/>
      <c r="BO116" s="315"/>
      <c r="BP116" s="315"/>
      <c r="BQ116" s="315"/>
      <c r="BR116" s="315"/>
      <c r="BS116" s="315"/>
      <c r="BT116" s="315"/>
      <c r="BU116" s="315"/>
      <c r="BV116" s="315"/>
      <c r="BW116" s="315"/>
      <c r="BX116" s="315">
        <f>IF(D106&gt;0.25,(BX101-BX109)*D118,BX101*D118)</f>
        <v>18663432.315546401</v>
      </c>
    </row>
    <row r="117" spans="3:76">
      <c r="C117" s="314" t="s">
        <v>340</v>
      </c>
      <c r="D117" s="323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15"/>
      <c r="AH117" s="315"/>
      <c r="AI117" s="315"/>
      <c r="AJ117" s="315"/>
      <c r="AK117" s="315"/>
      <c r="AL117" s="315"/>
      <c r="AM117" s="315"/>
      <c r="AN117" s="315"/>
      <c r="AO117" s="315"/>
      <c r="AP117" s="315"/>
      <c r="AQ117" s="315"/>
      <c r="AR117" s="315"/>
      <c r="AS117" s="315"/>
      <c r="AT117" s="315"/>
      <c r="AU117" s="315"/>
      <c r="AV117" s="315"/>
      <c r="AW117" s="315"/>
      <c r="AX117" s="315"/>
      <c r="AY117" s="315"/>
      <c r="AZ117" s="315"/>
      <c r="BA117" s="315"/>
      <c r="BB117" s="315"/>
      <c r="BC117" s="315"/>
      <c r="BD117" s="315"/>
      <c r="BE117" s="315"/>
      <c r="BF117" s="315"/>
      <c r="BG117" s="315"/>
      <c r="BH117" s="315"/>
      <c r="BI117" s="315"/>
      <c r="BJ117" s="315"/>
      <c r="BK117" s="315"/>
      <c r="BL117" s="315"/>
      <c r="BM117" s="315"/>
      <c r="BN117" s="315"/>
      <c r="BO117" s="315"/>
      <c r="BP117" s="315"/>
      <c r="BQ117" s="315"/>
      <c r="BR117" s="315"/>
      <c r="BS117" s="315"/>
      <c r="BT117" s="315"/>
      <c r="BU117" s="315"/>
      <c r="BV117" s="315"/>
      <c r="BW117" s="315"/>
      <c r="BX117" s="315">
        <f>IF(D106&gt;0.25,BX109,0)</f>
        <v>4665858.0788866011</v>
      </c>
    </row>
    <row r="118" spans="3:76">
      <c r="C118" s="317" t="s">
        <v>345</v>
      </c>
      <c r="D118" s="323">
        <v>1</v>
      </c>
      <c r="E118" s="246"/>
      <c r="F118" s="246"/>
      <c r="G118" s="246"/>
      <c r="H118" s="246"/>
      <c r="I118" s="246"/>
      <c r="J118" s="246"/>
      <c r="K118" s="246"/>
      <c r="L118" s="246"/>
      <c r="M118" s="246"/>
      <c r="N118" s="246"/>
      <c r="O118" s="246"/>
      <c r="P118" s="246"/>
      <c r="Q118" s="246"/>
      <c r="R118" s="246"/>
      <c r="S118" s="246"/>
      <c r="T118" s="246"/>
      <c r="U118" s="246"/>
      <c r="V118" s="246"/>
      <c r="W118" s="246"/>
      <c r="X118" s="246"/>
      <c r="Y118" s="246"/>
      <c r="Z118" s="246"/>
      <c r="AA118" s="246"/>
      <c r="AB118" s="246"/>
      <c r="AC118" s="246"/>
      <c r="AD118" s="246"/>
      <c r="AE118" s="246"/>
      <c r="AF118" s="246"/>
      <c r="AG118" s="246"/>
      <c r="AH118" s="246"/>
      <c r="AI118" s="246"/>
      <c r="AJ118" s="246"/>
      <c r="AK118" s="246"/>
      <c r="AL118" s="246"/>
      <c r="AM118" s="246"/>
      <c r="AN118" s="246"/>
      <c r="AO118" s="246"/>
      <c r="AP118" s="246"/>
      <c r="AQ118" s="246"/>
      <c r="AR118" s="246"/>
      <c r="AS118" s="246"/>
      <c r="AT118" s="246"/>
      <c r="AU118" s="246"/>
      <c r="AV118" s="246"/>
      <c r="AW118" s="246"/>
      <c r="AX118" s="246"/>
      <c r="AY118" s="246"/>
      <c r="AZ118" s="246"/>
      <c r="BA118" s="246"/>
      <c r="BB118" s="246"/>
      <c r="BC118" s="324"/>
      <c r="BD118" s="246"/>
      <c r="BE118" s="246"/>
      <c r="BF118" s="246"/>
      <c r="BG118" s="246"/>
      <c r="BH118" s="246"/>
      <c r="BI118" s="246"/>
      <c r="BJ118" s="246"/>
      <c r="BK118" s="246"/>
      <c r="BL118" s="246"/>
      <c r="BM118" s="246"/>
      <c r="BN118" s="246"/>
      <c r="BO118" s="246"/>
      <c r="BP118" s="246"/>
      <c r="BQ118" s="246"/>
      <c r="BR118" s="246"/>
      <c r="BS118" s="246"/>
      <c r="BT118" s="246"/>
      <c r="BU118" s="246"/>
      <c r="BV118" s="246"/>
      <c r="BW118" s="246"/>
      <c r="BX118" s="246"/>
    </row>
    <row r="119" spans="3:76">
      <c r="C119" s="314" t="s">
        <v>346</v>
      </c>
      <c r="D119" s="318"/>
      <c r="E119" s="325">
        <f t="shared" ref="E119:BW119" si="43">E113+E114+E115+E116+E118</f>
        <v>0</v>
      </c>
      <c r="F119" s="325">
        <f t="shared" si="43"/>
        <v>0</v>
      </c>
      <c r="G119" s="325">
        <f t="shared" si="43"/>
        <v>0</v>
      </c>
      <c r="H119" s="325">
        <f t="shared" si="43"/>
        <v>-24698335</v>
      </c>
      <c r="I119" s="325">
        <f t="shared" si="43"/>
        <v>0</v>
      </c>
      <c r="J119" s="325">
        <f t="shared" si="43"/>
        <v>0</v>
      </c>
      <c r="K119" s="325">
        <f t="shared" si="43"/>
        <v>-885000</v>
      </c>
      <c r="L119" s="325">
        <f t="shared" si="43"/>
        <v>-1940000</v>
      </c>
      <c r="M119" s="325">
        <f t="shared" si="43"/>
        <v>-4260000</v>
      </c>
      <c r="N119" s="325">
        <f t="shared" si="43"/>
        <v>0</v>
      </c>
      <c r="O119" s="325">
        <f t="shared" si="43"/>
        <v>-320000</v>
      </c>
      <c r="P119" s="325">
        <f t="shared" si="43"/>
        <v>-320000</v>
      </c>
      <c r="Q119" s="325">
        <f t="shared" si="43"/>
        <v>0</v>
      </c>
      <c r="R119" s="325">
        <f t="shared" si="43"/>
        <v>-1500000</v>
      </c>
      <c r="S119" s="325">
        <f t="shared" si="43"/>
        <v>-2300000</v>
      </c>
      <c r="T119" s="325">
        <f t="shared" si="43"/>
        <v>-7300000</v>
      </c>
      <c r="U119" s="325">
        <f t="shared" si="43"/>
        <v>-5000000</v>
      </c>
      <c r="V119" s="325">
        <f t="shared" si="43"/>
        <v>-1000000</v>
      </c>
      <c r="W119" s="325">
        <f t="shared" si="43"/>
        <v>0</v>
      </c>
      <c r="X119" s="325">
        <f t="shared" si="43"/>
        <v>0</v>
      </c>
      <c r="Y119" s="325">
        <f t="shared" si="43"/>
        <v>0</v>
      </c>
      <c r="Z119" s="325">
        <f t="shared" si="43"/>
        <v>0</v>
      </c>
      <c r="AA119" s="325">
        <f t="shared" si="43"/>
        <v>69032904.177227527</v>
      </c>
      <c r="AB119" s="325">
        <f t="shared" si="43"/>
        <v>0</v>
      </c>
      <c r="AC119" s="325">
        <f t="shared" si="43"/>
        <v>0</v>
      </c>
      <c r="AD119" s="325">
        <f t="shared" si="43"/>
        <v>0</v>
      </c>
      <c r="AE119" s="325">
        <f t="shared" si="43"/>
        <v>0</v>
      </c>
      <c r="AF119" s="325">
        <f t="shared" si="43"/>
        <v>0</v>
      </c>
      <c r="AG119" s="325">
        <f t="shared" si="43"/>
        <v>0</v>
      </c>
      <c r="AH119" s="325">
        <f t="shared" si="43"/>
        <v>0</v>
      </c>
      <c r="AI119" s="325">
        <f t="shared" si="43"/>
        <v>0</v>
      </c>
      <c r="AJ119" s="325">
        <f t="shared" si="43"/>
        <v>0</v>
      </c>
      <c r="AK119" s="325">
        <f t="shared" si="43"/>
        <v>0</v>
      </c>
      <c r="AL119" s="325">
        <f t="shared" si="43"/>
        <v>0</v>
      </c>
      <c r="AM119" s="325">
        <f t="shared" si="43"/>
        <v>0</v>
      </c>
      <c r="AN119" s="325">
        <f t="shared" si="43"/>
        <v>0</v>
      </c>
      <c r="AO119" s="325">
        <f t="shared" si="43"/>
        <v>0</v>
      </c>
      <c r="AP119" s="325">
        <f t="shared" si="43"/>
        <v>0</v>
      </c>
      <c r="AQ119" s="325">
        <f t="shared" si="43"/>
        <v>0</v>
      </c>
      <c r="AR119" s="325">
        <f t="shared" si="43"/>
        <v>0</v>
      </c>
      <c r="AS119" s="325">
        <f t="shared" si="43"/>
        <v>0</v>
      </c>
      <c r="AT119" s="325">
        <f t="shared" si="43"/>
        <v>0</v>
      </c>
      <c r="AU119" s="325">
        <f t="shared" si="43"/>
        <v>0</v>
      </c>
      <c r="AV119" s="325">
        <f t="shared" si="43"/>
        <v>0</v>
      </c>
      <c r="AW119" s="325">
        <f t="shared" si="43"/>
        <v>0</v>
      </c>
      <c r="AX119" s="325">
        <f t="shared" si="43"/>
        <v>0</v>
      </c>
      <c r="AY119" s="325">
        <f t="shared" si="43"/>
        <v>0</v>
      </c>
      <c r="AZ119" s="325">
        <f t="shared" si="43"/>
        <v>0</v>
      </c>
      <c r="BA119" s="325">
        <f t="shared" si="43"/>
        <v>0</v>
      </c>
      <c r="BB119" s="325">
        <f t="shared" si="43"/>
        <v>0</v>
      </c>
      <c r="BC119" s="325">
        <f t="shared" si="43"/>
        <v>0</v>
      </c>
      <c r="BD119" s="325">
        <f t="shared" si="43"/>
        <v>0</v>
      </c>
      <c r="BE119" s="325">
        <f t="shared" si="43"/>
        <v>0</v>
      </c>
      <c r="BF119" s="325">
        <f t="shared" si="43"/>
        <v>0</v>
      </c>
      <c r="BG119" s="325">
        <f t="shared" si="43"/>
        <v>0</v>
      </c>
      <c r="BH119" s="325">
        <f t="shared" si="43"/>
        <v>0</v>
      </c>
      <c r="BI119" s="325">
        <f t="shared" si="43"/>
        <v>0</v>
      </c>
      <c r="BJ119" s="325">
        <f t="shared" si="43"/>
        <v>0</v>
      </c>
      <c r="BK119" s="325">
        <f t="shared" si="43"/>
        <v>0</v>
      </c>
      <c r="BL119" s="325">
        <f t="shared" si="43"/>
        <v>0</v>
      </c>
      <c r="BM119" s="325">
        <f t="shared" si="43"/>
        <v>0</v>
      </c>
      <c r="BN119" s="325">
        <f t="shared" si="43"/>
        <v>0</v>
      </c>
      <c r="BO119" s="325">
        <f t="shared" si="43"/>
        <v>0</v>
      </c>
      <c r="BP119" s="325">
        <f t="shared" si="43"/>
        <v>0</v>
      </c>
      <c r="BQ119" s="325">
        <f t="shared" si="43"/>
        <v>0</v>
      </c>
      <c r="BR119" s="325">
        <f t="shared" si="43"/>
        <v>0</v>
      </c>
      <c r="BS119" s="325">
        <f t="shared" si="43"/>
        <v>0</v>
      </c>
      <c r="BT119" s="325">
        <f t="shared" si="43"/>
        <v>0</v>
      </c>
      <c r="BU119" s="325">
        <f t="shared" si="43"/>
        <v>0</v>
      </c>
      <c r="BV119" s="325">
        <f t="shared" si="43"/>
        <v>0</v>
      </c>
      <c r="BW119" s="325">
        <f t="shared" si="43"/>
        <v>0</v>
      </c>
      <c r="BX119" s="325">
        <f>BX113+BX114+BX115+BX116+BX117+BX118</f>
        <v>23329290.394433003</v>
      </c>
    </row>
    <row r="120" spans="3:76">
      <c r="C120" s="317" t="s">
        <v>339</v>
      </c>
      <c r="D120" s="326">
        <f>IRR(H119:AA119)*12</f>
        <v>0.27946176177190729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6"/>
      <c r="BQ120" s="226"/>
      <c r="BR120" s="226"/>
      <c r="BS120" s="226"/>
      <c r="BT120" s="226"/>
      <c r="BU120" s="226"/>
      <c r="BV120" s="226"/>
      <c r="BW120" s="226"/>
      <c r="BX120" s="226"/>
    </row>
    <row r="121" spans="3:76">
      <c r="C121" s="327" t="s">
        <v>347</v>
      </c>
      <c r="D121" s="328">
        <f>SUM(BY5:BY6)</f>
        <v>41190002</v>
      </c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>
        <f>-Q62-Q97</f>
        <v>7245545.7149999999</v>
      </c>
      <c r="R121" s="226">
        <f>Q121*11</f>
        <v>79701002.864999995</v>
      </c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  <c r="BX121" s="226"/>
    </row>
    <row r="122" spans="3:76">
      <c r="C122" s="327" t="s">
        <v>348</v>
      </c>
      <c r="D122" s="328">
        <f>-SUM(E114:BM114)</f>
        <v>8333333</v>
      </c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34">
        <f>SUM(Rentroll!$P$2:$P$4)</f>
        <v>613346.05139999976</v>
      </c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  <c r="BX122" s="226"/>
    </row>
    <row r="123" spans="3:76">
      <c r="C123" s="317" t="s">
        <v>349</v>
      </c>
      <c r="D123" s="329">
        <f>D121+D122</f>
        <v>49523335</v>
      </c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784" t="s">
        <v>625</v>
      </c>
      <c r="T123" s="772"/>
      <c r="U123" s="226"/>
      <c r="V123" s="226">
        <f>T113+5000000+3333333</f>
        <v>1033333</v>
      </c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Y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  <c r="BX123" s="226"/>
    </row>
    <row r="124" spans="3:76">
      <c r="C124" s="317" t="s">
        <v>350</v>
      </c>
      <c r="D124" s="329">
        <f>AA115+AA116</f>
        <v>27842902.177227523</v>
      </c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784" t="s">
        <v>626</v>
      </c>
      <c r="T124" s="772"/>
      <c r="U124" s="226"/>
      <c r="V124" s="226">
        <f>V123+11000000</f>
        <v>12033333</v>
      </c>
      <c r="W124" s="226"/>
      <c r="X124" s="226"/>
      <c r="Y124" s="226"/>
      <c r="Z124" s="226"/>
      <c r="AA124" s="226"/>
      <c r="AB124" s="226"/>
      <c r="AC124" s="226"/>
      <c r="AD124" s="226"/>
      <c r="AE124" s="226"/>
      <c r="AF124" s="226"/>
      <c r="AG124" s="226"/>
      <c r="AH124" s="226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AY124" s="226"/>
      <c r="AZ124" s="226"/>
      <c r="BA124" s="226"/>
      <c r="BB124" s="226"/>
      <c r="BC124" s="226"/>
      <c r="BD124" s="226"/>
      <c r="BE124" s="226"/>
      <c r="BF124" s="226"/>
      <c r="BG124" s="226"/>
      <c r="BH124" s="226"/>
      <c r="BI124" s="226"/>
      <c r="BJ124" s="226"/>
      <c r="BK124" s="226"/>
      <c r="BL124" s="226"/>
      <c r="BM124" s="226"/>
      <c r="BN124" s="226"/>
      <c r="BO124" s="226"/>
      <c r="BP124" s="226"/>
      <c r="BQ124" s="226"/>
      <c r="BR124" s="226"/>
      <c r="BS124" s="226"/>
      <c r="BT124" s="226"/>
      <c r="BU124" s="226"/>
      <c r="BV124" s="226"/>
      <c r="BW124" s="226"/>
      <c r="BX124" s="226"/>
    </row>
    <row r="125" spans="3:76">
      <c r="C125" s="317" t="s">
        <v>351</v>
      </c>
      <c r="D125" s="326">
        <f>(D124-D122)/D123</f>
        <v>0.39394699846501702</v>
      </c>
      <c r="E125" s="226"/>
      <c r="F125" s="242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 t="s">
        <v>627</v>
      </c>
      <c r="T125" s="226"/>
      <c r="U125" s="226"/>
      <c r="V125" s="226">
        <f>T119-V124</f>
        <v>-19333333</v>
      </c>
      <c r="W125" s="226"/>
      <c r="X125" s="226">
        <f>V124-T113-T101</f>
        <v>17406423.438909948</v>
      </c>
      <c r="Y125" s="226"/>
      <c r="Z125" s="226"/>
      <c r="AA125" s="226"/>
      <c r="AB125" s="226"/>
      <c r="AC125" s="226"/>
      <c r="AD125" s="226"/>
      <c r="AE125" s="226"/>
      <c r="AF125" s="226"/>
      <c r="AG125" s="226"/>
      <c r="AH125" s="226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AY125" s="226"/>
      <c r="AZ125" s="226"/>
      <c r="BA125" s="226"/>
      <c r="BB125" s="226"/>
      <c r="BC125" s="226"/>
      <c r="BD125" s="226"/>
      <c r="BE125" s="226"/>
      <c r="BF125" s="226"/>
      <c r="BG125" s="226"/>
      <c r="BH125" s="226"/>
      <c r="BI125" s="226"/>
      <c r="BJ125" s="226"/>
      <c r="BK125" s="226"/>
      <c r="BL125" s="226"/>
      <c r="BM125" s="226"/>
      <c r="BN125" s="226"/>
      <c r="BO125" s="226"/>
      <c r="BP125" s="226"/>
      <c r="BQ125" s="226"/>
      <c r="BR125" s="226"/>
      <c r="BS125" s="226"/>
      <c r="BT125" s="226"/>
      <c r="BU125" s="226"/>
      <c r="BV125" s="226"/>
      <c r="BW125" s="226"/>
      <c r="BX125" s="226"/>
    </row>
    <row r="126" spans="3:76"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42" t="e">
        <f>V125/-J113</f>
        <v>#DIV/0!</v>
      </c>
      <c r="W126" s="226"/>
      <c r="X126" s="226"/>
      <c r="Y126" s="226"/>
      <c r="Z126" s="226"/>
      <c r="AA126" s="226"/>
      <c r="AB126" s="226"/>
      <c r="AC126" s="226"/>
      <c r="AD126" s="226"/>
      <c r="AE126" s="226"/>
      <c r="AF126" s="226"/>
      <c r="AG126" s="226"/>
      <c r="AH126" s="226"/>
      <c r="AI126" s="226"/>
      <c r="AJ126" s="226"/>
      <c r="AK126" s="226"/>
      <c r="AL126" s="226"/>
      <c r="AM126" s="226"/>
      <c r="AN126" s="226"/>
      <c r="AO126" s="226"/>
      <c r="AP126" s="226"/>
      <c r="AQ126" s="226"/>
      <c r="AR126" s="226"/>
      <c r="AS126" s="226"/>
      <c r="AT126" s="226"/>
      <c r="AU126" s="226"/>
      <c r="AV126" s="226"/>
      <c r="AW126" s="226"/>
      <c r="AX126" s="226"/>
      <c r="AY126" s="226"/>
      <c r="AZ126" s="226"/>
      <c r="BA126" s="226"/>
      <c r="BB126" s="226"/>
      <c r="BC126" s="226"/>
      <c r="BD126" s="226"/>
      <c r="BE126" s="226"/>
      <c r="BF126" s="226"/>
      <c r="BG126" s="226"/>
      <c r="BH126" s="226"/>
      <c r="BI126" s="226"/>
      <c r="BJ126" s="226"/>
      <c r="BK126" s="226"/>
      <c r="BL126" s="226"/>
      <c r="BM126" s="226"/>
      <c r="BN126" s="226"/>
      <c r="BO126" s="226"/>
      <c r="BP126" s="226"/>
      <c r="BQ126" s="226"/>
      <c r="BR126" s="226"/>
      <c r="BS126" s="226"/>
      <c r="BT126" s="226"/>
      <c r="BU126" s="226"/>
      <c r="BV126" s="226"/>
      <c r="BW126" s="226"/>
      <c r="BX126" s="226"/>
    </row>
    <row r="127" spans="3:76">
      <c r="E127" s="226"/>
      <c r="F127" s="226"/>
      <c r="G127" s="226"/>
      <c r="H127" s="226"/>
      <c r="I127" s="226"/>
      <c r="J127" s="226"/>
      <c r="K127" s="226"/>
      <c r="L127" s="22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26"/>
      <c r="X127" s="226"/>
      <c r="Y127" s="226"/>
      <c r="Z127" s="226"/>
      <c r="AA127" s="226"/>
      <c r="AB127" s="226"/>
      <c r="AC127" s="226"/>
      <c r="AD127" s="226"/>
      <c r="AE127" s="226"/>
      <c r="AF127" s="226"/>
      <c r="AG127" s="226"/>
      <c r="AH127" s="226"/>
      <c r="AI127" s="226"/>
      <c r="AJ127" s="226"/>
      <c r="AK127" s="226"/>
      <c r="AL127" s="226"/>
      <c r="AM127" s="226"/>
      <c r="AN127" s="226"/>
      <c r="AO127" s="226"/>
      <c r="AP127" s="226"/>
      <c r="AQ127" s="226"/>
      <c r="AR127" s="226"/>
      <c r="AS127" s="226"/>
      <c r="AT127" s="226"/>
      <c r="AU127" s="226"/>
      <c r="AV127" s="226"/>
      <c r="AW127" s="226"/>
      <c r="AX127" s="226"/>
      <c r="AY127" s="226"/>
      <c r="AZ127" s="226"/>
      <c r="BA127" s="226"/>
      <c r="BB127" s="226"/>
      <c r="BC127" s="226"/>
      <c r="BD127" s="226"/>
      <c r="BE127" s="226"/>
      <c r="BF127" s="226"/>
      <c r="BG127" s="226"/>
      <c r="BH127" s="226"/>
      <c r="BI127" s="226"/>
      <c r="BJ127" s="226"/>
      <c r="BK127" s="226"/>
      <c r="BL127" s="226"/>
      <c r="BM127" s="226"/>
      <c r="BN127" s="226"/>
      <c r="BO127" s="226"/>
      <c r="BP127" s="226"/>
      <c r="BQ127" s="226"/>
      <c r="BR127" s="226"/>
      <c r="BS127" s="226"/>
      <c r="BT127" s="226"/>
      <c r="BU127" s="226"/>
      <c r="BV127" s="226"/>
      <c r="BW127" s="226"/>
      <c r="BX127" s="226"/>
    </row>
    <row r="128" spans="3:76">
      <c r="E128" s="226"/>
      <c r="F128" s="226"/>
      <c r="G128" s="226"/>
      <c r="H128" s="226">
        <f t="shared" ref="H128:Z128" si="44">-SUM(H5:H6)</f>
        <v>-16365002</v>
      </c>
      <c r="I128" s="226">
        <f t="shared" si="44"/>
        <v>0</v>
      </c>
      <c r="J128" s="226">
        <f t="shared" si="44"/>
        <v>0</v>
      </c>
      <c r="K128" s="226">
        <f t="shared" si="44"/>
        <v>-885000</v>
      </c>
      <c r="L128" s="226">
        <f t="shared" si="44"/>
        <v>-1940000</v>
      </c>
      <c r="M128" s="226">
        <f t="shared" si="44"/>
        <v>-4260000</v>
      </c>
      <c r="N128" s="226">
        <f t="shared" si="44"/>
        <v>0</v>
      </c>
      <c r="O128" s="226">
        <f t="shared" si="44"/>
        <v>-320000</v>
      </c>
      <c r="P128" s="226">
        <f t="shared" si="44"/>
        <v>-320000</v>
      </c>
      <c r="Q128" s="226">
        <f t="shared" si="44"/>
        <v>0</v>
      </c>
      <c r="R128" s="226">
        <f t="shared" si="44"/>
        <v>-1500000</v>
      </c>
      <c r="S128" s="226">
        <f t="shared" si="44"/>
        <v>-2300000</v>
      </c>
      <c r="T128" s="226">
        <f t="shared" si="44"/>
        <v>-7300000</v>
      </c>
      <c r="U128" s="226">
        <f t="shared" si="44"/>
        <v>-5000000</v>
      </c>
      <c r="V128" s="226">
        <f t="shared" si="44"/>
        <v>-1000000</v>
      </c>
      <c r="W128" s="226">
        <f t="shared" si="44"/>
        <v>0</v>
      </c>
      <c r="X128" s="226">
        <f t="shared" si="44"/>
        <v>0</v>
      </c>
      <c r="Y128" s="226">
        <f t="shared" si="44"/>
        <v>0</v>
      </c>
      <c r="Z128" s="226">
        <f t="shared" si="44"/>
        <v>0</v>
      </c>
      <c r="AA128" s="226">
        <f>-SUM(H128:Z128)+AA101-AA56-AA57-5000000</f>
        <v>64032904.177227527</v>
      </c>
      <c r="AB128" s="226">
        <f>AA128+SUM(H128:Z128)</f>
        <v>22842902.177227527</v>
      </c>
      <c r="AC128" s="242">
        <f>AB128/-SUM(H128:Z128)</f>
        <v>0.55457395164068035</v>
      </c>
      <c r="AD128" s="226"/>
      <c r="AE128" s="226"/>
      <c r="AF128" s="226"/>
      <c r="AG128" s="226"/>
      <c r="AH128" s="226"/>
      <c r="AI128" s="226"/>
      <c r="AJ128" s="226"/>
      <c r="AK128" s="226"/>
      <c r="AL128" s="226"/>
      <c r="AM128" s="226"/>
      <c r="AN128" s="226"/>
      <c r="AO128" s="242">
        <f>AC128/20*12</f>
        <v>0.33274437098440823</v>
      </c>
      <c r="AP128" s="226"/>
      <c r="AQ128" s="226"/>
      <c r="AR128" s="226"/>
      <c r="AS128" s="226"/>
      <c r="AT128" s="226"/>
      <c r="AU128" s="226"/>
      <c r="AV128" s="226"/>
      <c r="AW128" s="226"/>
      <c r="AX128" s="226"/>
      <c r="AY128" s="226"/>
      <c r="AZ128" s="226"/>
      <c r="BA128" s="226"/>
      <c r="BB128" s="226"/>
      <c r="BC128" s="226"/>
      <c r="BD128" s="226"/>
      <c r="BE128" s="226"/>
      <c r="BF128" s="226"/>
      <c r="BG128" s="226"/>
      <c r="BH128" s="226"/>
      <c r="BI128" s="226"/>
      <c r="BJ128" s="226"/>
      <c r="BK128" s="226"/>
      <c r="BL128" s="226"/>
      <c r="BM128" s="226"/>
      <c r="BN128" s="226"/>
      <c r="BO128" s="226"/>
      <c r="BP128" s="226"/>
      <c r="BQ128" s="226"/>
      <c r="BR128" s="226"/>
      <c r="BS128" s="226"/>
      <c r="BT128" s="226"/>
      <c r="BU128" s="226"/>
      <c r="BV128" s="226"/>
      <c r="BW128" s="226"/>
      <c r="BX128" s="226"/>
    </row>
    <row r="129" spans="3:76">
      <c r="E129" s="226"/>
      <c r="F129" s="226"/>
      <c r="G129" s="242">
        <f>IRR(H128:AA128)*12</f>
        <v>0.39620066458663938</v>
      </c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26"/>
      <c r="X129" s="226"/>
      <c r="Y129" s="226"/>
      <c r="Z129" s="226"/>
      <c r="AA129" s="226"/>
      <c r="AB129" s="226"/>
      <c r="AC129" s="226"/>
      <c r="AD129" s="226"/>
      <c r="AE129" s="226"/>
      <c r="AF129" s="226"/>
      <c r="AG129" s="226"/>
      <c r="AH129" s="226"/>
      <c r="AI129" s="226"/>
      <c r="AJ129" s="226"/>
      <c r="AK129" s="226"/>
      <c r="AL129" s="226"/>
      <c r="AM129" s="226"/>
      <c r="AN129" s="226"/>
      <c r="AO129" s="226"/>
      <c r="AP129" s="226"/>
      <c r="AQ129" s="226"/>
      <c r="AR129" s="226"/>
      <c r="AS129" s="226"/>
      <c r="AT129" s="226"/>
      <c r="AU129" s="226"/>
      <c r="AV129" s="226"/>
      <c r="AW129" s="226"/>
      <c r="AX129" s="226"/>
      <c r="AY129" s="226"/>
      <c r="AZ129" s="226"/>
      <c r="BA129" s="226"/>
      <c r="BB129" s="226"/>
      <c r="BC129" s="226"/>
      <c r="BD129" s="226"/>
      <c r="BE129" s="226"/>
      <c r="BF129" s="226"/>
      <c r="BG129" s="226"/>
      <c r="BH129" s="226"/>
      <c r="BI129" s="226"/>
      <c r="BJ129" s="226"/>
      <c r="BK129" s="226"/>
      <c r="BL129" s="226"/>
      <c r="BM129" s="226"/>
      <c r="BN129" s="226"/>
      <c r="BO129" s="226"/>
      <c r="BP129" s="226"/>
      <c r="BQ129" s="226"/>
      <c r="BR129" s="226"/>
      <c r="BS129" s="226"/>
      <c r="BT129" s="226"/>
      <c r="BU129" s="226"/>
      <c r="BV129" s="226"/>
      <c r="BW129" s="226"/>
      <c r="BX129" s="226"/>
    </row>
    <row r="130" spans="3:76"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26"/>
      <c r="S130" s="226"/>
      <c r="T130" s="226"/>
      <c r="U130" s="226"/>
      <c r="V130" s="226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26"/>
      <c r="AG130" s="226"/>
      <c r="AH130" s="226"/>
      <c r="AI130" s="226"/>
      <c r="AJ130" s="226"/>
      <c r="AK130" s="226"/>
      <c r="AL130" s="226"/>
      <c r="AM130" s="226"/>
      <c r="AN130" s="226"/>
      <c r="AO130" s="226"/>
      <c r="AP130" s="226"/>
      <c r="AQ130" s="226"/>
      <c r="AR130" s="226"/>
      <c r="AS130" s="226"/>
      <c r="AT130" s="226"/>
      <c r="AU130" s="226"/>
      <c r="AV130" s="226"/>
      <c r="AW130" s="226"/>
      <c r="AX130" s="226"/>
      <c r="AY130" s="226"/>
      <c r="AZ130" s="226"/>
      <c r="BA130" s="226"/>
      <c r="BB130" s="226"/>
      <c r="BC130" s="226"/>
      <c r="BD130" s="226"/>
      <c r="BE130" s="226"/>
      <c r="BF130" s="226"/>
      <c r="BG130" s="226"/>
      <c r="BH130" s="226"/>
      <c r="BI130" s="226"/>
      <c r="BJ130" s="226"/>
      <c r="BK130" s="226"/>
      <c r="BL130" s="226"/>
      <c r="BM130" s="226"/>
      <c r="BN130" s="226"/>
      <c r="BO130" s="226"/>
      <c r="BP130" s="226"/>
      <c r="BQ130" s="226"/>
      <c r="BR130" s="226"/>
      <c r="BS130" s="226"/>
      <c r="BT130" s="226"/>
      <c r="BU130" s="226"/>
      <c r="BV130" s="226"/>
      <c r="BW130" s="226"/>
      <c r="BX130" s="226"/>
    </row>
    <row r="131" spans="3:76">
      <c r="C131" s="314" t="s">
        <v>352</v>
      </c>
      <c r="D131" s="315"/>
      <c r="E131" s="315">
        <f t="shared" ref="E131:BX131" si="45">-(E6+E92)</f>
        <v>0</v>
      </c>
      <c r="F131" s="315">
        <f t="shared" si="45"/>
        <v>0</v>
      </c>
      <c r="G131" s="315">
        <f t="shared" si="45"/>
        <v>0</v>
      </c>
      <c r="H131" s="315">
        <f t="shared" si="45"/>
        <v>0</v>
      </c>
      <c r="I131" s="315">
        <f t="shared" si="45"/>
        <v>0</v>
      </c>
      <c r="J131" s="315">
        <f t="shared" si="45"/>
        <v>0</v>
      </c>
      <c r="K131" s="315">
        <f t="shared" si="45"/>
        <v>-885000</v>
      </c>
      <c r="L131" s="315">
        <f t="shared" si="45"/>
        <v>-1940000</v>
      </c>
      <c r="M131" s="315">
        <f t="shared" si="45"/>
        <v>-4260000</v>
      </c>
      <c r="N131" s="315">
        <f t="shared" si="45"/>
        <v>0</v>
      </c>
      <c r="O131" s="315">
        <f t="shared" si="45"/>
        <v>-320000</v>
      </c>
      <c r="P131" s="315">
        <f t="shared" si="45"/>
        <v>-320000</v>
      </c>
      <c r="Q131" s="315">
        <f t="shared" si="45"/>
        <v>0</v>
      </c>
      <c r="R131" s="315">
        <f t="shared" si="45"/>
        <v>-1500000</v>
      </c>
      <c r="S131" s="315">
        <f t="shared" si="45"/>
        <v>-2300000</v>
      </c>
      <c r="T131" s="315">
        <f t="shared" si="45"/>
        <v>-7300000</v>
      </c>
      <c r="U131" s="315">
        <f t="shared" si="45"/>
        <v>-5000000</v>
      </c>
      <c r="V131" s="315">
        <f t="shared" si="45"/>
        <v>-1000000</v>
      </c>
      <c r="W131" s="315">
        <f t="shared" si="45"/>
        <v>0</v>
      </c>
      <c r="X131" s="315">
        <f t="shared" si="45"/>
        <v>0</v>
      </c>
      <c r="Y131" s="315">
        <f t="shared" si="45"/>
        <v>0</v>
      </c>
      <c r="Z131" s="315">
        <f t="shared" si="45"/>
        <v>0</v>
      </c>
      <c r="AA131" s="315">
        <f t="shared" si="45"/>
        <v>24825000</v>
      </c>
      <c r="AB131" s="315">
        <f t="shared" si="45"/>
        <v>0</v>
      </c>
      <c r="AC131" s="315">
        <f t="shared" si="45"/>
        <v>0</v>
      </c>
      <c r="AD131" s="315">
        <f t="shared" si="45"/>
        <v>0</v>
      </c>
      <c r="AE131" s="315">
        <f t="shared" si="45"/>
        <v>0</v>
      </c>
      <c r="AF131" s="315">
        <f t="shared" si="45"/>
        <v>0</v>
      </c>
      <c r="AG131" s="315">
        <f t="shared" si="45"/>
        <v>0</v>
      </c>
      <c r="AH131" s="315">
        <f t="shared" si="45"/>
        <v>0</v>
      </c>
      <c r="AI131" s="315">
        <f t="shared" si="45"/>
        <v>0</v>
      </c>
      <c r="AJ131" s="315">
        <f t="shared" si="45"/>
        <v>0</v>
      </c>
      <c r="AK131" s="315">
        <f t="shared" si="45"/>
        <v>0</v>
      </c>
      <c r="AL131" s="315">
        <f t="shared" si="45"/>
        <v>0</v>
      </c>
      <c r="AM131" s="315">
        <f t="shared" si="45"/>
        <v>0</v>
      </c>
      <c r="AN131" s="315">
        <f t="shared" si="45"/>
        <v>0</v>
      </c>
      <c r="AO131" s="315">
        <f t="shared" si="45"/>
        <v>0</v>
      </c>
      <c r="AP131" s="315">
        <f t="shared" si="45"/>
        <v>0</v>
      </c>
      <c r="AQ131" s="315">
        <f t="shared" si="45"/>
        <v>0</v>
      </c>
      <c r="AR131" s="315">
        <f t="shared" si="45"/>
        <v>0</v>
      </c>
      <c r="AS131" s="315">
        <f t="shared" si="45"/>
        <v>0</v>
      </c>
      <c r="AT131" s="315">
        <f t="shared" si="45"/>
        <v>0</v>
      </c>
      <c r="AU131" s="315">
        <f t="shared" si="45"/>
        <v>0</v>
      </c>
      <c r="AV131" s="315">
        <f t="shared" si="45"/>
        <v>0</v>
      </c>
      <c r="AW131" s="315">
        <f t="shared" si="45"/>
        <v>0</v>
      </c>
      <c r="AX131" s="315">
        <f t="shared" si="45"/>
        <v>0</v>
      </c>
      <c r="AY131" s="315">
        <f t="shared" si="45"/>
        <v>0</v>
      </c>
      <c r="AZ131" s="315">
        <f t="shared" si="45"/>
        <v>0</v>
      </c>
      <c r="BA131" s="315">
        <f t="shared" si="45"/>
        <v>0</v>
      </c>
      <c r="BB131" s="315">
        <f t="shared" si="45"/>
        <v>0</v>
      </c>
      <c r="BC131" s="315">
        <f t="shared" si="45"/>
        <v>0</v>
      </c>
      <c r="BD131" s="315">
        <f t="shared" si="45"/>
        <v>0</v>
      </c>
      <c r="BE131" s="315">
        <f t="shared" si="45"/>
        <v>0</v>
      </c>
      <c r="BF131" s="315">
        <f t="shared" si="45"/>
        <v>0</v>
      </c>
      <c r="BG131" s="315">
        <f t="shared" si="45"/>
        <v>0</v>
      </c>
      <c r="BH131" s="315">
        <f t="shared" si="45"/>
        <v>0</v>
      </c>
      <c r="BI131" s="315">
        <f t="shared" si="45"/>
        <v>0</v>
      </c>
      <c r="BJ131" s="315">
        <f t="shared" si="45"/>
        <v>0</v>
      </c>
      <c r="BK131" s="315">
        <f t="shared" si="45"/>
        <v>0</v>
      </c>
      <c r="BL131" s="315">
        <f t="shared" si="45"/>
        <v>0</v>
      </c>
      <c r="BM131" s="315">
        <f t="shared" si="45"/>
        <v>0</v>
      </c>
      <c r="BN131" s="315">
        <f t="shared" si="45"/>
        <v>0</v>
      </c>
      <c r="BO131" s="315">
        <f t="shared" si="45"/>
        <v>0</v>
      </c>
      <c r="BP131" s="315">
        <f t="shared" si="45"/>
        <v>0</v>
      </c>
      <c r="BQ131" s="315">
        <f t="shared" si="45"/>
        <v>0</v>
      </c>
      <c r="BR131" s="315">
        <f t="shared" si="45"/>
        <v>0</v>
      </c>
      <c r="BS131" s="315">
        <f t="shared" si="45"/>
        <v>0</v>
      </c>
      <c r="BT131" s="315">
        <f t="shared" si="45"/>
        <v>0</v>
      </c>
      <c r="BU131" s="315">
        <f t="shared" si="45"/>
        <v>0</v>
      </c>
      <c r="BV131" s="315">
        <f t="shared" si="45"/>
        <v>0</v>
      </c>
      <c r="BW131" s="315">
        <f t="shared" si="45"/>
        <v>0</v>
      </c>
      <c r="BX131" s="315">
        <f t="shared" si="45"/>
        <v>0</v>
      </c>
    </row>
    <row r="132" spans="3:76">
      <c r="C132" s="314" t="s">
        <v>353</v>
      </c>
      <c r="D132" s="323"/>
      <c r="E132" s="315"/>
      <c r="F132" s="315"/>
      <c r="G132" s="315"/>
      <c r="H132" s="315"/>
      <c r="I132" s="315"/>
      <c r="J132" s="315"/>
      <c r="K132" s="315"/>
      <c r="L132" s="315"/>
      <c r="M132" s="315"/>
      <c r="N132" s="315"/>
      <c r="O132" s="315"/>
      <c r="P132" s="315"/>
      <c r="Q132" s="315"/>
      <c r="R132" s="315"/>
      <c r="S132" s="315"/>
      <c r="T132" s="315"/>
      <c r="U132" s="315"/>
      <c r="V132" s="315"/>
      <c r="W132" s="315"/>
      <c r="X132" s="315"/>
      <c r="Y132" s="315"/>
      <c r="Z132" s="315"/>
      <c r="AA132" s="315"/>
      <c r="AB132" s="315"/>
      <c r="AC132" s="315"/>
      <c r="AD132" s="315"/>
      <c r="AE132" s="315"/>
      <c r="AF132" s="315"/>
      <c r="AG132" s="315"/>
      <c r="AH132" s="315"/>
      <c r="AI132" s="315"/>
      <c r="AJ132" s="315"/>
      <c r="AK132" s="315"/>
      <c r="AL132" s="315"/>
      <c r="AM132" s="315"/>
      <c r="AN132" s="315"/>
      <c r="AO132" s="315"/>
      <c r="AP132" s="315"/>
      <c r="AQ132" s="315"/>
      <c r="AR132" s="315"/>
      <c r="AS132" s="315"/>
      <c r="AT132" s="315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</row>
    <row r="133" spans="3:76">
      <c r="C133" s="314" t="s">
        <v>343</v>
      </c>
      <c r="D133" s="323"/>
      <c r="E133" s="315">
        <f t="shared" ref="E133:BX133" si="46">-E57</f>
        <v>0</v>
      </c>
      <c r="F133" s="315">
        <f t="shared" si="46"/>
        <v>0</v>
      </c>
      <c r="G133" s="315">
        <f t="shared" si="46"/>
        <v>0</v>
      </c>
      <c r="H133" s="315">
        <f t="shared" si="46"/>
        <v>0</v>
      </c>
      <c r="I133" s="315">
        <f t="shared" si="46"/>
        <v>0</v>
      </c>
      <c r="J133" s="315">
        <f t="shared" si="46"/>
        <v>0</v>
      </c>
      <c r="K133" s="315">
        <f t="shared" si="46"/>
        <v>0</v>
      </c>
      <c r="L133" s="315">
        <f t="shared" si="46"/>
        <v>0</v>
      </c>
      <c r="M133" s="315">
        <f t="shared" si="46"/>
        <v>0</v>
      </c>
      <c r="N133" s="315">
        <f t="shared" si="46"/>
        <v>0</v>
      </c>
      <c r="O133" s="315">
        <f t="shared" si="46"/>
        <v>0</v>
      </c>
      <c r="P133" s="315">
        <f t="shared" si="46"/>
        <v>0</v>
      </c>
      <c r="Q133" s="315">
        <f t="shared" si="46"/>
        <v>0</v>
      </c>
      <c r="R133" s="315">
        <f t="shared" si="46"/>
        <v>0</v>
      </c>
      <c r="S133" s="315">
        <f t="shared" si="46"/>
        <v>0</v>
      </c>
      <c r="T133" s="315">
        <f t="shared" si="46"/>
        <v>0</v>
      </c>
      <c r="U133" s="315">
        <f t="shared" si="46"/>
        <v>0</v>
      </c>
      <c r="V133" s="315">
        <f t="shared" si="46"/>
        <v>0</v>
      </c>
      <c r="W133" s="315">
        <f t="shared" si="46"/>
        <v>0</v>
      </c>
      <c r="X133" s="315">
        <f t="shared" si="46"/>
        <v>0</v>
      </c>
      <c r="Y133" s="315">
        <f t="shared" si="46"/>
        <v>0</v>
      </c>
      <c r="Z133" s="315">
        <f t="shared" si="46"/>
        <v>0</v>
      </c>
      <c r="AA133" s="315">
        <f t="shared" si="46"/>
        <v>2535912.5</v>
      </c>
      <c r="AB133" s="315">
        <f t="shared" si="46"/>
        <v>0</v>
      </c>
      <c r="AC133" s="315">
        <f t="shared" si="46"/>
        <v>0</v>
      </c>
      <c r="AD133" s="315">
        <f t="shared" si="46"/>
        <v>0</v>
      </c>
      <c r="AE133" s="315">
        <f t="shared" si="46"/>
        <v>0</v>
      </c>
      <c r="AF133" s="315">
        <f t="shared" si="46"/>
        <v>0</v>
      </c>
      <c r="AG133" s="315">
        <f t="shared" si="46"/>
        <v>0</v>
      </c>
      <c r="AH133" s="315">
        <f t="shared" si="46"/>
        <v>0</v>
      </c>
      <c r="AI133" s="315">
        <f t="shared" si="46"/>
        <v>0</v>
      </c>
      <c r="AJ133" s="315">
        <f t="shared" si="46"/>
        <v>0</v>
      </c>
      <c r="AK133" s="315">
        <f t="shared" si="46"/>
        <v>0</v>
      </c>
      <c r="AL133" s="315">
        <f t="shared" si="46"/>
        <v>0</v>
      </c>
      <c r="AM133" s="315">
        <f t="shared" si="46"/>
        <v>0</v>
      </c>
      <c r="AN133" s="315">
        <f t="shared" si="46"/>
        <v>0</v>
      </c>
      <c r="AO133" s="315">
        <f t="shared" si="46"/>
        <v>0</v>
      </c>
      <c r="AP133" s="315">
        <f t="shared" si="46"/>
        <v>0</v>
      </c>
      <c r="AQ133" s="315">
        <f t="shared" si="46"/>
        <v>0</v>
      </c>
      <c r="AR133" s="315">
        <f t="shared" si="46"/>
        <v>0</v>
      </c>
      <c r="AS133" s="315">
        <f t="shared" si="46"/>
        <v>0</v>
      </c>
      <c r="AT133" s="315">
        <f t="shared" si="46"/>
        <v>0</v>
      </c>
      <c r="AU133" s="315">
        <f t="shared" si="46"/>
        <v>0</v>
      </c>
      <c r="AV133" s="315">
        <f t="shared" si="46"/>
        <v>0</v>
      </c>
      <c r="AW133" s="315">
        <f t="shared" si="46"/>
        <v>0</v>
      </c>
      <c r="AX133" s="315">
        <f t="shared" si="46"/>
        <v>0</v>
      </c>
      <c r="AY133" s="315">
        <f t="shared" si="46"/>
        <v>0</v>
      </c>
      <c r="AZ133" s="315">
        <f t="shared" si="46"/>
        <v>0</v>
      </c>
      <c r="BA133" s="315">
        <f t="shared" si="46"/>
        <v>0</v>
      </c>
      <c r="BB133" s="315">
        <f t="shared" si="46"/>
        <v>0</v>
      </c>
      <c r="BC133" s="315">
        <f t="shared" si="46"/>
        <v>0</v>
      </c>
      <c r="BD133" s="315">
        <f t="shared" si="46"/>
        <v>0</v>
      </c>
      <c r="BE133" s="315">
        <f t="shared" si="46"/>
        <v>0</v>
      </c>
      <c r="BF133" s="315">
        <f t="shared" si="46"/>
        <v>0</v>
      </c>
      <c r="BG133" s="315">
        <f t="shared" si="46"/>
        <v>0</v>
      </c>
      <c r="BH133" s="315">
        <f t="shared" si="46"/>
        <v>0</v>
      </c>
      <c r="BI133" s="315">
        <f t="shared" si="46"/>
        <v>0</v>
      </c>
      <c r="BJ133" s="315">
        <f t="shared" si="46"/>
        <v>0</v>
      </c>
      <c r="BK133" s="315">
        <f t="shared" si="46"/>
        <v>0</v>
      </c>
      <c r="BL133" s="315">
        <f t="shared" si="46"/>
        <v>0</v>
      </c>
      <c r="BM133" s="315">
        <f t="shared" si="46"/>
        <v>0</v>
      </c>
      <c r="BN133" s="315">
        <f t="shared" si="46"/>
        <v>0</v>
      </c>
      <c r="BO133" s="315">
        <f t="shared" si="46"/>
        <v>0</v>
      </c>
      <c r="BP133" s="315">
        <f t="shared" si="46"/>
        <v>0</v>
      </c>
      <c r="BQ133" s="315">
        <f t="shared" si="46"/>
        <v>0</v>
      </c>
      <c r="BR133" s="315">
        <f t="shared" si="46"/>
        <v>0</v>
      </c>
      <c r="BS133" s="315">
        <f t="shared" si="46"/>
        <v>0</v>
      </c>
      <c r="BT133" s="315">
        <f t="shared" si="46"/>
        <v>0</v>
      </c>
      <c r="BU133" s="315">
        <f t="shared" si="46"/>
        <v>0</v>
      </c>
      <c r="BV133" s="315">
        <f t="shared" si="46"/>
        <v>0</v>
      </c>
      <c r="BW133" s="315">
        <f t="shared" si="46"/>
        <v>0</v>
      </c>
      <c r="BX133" s="315">
        <f t="shared" si="46"/>
        <v>0</v>
      </c>
    </row>
    <row r="134" spans="3:76">
      <c r="C134" s="314" t="s">
        <v>344</v>
      </c>
      <c r="D134" s="323"/>
      <c r="E134" s="315"/>
      <c r="F134" s="315"/>
      <c r="G134" s="315"/>
      <c r="H134" s="315"/>
      <c r="I134" s="315"/>
      <c r="J134" s="315"/>
      <c r="K134" s="315"/>
      <c r="L134" s="315"/>
      <c r="M134" s="315"/>
      <c r="N134" s="315"/>
      <c r="O134" s="315"/>
      <c r="P134" s="315"/>
      <c r="Q134" s="315"/>
      <c r="R134" s="315"/>
      <c r="S134" s="315"/>
      <c r="T134" s="315">
        <f>T101-T150-T166-T182</f>
        <v>-9073090.4389099497</v>
      </c>
      <c r="U134" s="315"/>
      <c r="V134" s="315"/>
      <c r="W134" s="315"/>
      <c r="X134" s="315"/>
      <c r="Y134" s="315"/>
      <c r="Z134" s="315"/>
      <c r="AA134" s="315"/>
      <c r="AB134" s="315"/>
      <c r="AC134" s="315"/>
      <c r="AD134" s="315"/>
      <c r="AE134" s="315"/>
      <c r="AF134" s="315"/>
      <c r="AG134" s="315"/>
      <c r="AH134" s="315"/>
      <c r="AI134" s="315"/>
      <c r="AJ134" s="315"/>
      <c r="AK134" s="315"/>
      <c r="AL134" s="315"/>
      <c r="AM134" s="315"/>
      <c r="AN134" s="315"/>
      <c r="AO134" s="315"/>
      <c r="AP134" s="315"/>
      <c r="AQ134" s="315"/>
      <c r="AR134" s="315"/>
      <c r="AS134" s="315"/>
      <c r="AT134" s="315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>
        <f>IF(D106&gt;0.25,(BX101-BX109)*D135,BX101*D135)</f>
        <v>0</v>
      </c>
    </row>
    <row r="135" spans="3:76">
      <c r="C135" s="317" t="s">
        <v>345</v>
      </c>
      <c r="D135" s="323">
        <v>0</v>
      </c>
      <c r="E135" s="246"/>
      <c r="F135" s="246"/>
      <c r="G135" s="246"/>
      <c r="H135" s="246"/>
      <c r="I135" s="246"/>
      <c r="J135" s="246"/>
      <c r="K135" s="246"/>
      <c r="L135" s="246"/>
      <c r="M135" s="246"/>
      <c r="N135" s="246"/>
      <c r="O135" s="246"/>
      <c r="P135" s="246"/>
      <c r="Q135" s="246"/>
      <c r="R135" s="246"/>
      <c r="S135" s="246"/>
      <c r="T135" s="246"/>
      <c r="U135" s="246"/>
      <c r="V135" s="246"/>
      <c r="W135" s="246"/>
      <c r="X135" s="246"/>
      <c r="Y135" s="246"/>
      <c r="Z135" s="246"/>
      <c r="AA135" s="246"/>
      <c r="AB135" s="246"/>
      <c r="AC135" s="246"/>
      <c r="AD135" s="246"/>
      <c r="AE135" s="246"/>
      <c r="AF135" s="246"/>
      <c r="AG135" s="246"/>
      <c r="AH135" s="246"/>
      <c r="AI135" s="246"/>
      <c r="AJ135" s="246"/>
      <c r="AK135" s="246"/>
      <c r="AL135" s="246"/>
      <c r="AM135" s="246"/>
      <c r="AN135" s="246"/>
      <c r="AO135" s="246"/>
      <c r="AP135" s="246"/>
      <c r="AQ135" s="246"/>
      <c r="AR135" s="246"/>
      <c r="AS135" s="246"/>
      <c r="AT135" s="246"/>
      <c r="AU135" s="246"/>
      <c r="AV135" s="246"/>
      <c r="AW135" s="246"/>
      <c r="AX135" s="246"/>
      <c r="AY135" s="246"/>
      <c r="AZ135" s="246"/>
      <c r="BA135" s="246"/>
      <c r="BB135" s="246"/>
      <c r="BC135" s="246"/>
      <c r="BD135" s="246"/>
      <c r="BE135" s="246"/>
      <c r="BF135" s="246"/>
      <c r="BG135" s="246"/>
      <c r="BH135" s="246"/>
      <c r="BI135" s="246"/>
      <c r="BJ135" s="246"/>
      <c r="BK135" s="246"/>
      <c r="BL135" s="246"/>
      <c r="BM135" s="246"/>
      <c r="BN135" s="246"/>
      <c r="BO135" s="246"/>
      <c r="BP135" s="246"/>
      <c r="BQ135" s="246"/>
      <c r="BR135" s="246"/>
      <c r="BS135" s="246"/>
      <c r="BT135" s="246"/>
      <c r="BU135" s="246"/>
      <c r="BV135" s="246"/>
      <c r="BW135" s="246"/>
      <c r="BX135" s="246"/>
    </row>
    <row r="136" spans="3:76">
      <c r="C136" s="314" t="s">
        <v>346</v>
      </c>
      <c r="D136" s="315"/>
      <c r="E136" s="325">
        <f t="shared" ref="E136:BX136" si="47">E131+E132+E133+E134+E135</f>
        <v>0</v>
      </c>
      <c r="F136" s="325">
        <f t="shared" si="47"/>
        <v>0</v>
      </c>
      <c r="G136" s="325">
        <f t="shared" si="47"/>
        <v>0</v>
      </c>
      <c r="H136" s="325">
        <f t="shared" si="47"/>
        <v>0</v>
      </c>
      <c r="I136" s="325">
        <f t="shared" si="47"/>
        <v>0</v>
      </c>
      <c r="J136" s="325">
        <f t="shared" si="47"/>
        <v>0</v>
      </c>
      <c r="K136" s="325">
        <f t="shared" si="47"/>
        <v>-885000</v>
      </c>
      <c r="L136" s="325">
        <f t="shared" si="47"/>
        <v>-1940000</v>
      </c>
      <c r="M136" s="325">
        <f t="shared" si="47"/>
        <v>-4260000</v>
      </c>
      <c r="N136" s="325">
        <f t="shared" si="47"/>
        <v>0</v>
      </c>
      <c r="O136" s="325">
        <f t="shared" si="47"/>
        <v>-320000</v>
      </c>
      <c r="P136" s="325">
        <f t="shared" si="47"/>
        <v>-320000</v>
      </c>
      <c r="Q136" s="325">
        <f t="shared" si="47"/>
        <v>0</v>
      </c>
      <c r="R136" s="325">
        <f t="shared" si="47"/>
        <v>-1500000</v>
      </c>
      <c r="S136" s="325">
        <f t="shared" si="47"/>
        <v>-2300000</v>
      </c>
      <c r="T136" s="325">
        <f t="shared" si="47"/>
        <v>-16373090.43890995</v>
      </c>
      <c r="U136" s="325">
        <f t="shared" si="47"/>
        <v>-5000000</v>
      </c>
      <c r="V136" s="325">
        <f t="shared" si="47"/>
        <v>-1000000</v>
      </c>
      <c r="W136" s="325">
        <f t="shared" si="47"/>
        <v>0</v>
      </c>
      <c r="X136" s="325">
        <f t="shared" si="47"/>
        <v>0</v>
      </c>
      <c r="Y136" s="325">
        <f t="shared" si="47"/>
        <v>0</v>
      </c>
      <c r="Z136" s="325">
        <f t="shared" si="47"/>
        <v>0</v>
      </c>
      <c r="AA136" s="325">
        <f t="shared" si="47"/>
        <v>27360912.5</v>
      </c>
      <c r="AB136" s="325">
        <f t="shared" si="47"/>
        <v>0</v>
      </c>
      <c r="AC136" s="325">
        <f t="shared" si="47"/>
        <v>0</v>
      </c>
      <c r="AD136" s="325">
        <f t="shared" si="47"/>
        <v>0</v>
      </c>
      <c r="AE136" s="325">
        <f t="shared" si="47"/>
        <v>0</v>
      </c>
      <c r="AF136" s="325">
        <f t="shared" si="47"/>
        <v>0</v>
      </c>
      <c r="AG136" s="325">
        <f t="shared" si="47"/>
        <v>0</v>
      </c>
      <c r="AH136" s="325">
        <f t="shared" si="47"/>
        <v>0</v>
      </c>
      <c r="AI136" s="325">
        <f t="shared" si="47"/>
        <v>0</v>
      </c>
      <c r="AJ136" s="325">
        <f t="shared" si="47"/>
        <v>0</v>
      </c>
      <c r="AK136" s="325">
        <f t="shared" si="47"/>
        <v>0</v>
      </c>
      <c r="AL136" s="325">
        <f t="shared" si="47"/>
        <v>0</v>
      </c>
      <c r="AM136" s="325">
        <f t="shared" si="47"/>
        <v>0</v>
      </c>
      <c r="AN136" s="325">
        <f t="shared" si="47"/>
        <v>0</v>
      </c>
      <c r="AO136" s="325">
        <f t="shared" si="47"/>
        <v>0</v>
      </c>
      <c r="AP136" s="325">
        <f t="shared" si="47"/>
        <v>0</v>
      </c>
      <c r="AQ136" s="325">
        <f t="shared" si="47"/>
        <v>0</v>
      </c>
      <c r="AR136" s="325">
        <f t="shared" si="47"/>
        <v>0</v>
      </c>
      <c r="AS136" s="325">
        <f t="shared" si="47"/>
        <v>0</v>
      </c>
      <c r="AT136" s="325">
        <f t="shared" si="47"/>
        <v>0</v>
      </c>
      <c r="AU136" s="325">
        <f t="shared" si="47"/>
        <v>0</v>
      </c>
      <c r="AV136" s="325">
        <f t="shared" si="47"/>
        <v>0</v>
      </c>
      <c r="AW136" s="325">
        <f t="shared" si="47"/>
        <v>0</v>
      </c>
      <c r="AX136" s="325">
        <f t="shared" si="47"/>
        <v>0</v>
      </c>
      <c r="AY136" s="325">
        <f t="shared" si="47"/>
        <v>0</v>
      </c>
      <c r="AZ136" s="325">
        <f t="shared" si="47"/>
        <v>0</v>
      </c>
      <c r="BA136" s="325">
        <f t="shared" si="47"/>
        <v>0</v>
      </c>
      <c r="BB136" s="325">
        <f t="shared" si="47"/>
        <v>0</v>
      </c>
      <c r="BC136" s="325">
        <f t="shared" si="47"/>
        <v>0</v>
      </c>
      <c r="BD136" s="325">
        <f t="shared" si="47"/>
        <v>0</v>
      </c>
      <c r="BE136" s="325">
        <f t="shared" si="47"/>
        <v>0</v>
      </c>
      <c r="BF136" s="325">
        <f t="shared" si="47"/>
        <v>0</v>
      </c>
      <c r="BG136" s="325">
        <f t="shared" si="47"/>
        <v>0</v>
      </c>
      <c r="BH136" s="325">
        <f t="shared" si="47"/>
        <v>0</v>
      </c>
      <c r="BI136" s="325">
        <f t="shared" si="47"/>
        <v>0</v>
      </c>
      <c r="BJ136" s="325">
        <f t="shared" si="47"/>
        <v>0</v>
      </c>
      <c r="BK136" s="325">
        <f t="shared" si="47"/>
        <v>0</v>
      </c>
      <c r="BL136" s="325">
        <f t="shared" si="47"/>
        <v>0</v>
      </c>
      <c r="BM136" s="325">
        <f t="shared" si="47"/>
        <v>0</v>
      </c>
      <c r="BN136" s="325">
        <f t="shared" si="47"/>
        <v>0</v>
      </c>
      <c r="BO136" s="325">
        <f t="shared" si="47"/>
        <v>0</v>
      </c>
      <c r="BP136" s="325">
        <f t="shared" si="47"/>
        <v>0</v>
      </c>
      <c r="BQ136" s="325">
        <f t="shared" si="47"/>
        <v>0</v>
      </c>
      <c r="BR136" s="325">
        <f t="shared" si="47"/>
        <v>0</v>
      </c>
      <c r="BS136" s="325">
        <f t="shared" si="47"/>
        <v>0</v>
      </c>
      <c r="BT136" s="325">
        <f t="shared" si="47"/>
        <v>0</v>
      </c>
      <c r="BU136" s="325">
        <f t="shared" si="47"/>
        <v>0</v>
      </c>
      <c r="BV136" s="325">
        <f t="shared" si="47"/>
        <v>0</v>
      </c>
      <c r="BW136" s="325">
        <f t="shared" si="47"/>
        <v>0</v>
      </c>
      <c r="BX136" s="325">
        <f t="shared" si="47"/>
        <v>0</v>
      </c>
    </row>
    <row r="137" spans="3:76">
      <c r="C137" s="318"/>
      <c r="D137" s="326" t="s">
        <v>354</v>
      </c>
      <c r="E137" s="330">
        <f>E136</f>
        <v>0</v>
      </c>
      <c r="F137" s="330">
        <f t="shared" ref="F137:BX137" si="48">E137+F136</f>
        <v>0</v>
      </c>
      <c r="G137" s="330">
        <f t="shared" si="48"/>
        <v>0</v>
      </c>
      <c r="H137" s="330">
        <f t="shared" si="48"/>
        <v>0</v>
      </c>
      <c r="I137" s="330">
        <f t="shared" si="48"/>
        <v>0</v>
      </c>
      <c r="J137" s="330">
        <f t="shared" si="48"/>
        <v>0</v>
      </c>
      <c r="K137" s="330">
        <f t="shared" si="48"/>
        <v>-885000</v>
      </c>
      <c r="L137" s="330">
        <f t="shared" si="48"/>
        <v>-2825000</v>
      </c>
      <c r="M137" s="330">
        <f t="shared" si="48"/>
        <v>-7085000</v>
      </c>
      <c r="N137" s="330">
        <f t="shared" si="48"/>
        <v>-7085000</v>
      </c>
      <c r="O137" s="330">
        <f t="shared" si="48"/>
        <v>-7405000</v>
      </c>
      <c r="P137" s="330">
        <f t="shared" si="48"/>
        <v>-7725000</v>
      </c>
      <c r="Q137" s="330">
        <f t="shared" si="48"/>
        <v>-7725000</v>
      </c>
      <c r="R137" s="330">
        <f t="shared" si="48"/>
        <v>-9225000</v>
      </c>
      <c r="S137" s="330">
        <f t="shared" si="48"/>
        <v>-11525000</v>
      </c>
      <c r="T137" s="330">
        <f t="shared" si="48"/>
        <v>-27898090.438909948</v>
      </c>
      <c r="U137" s="330">
        <f t="shared" si="48"/>
        <v>-32898090.438909948</v>
      </c>
      <c r="V137" s="330">
        <f t="shared" si="48"/>
        <v>-33898090.438909948</v>
      </c>
      <c r="W137" s="330">
        <f t="shared" si="48"/>
        <v>-33898090.438909948</v>
      </c>
      <c r="X137" s="330">
        <f t="shared" si="48"/>
        <v>-33898090.438909948</v>
      </c>
      <c r="Y137" s="330">
        <f t="shared" si="48"/>
        <v>-33898090.438909948</v>
      </c>
      <c r="Z137" s="330">
        <f t="shared" si="48"/>
        <v>-33898090.438909948</v>
      </c>
      <c r="AA137" s="330">
        <f t="shared" si="48"/>
        <v>-6537177.9389099479</v>
      </c>
      <c r="AB137" s="330">
        <f t="shared" si="48"/>
        <v>-6537177.9389099479</v>
      </c>
      <c r="AC137" s="330">
        <f t="shared" si="48"/>
        <v>-6537177.9389099479</v>
      </c>
      <c r="AD137" s="330">
        <f t="shared" si="48"/>
        <v>-6537177.9389099479</v>
      </c>
      <c r="AE137" s="330">
        <f t="shared" si="48"/>
        <v>-6537177.9389099479</v>
      </c>
      <c r="AF137" s="330">
        <f t="shared" si="48"/>
        <v>-6537177.9389099479</v>
      </c>
      <c r="AG137" s="330">
        <f t="shared" si="48"/>
        <v>-6537177.9389099479</v>
      </c>
      <c r="AH137" s="330">
        <f t="shared" si="48"/>
        <v>-6537177.9389099479</v>
      </c>
      <c r="AI137" s="330">
        <f t="shared" si="48"/>
        <v>-6537177.9389099479</v>
      </c>
      <c r="AJ137" s="330">
        <f t="shared" si="48"/>
        <v>-6537177.9389099479</v>
      </c>
      <c r="AK137" s="330">
        <f t="shared" si="48"/>
        <v>-6537177.9389099479</v>
      </c>
      <c r="AL137" s="330">
        <f t="shared" si="48"/>
        <v>-6537177.9389099479</v>
      </c>
      <c r="AM137" s="330">
        <f t="shared" si="48"/>
        <v>-6537177.9389099479</v>
      </c>
      <c r="AN137" s="330">
        <f t="shared" si="48"/>
        <v>-6537177.9389099479</v>
      </c>
      <c r="AO137" s="330">
        <f t="shared" si="48"/>
        <v>-6537177.9389099479</v>
      </c>
      <c r="AP137" s="330">
        <f t="shared" si="48"/>
        <v>-6537177.9389099479</v>
      </c>
      <c r="AQ137" s="330">
        <f t="shared" si="48"/>
        <v>-6537177.9389099479</v>
      </c>
      <c r="AR137" s="330">
        <f t="shared" si="48"/>
        <v>-6537177.9389099479</v>
      </c>
      <c r="AS137" s="330">
        <f t="shared" si="48"/>
        <v>-6537177.9389099479</v>
      </c>
      <c r="AT137" s="330">
        <f t="shared" si="48"/>
        <v>-6537177.9389099479</v>
      </c>
      <c r="AU137" s="330">
        <f t="shared" si="48"/>
        <v>-6537177.9389099479</v>
      </c>
      <c r="AV137" s="330">
        <f t="shared" si="48"/>
        <v>-6537177.9389099479</v>
      </c>
      <c r="AW137" s="330">
        <f t="shared" si="48"/>
        <v>-6537177.9389099479</v>
      </c>
      <c r="AX137" s="330">
        <f t="shared" si="48"/>
        <v>-6537177.9389099479</v>
      </c>
      <c r="AY137" s="330">
        <f t="shared" si="48"/>
        <v>-6537177.9389099479</v>
      </c>
      <c r="AZ137" s="330">
        <f t="shared" si="48"/>
        <v>-6537177.9389099479</v>
      </c>
      <c r="BA137" s="330">
        <f t="shared" si="48"/>
        <v>-6537177.9389099479</v>
      </c>
      <c r="BB137" s="330">
        <f t="shared" si="48"/>
        <v>-6537177.9389099479</v>
      </c>
      <c r="BC137" s="330">
        <f t="shared" si="48"/>
        <v>-6537177.9389099479</v>
      </c>
      <c r="BD137" s="330">
        <f t="shared" si="48"/>
        <v>-6537177.9389099479</v>
      </c>
      <c r="BE137" s="330">
        <f t="shared" si="48"/>
        <v>-6537177.9389099479</v>
      </c>
      <c r="BF137" s="330">
        <f t="shared" si="48"/>
        <v>-6537177.9389099479</v>
      </c>
      <c r="BG137" s="330">
        <f t="shared" si="48"/>
        <v>-6537177.9389099479</v>
      </c>
      <c r="BH137" s="330">
        <f t="shared" si="48"/>
        <v>-6537177.9389099479</v>
      </c>
      <c r="BI137" s="330">
        <f t="shared" si="48"/>
        <v>-6537177.9389099479</v>
      </c>
      <c r="BJ137" s="330">
        <f t="shared" si="48"/>
        <v>-6537177.9389099479</v>
      </c>
      <c r="BK137" s="330">
        <f t="shared" si="48"/>
        <v>-6537177.9389099479</v>
      </c>
      <c r="BL137" s="330">
        <f t="shared" si="48"/>
        <v>-6537177.9389099479</v>
      </c>
      <c r="BM137" s="330">
        <f t="shared" si="48"/>
        <v>-6537177.9389099479</v>
      </c>
      <c r="BN137" s="330">
        <f t="shared" si="48"/>
        <v>-6537177.9389099479</v>
      </c>
      <c r="BO137" s="330">
        <f t="shared" si="48"/>
        <v>-6537177.9389099479</v>
      </c>
      <c r="BP137" s="330">
        <f t="shared" si="48"/>
        <v>-6537177.9389099479</v>
      </c>
      <c r="BQ137" s="330">
        <f t="shared" si="48"/>
        <v>-6537177.9389099479</v>
      </c>
      <c r="BR137" s="330">
        <f t="shared" si="48"/>
        <v>-6537177.9389099479</v>
      </c>
      <c r="BS137" s="330">
        <f t="shared" si="48"/>
        <v>-6537177.9389099479</v>
      </c>
      <c r="BT137" s="330">
        <f t="shared" si="48"/>
        <v>-6537177.9389099479</v>
      </c>
      <c r="BU137" s="330">
        <f t="shared" si="48"/>
        <v>-6537177.9389099479</v>
      </c>
      <c r="BV137" s="330">
        <f t="shared" si="48"/>
        <v>-6537177.9389099479</v>
      </c>
      <c r="BW137" s="330">
        <f t="shared" si="48"/>
        <v>-6537177.9389099479</v>
      </c>
      <c r="BX137" s="330">
        <f t="shared" si="48"/>
        <v>-6537177.9389099479</v>
      </c>
    </row>
    <row r="138" spans="3:76">
      <c r="C138" s="317" t="s">
        <v>339</v>
      </c>
      <c r="D138" s="326">
        <f>IRR(E136:BX136)*12</f>
        <v>-0.29930336257143964</v>
      </c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  <c r="BU138" s="226"/>
      <c r="BV138" s="226"/>
      <c r="BW138" s="226"/>
      <c r="BX138" s="226"/>
    </row>
    <row r="139" spans="3:76">
      <c r="C139" s="327" t="s">
        <v>347</v>
      </c>
      <c r="D139" s="328">
        <f>-MIN(E131:BL131)</f>
        <v>7300000</v>
      </c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6"/>
      <c r="BN139" s="226"/>
      <c r="BO139" s="226"/>
      <c r="BP139" s="226"/>
      <c r="BQ139" s="226"/>
      <c r="BR139" s="226"/>
      <c r="BS139" s="226"/>
      <c r="BT139" s="226"/>
      <c r="BU139" s="226"/>
      <c r="BV139" s="226"/>
      <c r="BW139" s="226"/>
      <c r="BX139" s="226"/>
    </row>
    <row r="140" spans="3:76">
      <c r="C140" s="327" t="s">
        <v>348</v>
      </c>
      <c r="D140" s="328">
        <f>-SUM(M135:BB135)</f>
        <v>0</v>
      </c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  <c r="BU140" s="226"/>
      <c r="BV140" s="226"/>
      <c r="BW140" s="226"/>
      <c r="BX140" s="226"/>
    </row>
    <row r="141" spans="3:76">
      <c r="C141" s="317" t="s">
        <v>349</v>
      </c>
      <c r="D141" s="329">
        <f>D140+D139</f>
        <v>7300000</v>
      </c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AY141" s="226"/>
      <c r="AZ141" s="226"/>
      <c r="BA141" s="226"/>
      <c r="BB141" s="226"/>
      <c r="BC141" s="226"/>
      <c r="BD141" s="226"/>
      <c r="BE141" s="226"/>
      <c r="BF141" s="226"/>
      <c r="BG141" s="226"/>
      <c r="BH141" s="226"/>
      <c r="BI141" s="226"/>
      <c r="BJ141" s="226"/>
      <c r="BK141" s="226"/>
      <c r="BL141" s="226"/>
      <c r="BM141" s="226"/>
      <c r="BN141" s="226"/>
      <c r="BO141" s="226"/>
      <c r="BP141" s="226"/>
      <c r="BQ141" s="226"/>
      <c r="BR141" s="226"/>
      <c r="BS141" s="226"/>
      <c r="BT141" s="226"/>
      <c r="BU141" s="226"/>
      <c r="BV141" s="226"/>
      <c r="BW141" s="226"/>
      <c r="BX141" s="226"/>
    </row>
    <row r="142" spans="3:76">
      <c r="C142" s="317" t="s">
        <v>350</v>
      </c>
      <c r="D142" s="329">
        <f>BX133+BX134</f>
        <v>0</v>
      </c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  <c r="AY142" s="226"/>
      <c r="AZ142" s="226"/>
      <c r="BA142" s="226"/>
      <c r="BB142" s="226"/>
      <c r="BC142" s="226"/>
      <c r="BD142" s="226"/>
      <c r="BE142" s="226"/>
      <c r="BF142" s="226"/>
      <c r="BG142" s="226"/>
      <c r="BH142" s="226"/>
      <c r="BI142" s="226"/>
      <c r="BJ142" s="226"/>
      <c r="BK142" s="226"/>
      <c r="BL142" s="226"/>
      <c r="BM142" s="226"/>
      <c r="BN142" s="226"/>
      <c r="BO142" s="226"/>
      <c r="BP142" s="226"/>
      <c r="BQ142" s="226"/>
      <c r="BR142" s="226"/>
      <c r="BS142" s="226"/>
      <c r="BT142" s="226"/>
      <c r="BU142" s="226"/>
      <c r="BV142" s="226"/>
      <c r="BW142" s="226"/>
      <c r="BX142" s="226"/>
    </row>
    <row r="143" spans="3:76">
      <c r="C143" s="317" t="s">
        <v>351</v>
      </c>
      <c r="D143" s="326">
        <f>(D142-D140)/D141</f>
        <v>0</v>
      </c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6"/>
      <c r="AT143" s="226"/>
      <c r="AU143" s="226"/>
      <c r="AV143" s="226"/>
      <c r="AW143" s="226"/>
      <c r="AX143" s="226"/>
      <c r="AY143" s="226"/>
      <c r="AZ143" s="226"/>
      <c r="BA143" s="226"/>
      <c r="BB143" s="226"/>
      <c r="BC143" s="226"/>
      <c r="BD143" s="226"/>
      <c r="BE143" s="226"/>
      <c r="BF143" s="226"/>
      <c r="BG143" s="226"/>
      <c r="BH143" s="226"/>
      <c r="BI143" s="226"/>
      <c r="BJ143" s="226"/>
      <c r="BK143" s="226"/>
      <c r="BL143" s="226"/>
      <c r="BM143" s="226"/>
      <c r="BN143" s="226"/>
      <c r="BO143" s="226"/>
      <c r="BP143" s="226"/>
      <c r="BQ143" s="226"/>
      <c r="BR143" s="226"/>
      <c r="BS143" s="226"/>
      <c r="BT143" s="226"/>
      <c r="BU143" s="226"/>
      <c r="BV143" s="226"/>
      <c r="BW143" s="226"/>
      <c r="BX143" s="226"/>
    </row>
    <row r="147" spans="3:76">
      <c r="C147" s="314" t="s">
        <v>355</v>
      </c>
      <c r="D147" s="315"/>
      <c r="E147" s="316">
        <f t="shared" ref="E147:G147" si="49">-(E24+E111)</f>
        <v>0</v>
      </c>
      <c r="F147" s="316">
        <f t="shared" si="49"/>
        <v>0</v>
      </c>
      <c r="G147" s="316">
        <f t="shared" si="49"/>
        <v>0</v>
      </c>
      <c r="H147" s="316">
        <f>-10682501</f>
        <v>-10682501</v>
      </c>
      <c r="I147" s="316">
        <v>0</v>
      </c>
      <c r="J147" s="316">
        <f>-(J24+J111)</f>
        <v>0</v>
      </c>
      <c r="K147" s="316">
        <v>0</v>
      </c>
      <c r="L147" s="316">
        <f t="shared" ref="L147:S147" si="50">-(L24+L111)</f>
        <v>15913.92</v>
      </c>
      <c r="M147" s="316">
        <f t="shared" si="50"/>
        <v>0</v>
      </c>
      <c r="N147" s="316">
        <f t="shared" si="50"/>
        <v>0</v>
      </c>
      <c r="O147" s="316">
        <f t="shared" si="50"/>
        <v>0</v>
      </c>
      <c r="P147" s="316">
        <f t="shared" si="50"/>
        <v>0</v>
      </c>
      <c r="Q147" s="316">
        <f t="shared" si="50"/>
        <v>36051</v>
      </c>
      <c r="R147" s="316">
        <f t="shared" si="50"/>
        <v>393250</v>
      </c>
      <c r="S147" s="316">
        <f t="shared" si="50"/>
        <v>393250</v>
      </c>
      <c r="T147" s="316">
        <f>-H147</f>
        <v>10682501</v>
      </c>
      <c r="U147" s="316">
        <f t="shared" ref="U147:BX147" si="51">-(U24+U111)</f>
        <v>0</v>
      </c>
      <c r="V147" s="316">
        <f t="shared" si="51"/>
        <v>0</v>
      </c>
      <c r="W147" s="316">
        <f t="shared" si="51"/>
        <v>0</v>
      </c>
      <c r="X147" s="316">
        <f t="shared" si="51"/>
        <v>0</v>
      </c>
      <c r="Y147" s="316">
        <f t="shared" si="51"/>
        <v>0</v>
      </c>
      <c r="Z147" s="316">
        <f t="shared" si="51"/>
        <v>0</v>
      </c>
      <c r="AA147" s="316">
        <f t="shared" si="51"/>
        <v>0</v>
      </c>
      <c r="AB147" s="316">
        <f t="shared" si="51"/>
        <v>0</v>
      </c>
      <c r="AC147" s="316">
        <f t="shared" si="51"/>
        <v>0</v>
      </c>
      <c r="AD147" s="316">
        <f t="shared" si="51"/>
        <v>0</v>
      </c>
      <c r="AE147" s="316">
        <f t="shared" si="51"/>
        <v>0</v>
      </c>
      <c r="AF147" s="316">
        <f t="shared" si="51"/>
        <v>0</v>
      </c>
      <c r="AG147" s="316">
        <f t="shared" si="51"/>
        <v>0</v>
      </c>
      <c r="AH147" s="316">
        <f t="shared" si="51"/>
        <v>0</v>
      </c>
      <c r="AI147" s="316">
        <f t="shared" si="51"/>
        <v>0</v>
      </c>
      <c r="AJ147" s="316">
        <f t="shared" si="51"/>
        <v>0</v>
      </c>
      <c r="AK147" s="316">
        <f t="shared" si="51"/>
        <v>0</v>
      </c>
      <c r="AL147" s="316">
        <f t="shared" si="51"/>
        <v>0</v>
      </c>
      <c r="AM147" s="316">
        <f t="shared" si="51"/>
        <v>0</v>
      </c>
      <c r="AN147" s="316">
        <f t="shared" si="51"/>
        <v>0</v>
      </c>
      <c r="AO147" s="316">
        <f t="shared" si="51"/>
        <v>0</v>
      </c>
      <c r="AP147" s="316">
        <f t="shared" si="51"/>
        <v>0</v>
      </c>
      <c r="AQ147" s="316">
        <f t="shared" si="51"/>
        <v>0</v>
      </c>
      <c r="AR147" s="316">
        <f t="shared" si="51"/>
        <v>0</v>
      </c>
      <c r="AS147" s="316">
        <f t="shared" si="51"/>
        <v>0</v>
      </c>
      <c r="AT147" s="316">
        <f t="shared" si="51"/>
        <v>0</v>
      </c>
      <c r="AU147" s="316">
        <f t="shared" si="51"/>
        <v>0</v>
      </c>
      <c r="AV147" s="316">
        <f t="shared" si="51"/>
        <v>0</v>
      </c>
      <c r="AW147" s="316">
        <f t="shared" si="51"/>
        <v>0</v>
      </c>
      <c r="AX147" s="316">
        <f t="shared" si="51"/>
        <v>0</v>
      </c>
      <c r="AY147" s="316">
        <f t="shared" si="51"/>
        <v>0</v>
      </c>
      <c r="AZ147" s="316">
        <f t="shared" si="51"/>
        <v>0</v>
      </c>
      <c r="BA147" s="316">
        <f t="shared" si="51"/>
        <v>0</v>
      </c>
      <c r="BB147" s="316">
        <f t="shared" si="51"/>
        <v>0</v>
      </c>
      <c r="BC147" s="316">
        <f t="shared" si="51"/>
        <v>0</v>
      </c>
      <c r="BD147" s="316">
        <f t="shared" si="51"/>
        <v>0</v>
      </c>
      <c r="BE147" s="316">
        <f t="shared" si="51"/>
        <v>0</v>
      </c>
      <c r="BF147" s="316">
        <f t="shared" si="51"/>
        <v>0</v>
      </c>
      <c r="BG147" s="316">
        <f t="shared" si="51"/>
        <v>0</v>
      </c>
      <c r="BH147" s="316">
        <f t="shared" si="51"/>
        <v>0</v>
      </c>
      <c r="BI147" s="316">
        <f t="shared" si="51"/>
        <v>0</v>
      </c>
      <c r="BJ147" s="316">
        <f t="shared" si="51"/>
        <v>0</v>
      </c>
      <c r="BK147" s="316">
        <f t="shared" si="51"/>
        <v>0</v>
      </c>
      <c r="BL147" s="316">
        <f t="shared" si="51"/>
        <v>0</v>
      </c>
      <c r="BM147" s="316">
        <f t="shared" si="51"/>
        <v>0</v>
      </c>
      <c r="BN147" s="316">
        <f t="shared" si="51"/>
        <v>0</v>
      </c>
      <c r="BO147" s="316">
        <f t="shared" si="51"/>
        <v>0</v>
      </c>
      <c r="BP147" s="316">
        <f t="shared" si="51"/>
        <v>0</v>
      </c>
      <c r="BQ147" s="316">
        <f t="shared" si="51"/>
        <v>0</v>
      </c>
      <c r="BR147" s="316">
        <f t="shared" si="51"/>
        <v>0</v>
      </c>
      <c r="BS147" s="316">
        <f t="shared" si="51"/>
        <v>0</v>
      </c>
      <c r="BT147" s="316">
        <f t="shared" si="51"/>
        <v>0</v>
      </c>
      <c r="BU147" s="316">
        <f t="shared" si="51"/>
        <v>0</v>
      </c>
      <c r="BV147" s="316">
        <f t="shared" si="51"/>
        <v>0</v>
      </c>
      <c r="BW147" s="316">
        <f t="shared" si="51"/>
        <v>0</v>
      </c>
      <c r="BX147" s="316">
        <f t="shared" si="51"/>
        <v>0</v>
      </c>
    </row>
    <row r="148" spans="3:76">
      <c r="C148" s="314" t="s">
        <v>353</v>
      </c>
      <c r="D148" s="323"/>
      <c r="E148" s="315"/>
      <c r="F148" s="315"/>
      <c r="G148" s="315"/>
      <c r="H148" s="315"/>
      <c r="I148" s="315"/>
      <c r="J148" s="315"/>
      <c r="K148" s="315"/>
      <c r="L148" s="315"/>
      <c r="M148" s="315"/>
      <c r="N148" s="315"/>
      <c r="O148" s="315"/>
      <c r="P148" s="315"/>
      <c r="Q148" s="315"/>
      <c r="R148" s="315"/>
      <c r="S148" s="315"/>
      <c r="T148" s="315"/>
      <c r="U148" s="315"/>
      <c r="V148" s="315"/>
      <c r="W148" s="315"/>
      <c r="X148" s="315"/>
      <c r="Y148" s="315"/>
      <c r="Z148" s="315"/>
      <c r="AA148" s="315"/>
      <c r="AB148" s="315"/>
      <c r="AC148" s="315"/>
      <c r="AD148" s="315"/>
      <c r="AE148" s="315"/>
      <c r="AF148" s="315"/>
      <c r="AG148" s="315"/>
      <c r="AH148" s="315"/>
      <c r="AI148" s="315"/>
      <c r="AJ148" s="315"/>
      <c r="AK148" s="315"/>
      <c r="AL148" s="315"/>
      <c r="AM148" s="315"/>
      <c r="AN148" s="315"/>
      <c r="AO148" s="315"/>
      <c r="AP148" s="315"/>
      <c r="AQ148" s="315"/>
      <c r="AR148" s="315"/>
      <c r="AS148" s="315"/>
      <c r="AT148" s="315"/>
      <c r="AU148" s="315"/>
      <c r="AV148" s="315"/>
      <c r="AW148" s="315"/>
      <c r="AX148" s="315"/>
      <c r="AY148" s="315"/>
      <c r="AZ148" s="315"/>
      <c r="BA148" s="315"/>
      <c r="BB148" s="315"/>
      <c r="BC148" s="316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</row>
    <row r="149" spans="3:76">
      <c r="C149" s="314" t="s">
        <v>343</v>
      </c>
      <c r="D149" s="323"/>
      <c r="E149" s="315">
        <f t="shared" ref="E149:BX149" si="52">-E75</f>
        <v>0</v>
      </c>
      <c r="F149" s="315">
        <f t="shared" si="52"/>
        <v>0</v>
      </c>
      <c r="G149" s="315">
        <f t="shared" si="52"/>
        <v>0</v>
      </c>
      <c r="H149" s="315">
        <f t="shared" si="52"/>
        <v>0</v>
      </c>
      <c r="I149" s="315">
        <f t="shared" si="52"/>
        <v>0</v>
      </c>
      <c r="J149" s="315">
        <f t="shared" si="52"/>
        <v>0</v>
      </c>
      <c r="K149" s="315">
        <f t="shared" si="52"/>
        <v>0</v>
      </c>
      <c r="L149" s="315">
        <f t="shared" si="52"/>
        <v>0</v>
      </c>
      <c r="M149" s="315">
        <f t="shared" si="52"/>
        <v>0</v>
      </c>
      <c r="N149" s="315">
        <f t="shared" si="52"/>
        <v>0</v>
      </c>
      <c r="O149" s="315">
        <f t="shared" si="52"/>
        <v>0</v>
      </c>
      <c r="P149" s="315">
        <f t="shared" si="52"/>
        <v>0</v>
      </c>
      <c r="Q149" s="315">
        <f t="shared" si="52"/>
        <v>0</v>
      </c>
      <c r="R149" s="315">
        <f t="shared" si="52"/>
        <v>0</v>
      </c>
      <c r="S149" s="315">
        <f t="shared" si="52"/>
        <v>0</v>
      </c>
      <c r="T149" s="315">
        <f t="shared" si="52"/>
        <v>0</v>
      </c>
      <c r="U149" s="315">
        <f t="shared" si="52"/>
        <v>0</v>
      </c>
      <c r="V149" s="315">
        <f t="shared" si="52"/>
        <v>0</v>
      </c>
      <c r="W149" s="315">
        <f t="shared" si="52"/>
        <v>0</v>
      </c>
      <c r="X149" s="315">
        <f t="shared" si="52"/>
        <v>0</v>
      </c>
      <c r="Y149" s="315">
        <f t="shared" si="52"/>
        <v>0</v>
      </c>
      <c r="Z149" s="315">
        <f t="shared" si="52"/>
        <v>0</v>
      </c>
      <c r="AA149" s="315">
        <f t="shared" si="52"/>
        <v>0</v>
      </c>
      <c r="AB149" s="315">
        <f t="shared" si="52"/>
        <v>0</v>
      </c>
      <c r="AC149" s="315">
        <f t="shared" si="52"/>
        <v>0</v>
      </c>
      <c r="AD149" s="315">
        <f t="shared" si="52"/>
        <v>0</v>
      </c>
      <c r="AE149" s="315">
        <f t="shared" si="52"/>
        <v>0</v>
      </c>
      <c r="AF149" s="315">
        <f t="shared" si="52"/>
        <v>0</v>
      </c>
      <c r="AG149" s="315">
        <f t="shared" si="52"/>
        <v>0</v>
      </c>
      <c r="AH149" s="315">
        <f t="shared" si="52"/>
        <v>0</v>
      </c>
      <c r="AI149" s="315">
        <f t="shared" si="52"/>
        <v>0</v>
      </c>
      <c r="AJ149" s="315">
        <f t="shared" si="52"/>
        <v>0</v>
      </c>
      <c r="AK149" s="315">
        <f t="shared" si="52"/>
        <v>0</v>
      </c>
      <c r="AL149" s="315">
        <f t="shared" si="52"/>
        <v>0</v>
      </c>
      <c r="AM149" s="315">
        <f t="shared" si="52"/>
        <v>0</v>
      </c>
      <c r="AN149" s="315">
        <f t="shared" si="52"/>
        <v>0</v>
      </c>
      <c r="AO149" s="315">
        <f t="shared" si="52"/>
        <v>0</v>
      </c>
      <c r="AP149" s="315">
        <f t="shared" si="52"/>
        <v>0</v>
      </c>
      <c r="AQ149" s="315">
        <f t="shared" si="52"/>
        <v>0</v>
      </c>
      <c r="AR149" s="315">
        <f t="shared" si="52"/>
        <v>0</v>
      </c>
      <c r="AS149" s="315">
        <f t="shared" si="52"/>
        <v>0</v>
      </c>
      <c r="AT149" s="315">
        <f t="shared" si="52"/>
        <v>0</v>
      </c>
      <c r="AU149" s="315">
        <f t="shared" si="52"/>
        <v>0</v>
      </c>
      <c r="AV149" s="315">
        <f t="shared" si="52"/>
        <v>0</v>
      </c>
      <c r="AW149" s="315">
        <f t="shared" si="52"/>
        <v>0</v>
      </c>
      <c r="AX149" s="315">
        <f t="shared" si="52"/>
        <v>0</v>
      </c>
      <c r="AY149" s="315">
        <f t="shared" si="52"/>
        <v>0</v>
      </c>
      <c r="AZ149" s="315">
        <f t="shared" si="52"/>
        <v>0</v>
      </c>
      <c r="BA149" s="315">
        <f t="shared" si="52"/>
        <v>0</v>
      </c>
      <c r="BB149" s="315">
        <f t="shared" si="52"/>
        <v>0</v>
      </c>
      <c r="BC149" s="315">
        <f t="shared" si="52"/>
        <v>0</v>
      </c>
      <c r="BD149" s="315">
        <f t="shared" si="52"/>
        <v>0</v>
      </c>
      <c r="BE149" s="315">
        <f t="shared" si="52"/>
        <v>0</v>
      </c>
      <c r="BF149" s="315">
        <f t="shared" si="52"/>
        <v>0</v>
      </c>
      <c r="BG149" s="315">
        <f t="shared" si="52"/>
        <v>0</v>
      </c>
      <c r="BH149" s="315">
        <f t="shared" si="52"/>
        <v>0</v>
      </c>
      <c r="BI149" s="315">
        <f t="shared" si="52"/>
        <v>0</v>
      </c>
      <c r="BJ149" s="315">
        <f t="shared" si="52"/>
        <v>0</v>
      </c>
      <c r="BK149" s="315">
        <f t="shared" si="52"/>
        <v>0</v>
      </c>
      <c r="BL149" s="315">
        <f t="shared" si="52"/>
        <v>0</v>
      </c>
      <c r="BM149" s="315">
        <f t="shared" si="52"/>
        <v>0</v>
      </c>
      <c r="BN149" s="315">
        <f t="shared" si="52"/>
        <v>0</v>
      </c>
      <c r="BO149" s="315">
        <f t="shared" si="52"/>
        <v>0</v>
      </c>
      <c r="BP149" s="315">
        <f t="shared" si="52"/>
        <v>0</v>
      </c>
      <c r="BQ149" s="315">
        <f t="shared" si="52"/>
        <v>0</v>
      </c>
      <c r="BR149" s="315">
        <f t="shared" si="52"/>
        <v>0</v>
      </c>
      <c r="BS149" s="315">
        <f t="shared" si="52"/>
        <v>0</v>
      </c>
      <c r="BT149" s="315">
        <f t="shared" si="52"/>
        <v>0</v>
      </c>
      <c r="BU149" s="315">
        <f t="shared" si="52"/>
        <v>0</v>
      </c>
      <c r="BV149" s="315">
        <f t="shared" si="52"/>
        <v>0</v>
      </c>
      <c r="BW149" s="315">
        <f t="shared" si="52"/>
        <v>0</v>
      </c>
      <c r="BX149" s="315">
        <f t="shared" si="52"/>
        <v>0</v>
      </c>
    </row>
    <row r="150" spans="3:76">
      <c r="C150" s="314" t="s">
        <v>344</v>
      </c>
      <c r="D150" s="323"/>
      <c r="E150" s="315"/>
      <c r="F150" s="315"/>
      <c r="G150" s="315"/>
      <c r="H150" s="315"/>
      <c r="I150" s="315"/>
      <c r="J150" s="315"/>
      <c r="K150" s="315"/>
      <c r="L150" s="315"/>
      <c r="M150" s="315"/>
      <c r="N150" s="315"/>
      <c r="O150" s="315"/>
      <c r="P150" s="315"/>
      <c r="Q150" s="315"/>
      <c r="R150" s="315"/>
      <c r="S150" s="315"/>
      <c r="T150" s="315">
        <f>5500000</f>
        <v>5500000</v>
      </c>
      <c r="U150" s="315"/>
      <c r="V150" s="315"/>
      <c r="W150" s="315"/>
      <c r="X150" s="315"/>
      <c r="Y150" s="315"/>
      <c r="Z150" s="315"/>
      <c r="AA150" s="315"/>
      <c r="AB150" s="315"/>
      <c r="AC150" s="315"/>
      <c r="AD150" s="315"/>
      <c r="AE150" s="315"/>
      <c r="AF150" s="315"/>
      <c r="AG150" s="315"/>
      <c r="AH150" s="315"/>
      <c r="AI150" s="315"/>
      <c r="AJ150" s="315"/>
      <c r="AK150" s="315"/>
      <c r="AL150" s="315"/>
      <c r="AM150" s="315"/>
      <c r="AN150" s="315"/>
      <c r="AO150" s="315"/>
      <c r="AP150" s="315"/>
      <c r="AQ150" s="315"/>
      <c r="AR150" s="315"/>
      <c r="AS150" s="315"/>
      <c r="AT150" s="315"/>
      <c r="AU150" s="315"/>
      <c r="AV150" s="315"/>
      <c r="AW150" s="315"/>
      <c r="AX150" s="315"/>
      <c r="AY150" s="315"/>
      <c r="AZ150" s="315"/>
      <c r="BA150" s="315"/>
      <c r="BB150" s="315"/>
      <c r="BC150" s="316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>
        <f>IF(D122&gt;0.25,(BX117-BX125)*D151,BX117*D151)</f>
        <v>0</v>
      </c>
    </row>
    <row r="151" spans="3:76">
      <c r="C151" s="317" t="s">
        <v>345</v>
      </c>
      <c r="D151" s="323">
        <v>0</v>
      </c>
      <c r="E151" s="315"/>
      <c r="F151" s="315"/>
      <c r="G151" s="315"/>
      <c r="H151" s="315"/>
      <c r="I151" s="315"/>
      <c r="J151" s="315"/>
      <c r="K151" s="315"/>
      <c r="L151" s="315"/>
      <c r="M151" s="315"/>
      <c r="N151" s="315"/>
      <c r="O151" s="315"/>
      <c r="P151" s="315"/>
      <c r="Q151" s="315"/>
      <c r="R151" s="315"/>
      <c r="S151" s="315"/>
      <c r="T151" s="315"/>
      <c r="U151" s="315"/>
      <c r="V151" s="315"/>
      <c r="W151" s="315"/>
      <c r="X151" s="315"/>
      <c r="Y151" s="315"/>
      <c r="Z151" s="315"/>
      <c r="AA151" s="315"/>
      <c r="AB151" s="315"/>
      <c r="AC151" s="315"/>
      <c r="AD151" s="315"/>
      <c r="AE151" s="315"/>
      <c r="AF151" s="315"/>
      <c r="AG151" s="315"/>
      <c r="AH151" s="315"/>
      <c r="AI151" s="315"/>
      <c r="AJ151" s="315"/>
      <c r="AK151" s="315"/>
      <c r="AL151" s="315"/>
      <c r="AM151" s="315"/>
      <c r="AN151" s="315"/>
      <c r="AO151" s="315"/>
      <c r="AP151" s="315"/>
      <c r="AQ151" s="315"/>
      <c r="AR151" s="315"/>
      <c r="AS151" s="315"/>
      <c r="AT151" s="315"/>
      <c r="AU151" s="315"/>
      <c r="AV151" s="315"/>
      <c r="AW151" s="315"/>
      <c r="AX151" s="315"/>
      <c r="AY151" s="315"/>
      <c r="AZ151" s="315"/>
      <c r="BA151" s="315"/>
      <c r="BB151" s="315"/>
      <c r="BC151" s="316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</row>
    <row r="152" spans="3:76">
      <c r="C152" s="314" t="s">
        <v>346</v>
      </c>
      <c r="D152" s="315"/>
      <c r="E152" s="325">
        <f t="shared" ref="E152:BX152" si="53">E147+E148+E149+E150+E151</f>
        <v>0</v>
      </c>
      <c r="F152" s="325">
        <f t="shared" si="53"/>
        <v>0</v>
      </c>
      <c r="G152" s="325">
        <f t="shared" si="53"/>
        <v>0</v>
      </c>
      <c r="H152" s="325">
        <f t="shared" si="53"/>
        <v>-10682501</v>
      </c>
      <c r="I152" s="325">
        <f t="shared" si="53"/>
        <v>0</v>
      </c>
      <c r="J152" s="325">
        <f t="shared" si="53"/>
        <v>0</v>
      </c>
      <c r="K152" s="325">
        <f t="shared" si="53"/>
        <v>0</v>
      </c>
      <c r="L152" s="325">
        <f t="shared" si="53"/>
        <v>15913.92</v>
      </c>
      <c r="M152" s="325">
        <f t="shared" si="53"/>
        <v>0</v>
      </c>
      <c r="N152" s="325">
        <f t="shared" si="53"/>
        <v>0</v>
      </c>
      <c r="O152" s="325">
        <f t="shared" si="53"/>
        <v>0</v>
      </c>
      <c r="P152" s="325">
        <f t="shared" si="53"/>
        <v>0</v>
      </c>
      <c r="Q152" s="325">
        <f t="shared" si="53"/>
        <v>36051</v>
      </c>
      <c r="R152" s="325">
        <f t="shared" si="53"/>
        <v>393250</v>
      </c>
      <c r="S152" s="325">
        <f t="shared" si="53"/>
        <v>393250</v>
      </c>
      <c r="T152" s="325">
        <f t="shared" si="53"/>
        <v>16182501</v>
      </c>
      <c r="U152" s="325">
        <f t="shared" si="53"/>
        <v>0</v>
      </c>
      <c r="V152" s="325">
        <f t="shared" si="53"/>
        <v>0</v>
      </c>
      <c r="W152" s="325">
        <f t="shared" si="53"/>
        <v>0</v>
      </c>
      <c r="X152" s="325">
        <f t="shared" si="53"/>
        <v>0</v>
      </c>
      <c r="Y152" s="325">
        <f t="shared" si="53"/>
        <v>0</v>
      </c>
      <c r="Z152" s="325">
        <f t="shared" si="53"/>
        <v>0</v>
      </c>
      <c r="AA152" s="325">
        <f t="shared" si="53"/>
        <v>0</v>
      </c>
      <c r="AB152" s="325">
        <f t="shared" si="53"/>
        <v>0</v>
      </c>
      <c r="AC152" s="325">
        <f t="shared" si="53"/>
        <v>0</v>
      </c>
      <c r="AD152" s="325">
        <f t="shared" si="53"/>
        <v>0</v>
      </c>
      <c r="AE152" s="325">
        <f t="shared" si="53"/>
        <v>0</v>
      </c>
      <c r="AF152" s="325">
        <f t="shared" si="53"/>
        <v>0</v>
      </c>
      <c r="AG152" s="325">
        <f t="shared" si="53"/>
        <v>0</v>
      </c>
      <c r="AH152" s="325">
        <f t="shared" si="53"/>
        <v>0</v>
      </c>
      <c r="AI152" s="325">
        <f t="shared" si="53"/>
        <v>0</v>
      </c>
      <c r="AJ152" s="325">
        <f t="shared" si="53"/>
        <v>0</v>
      </c>
      <c r="AK152" s="325">
        <f t="shared" si="53"/>
        <v>0</v>
      </c>
      <c r="AL152" s="325">
        <f t="shared" si="53"/>
        <v>0</v>
      </c>
      <c r="AM152" s="325">
        <f t="shared" si="53"/>
        <v>0</v>
      </c>
      <c r="AN152" s="325">
        <f t="shared" si="53"/>
        <v>0</v>
      </c>
      <c r="AO152" s="325">
        <f t="shared" si="53"/>
        <v>0</v>
      </c>
      <c r="AP152" s="325">
        <f t="shared" si="53"/>
        <v>0</v>
      </c>
      <c r="AQ152" s="325">
        <f t="shared" si="53"/>
        <v>0</v>
      </c>
      <c r="AR152" s="325">
        <f t="shared" si="53"/>
        <v>0</v>
      </c>
      <c r="AS152" s="325">
        <f t="shared" si="53"/>
        <v>0</v>
      </c>
      <c r="AT152" s="325">
        <f t="shared" si="53"/>
        <v>0</v>
      </c>
      <c r="AU152" s="325">
        <f t="shared" si="53"/>
        <v>0</v>
      </c>
      <c r="AV152" s="325">
        <f t="shared" si="53"/>
        <v>0</v>
      </c>
      <c r="AW152" s="325">
        <f t="shared" si="53"/>
        <v>0</v>
      </c>
      <c r="AX152" s="325">
        <f t="shared" si="53"/>
        <v>0</v>
      </c>
      <c r="AY152" s="325">
        <f t="shared" si="53"/>
        <v>0</v>
      </c>
      <c r="AZ152" s="325">
        <f t="shared" si="53"/>
        <v>0</v>
      </c>
      <c r="BA152" s="325">
        <f t="shared" si="53"/>
        <v>0</v>
      </c>
      <c r="BB152" s="325">
        <f t="shared" si="53"/>
        <v>0</v>
      </c>
      <c r="BC152" s="325">
        <f t="shared" si="53"/>
        <v>0</v>
      </c>
      <c r="BD152" s="325">
        <f t="shared" si="53"/>
        <v>0</v>
      </c>
      <c r="BE152" s="325">
        <f t="shared" si="53"/>
        <v>0</v>
      </c>
      <c r="BF152" s="325">
        <f t="shared" si="53"/>
        <v>0</v>
      </c>
      <c r="BG152" s="325">
        <f t="shared" si="53"/>
        <v>0</v>
      </c>
      <c r="BH152" s="325">
        <f t="shared" si="53"/>
        <v>0</v>
      </c>
      <c r="BI152" s="325">
        <f t="shared" si="53"/>
        <v>0</v>
      </c>
      <c r="BJ152" s="325">
        <f t="shared" si="53"/>
        <v>0</v>
      </c>
      <c r="BK152" s="325">
        <f t="shared" si="53"/>
        <v>0</v>
      </c>
      <c r="BL152" s="325">
        <f t="shared" si="53"/>
        <v>0</v>
      </c>
      <c r="BM152" s="325">
        <f t="shared" si="53"/>
        <v>0</v>
      </c>
      <c r="BN152" s="325">
        <f t="shared" si="53"/>
        <v>0</v>
      </c>
      <c r="BO152" s="325">
        <f t="shared" si="53"/>
        <v>0</v>
      </c>
      <c r="BP152" s="325">
        <f t="shared" si="53"/>
        <v>0</v>
      </c>
      <c r="BQ152" s="325">
        <f t="shared" si="53"/>
        <v>0</v>
      </c>
      <c r="BR152" s="325">
        <f t="shared" si="53"/>
        <v>0</v>
      </c>
      <c r="BS152" s="325">
        <f t="shared" si="53"/>
        <v>0</v>
      </c>
      <c r="BT152" s="325">
        <f t="shared" si="53"/>
        <v>0</v>
      </c>
      <c r="BU152" s="325">
        <f t="shared" si="53"/>
        <v>0</v>
      </c>
      <c r="BV152" s="325">
        <f t="shared" si="53"/>
        <v>0</v>
      </c>
      <c r="BW152" s="325">
        <f t="shared" si="53"/>
        <v>0</v>
      </c>
      <c r="BX152" s="325">
        <f t="shared" si="53"/>
        <v>0</v>
      </c>
    </row>
    <row r="153" spans="3:76">
      <c r="C153" s="318"/>
      <c r="D153" s="326" t="s">
        <v>354</v>
      </c>
      <c r="E153" s="330">
        <f>E152</f>
        <v>0</v>
      </c>
      <c r="F153" s="330">
        <f t="shared" ref="F153:BX153" si="54">E153+F152</f>
        <v>0</v>
      </c>
      <c r="G153" s="330">
        <f t="shared" si="54"/>
        <v>0</v>
      </c>
      <c r="H153" s="330">
        <f t="shared" si="54"/>
        <v>-10682501</v>
      </c>
      <c r="I153" s="330">
        <f t="shared" si="54"/>
        <v>-10682501</v>
      </c>
      <c r="J153" s="330">
        <f t="shared" si="54"/>
        <v>-10682501</v>
      </c>
      <c r="K153" s="330">
        <f t="shared" si="54"/>
        <v>-10682501</v>
      </c>
      <c r="L153" s="330">
        <f t="shared" si="54"/>
        <v>-10666587.08</v>
      </c>
      <c r="M153" s="330">
        <f t="shared" si="54"/>
        <v>-10666587.08</v>
      </c>
      <c r="N153" s="330">
        <f t="shared" si="54"/>
        <v>-10666587.08</v>
      </c>
      <c r="O153" s="330">
        <f t="shared" si="54"/>
        <v>-10666587.08</v>
      </c>
      <c r="P153" s="330">
        <f t="shared" si="54"/>
        <v>-10666587.08</v>
      </c>
      <c r="Q153" s="330">
        <f t="shared" si="54"/>
        <v>-10630536.08</v>
      </c>
      <c r="R153" s="330">
        <f t="shared" si="54"/>
        <v>-10237286.08</v>
      </c>
      <c r="S153" s="330">
        <f t="shared" si="54"/>
        <v>-9844036.0800000001</v>
      </c>
      <c r="T153" s="330">
        <f t="shared" si="54"/>
        <v>6338464.9199999999</v>
      </c>
      <c r="U153" s="330">
        <f t="shared" si="54"/>
        <v>6338464.9199999999</v>
      </c>
      <c r="V153" s="331">
        <f t="shared" si="54"/>
        <v>6338464.9199999999</v>
      </c>
      <c r="W153" s="331">
        <f t="shared" si="54"/>
        <v>6338464.9199999999</v>
      </c>
      <c r="X153" s="331">
        <f t="shared" si="54"/>
        <v>6338464.9199999999</v>
      </c>
      <c r="Y153" s="331">
        <f t="shared" si="54"/>
        <v>6338464.9199999999</v>
      </c>
      <c r="Z153" s="331">
        <f t="shared" si="54"/>
        <v>6338464.9199999999</v>
      </c>
      <c r="AA153" s="331">
        <f t="shared" si="54"/>
        <v>6338464.9199999999</v>
      </c>
      <c r="AB153" s="331">
        <f t="shared" si="54"/>
        <v>6338464.9199999999</v>
      </c>
      <c r="AC153" s="331">
        <f t="shared" si="54"/>
        <v>6338464.9199999999</v>
      </c>
      <c r="AD153" s="331">
        <f t="shared" si="54"/>
        <v>6338464.9199999999</v>
      </c>
      <c r="AE153" s="331">
        <f t="shared" si="54"/>
        <v>6338464.9199999999</v>
      </c>
      <c r="AF153" s="331">
        <f t="shared" si="54"/>
        <v>6338464.9199999999</v>
      </c>
      <c r="AG153" s="331">
        <f t="shared" si="54"/>
        <v>6338464.9199999999</v>
      </c>
      <c r="AH153" s="331">
        <f t="shared" si="54"/>
        <v>6338464.9199999999</v>
      </c>
      <c r="AI153" s="331">
        <f t="shared" si="54"/>
        <v>6338464.9199999999</v>
      </c>
      <c r="AJ153" s="331">
        <f t="shared" si="54"/>
        <v>6338464.9199999999</v>
      </c>
      <c r="AK153" s="331">
        <f t="shared" si="54"/>
        <v>6338464.9199999999</v>
      </c>
      <c r="AL153" s="331">
        <f t="shared" si="54"/>
        <v>6338464.9199999999</v>
      </c>
      <c r="AM153" s="331">
        <f t="shared" si="54"/>
        <v>6338464.9199999999</v>
      </c>
      <c r="AN153" s="331">
        <f t="shared" si="54"/>
        <v>6338464.9199999999</v>
      </c>
      <c r="AO153" s="331">
        <f t="shared" si="54"/>
        <v>6338464.9199999999</v>
      </c>
      <c r="AP153" s="331">
        <f t="shared" si="54"/>
        <v>6338464.9199999999</v>
      </c>
      <c r="AQ153" s="331">
        <f t="shared" si="54"/>
        <v>6338464.9199999999</v>
      </c>
      <c r="AR153" s="331">
        <f t="shared" si="54"/>
        <v>6338464.9199999999</v>
      </c>
      <c r="AS153" s="331">
        <f t="shared" si="54"/>
        <v>6338464.9199999999</v>
      </c>
      <c r="AT153" s="331">
        <f t="shared" si="54"/>
        <v>6338464.9199999999</v>
      </c>
      <c r="AU153" s="331">
        <f t="shared" si="54"/>
        <v>6338464.9199999999</v>
      </c>
      <c r="AV153" s="331">
        <f t="shared" si="54"/>
        <v>6338464.9199999999</v>
      </c>
      <c r="AW153" s="331">
        <f t="shared" si="54"/>
        <v>6338464.9199999999</v>
      </c>
      <c r="AX153" s="331">
        <f t="shared" si="54"/>
        <v>6338464.9199999999</v>
      </c>
      <c r="AY153" s="331">
        <f t="shared" si="54"/>
        <v>6338464.9199999999</v>
      </c>
      <c r="AZ153" s="331">
        <f t="shared" si="54"/>
        <v>6338464.9199999999</v>
      </c>
      <c r="BA153" s="331">
        <f t="shared" si="54"/>
        <v>6338464.9199999999</v>
      </c>
      <c r="BB153" s="331">
        <f t="shared" si="54"/>
        <v>6338464.9199999999</v>
      </c>
      <c r="BC153" s="330">
        <f t="shared" si="54"/>
        <v>6338464.9199999999</v>
      </c>
      <c r="BD153" s="330">
        <f t="shared" si="54"/>
        <v>6338464.9199999999</v>
      </c>
      <c r="BE153" s="330">
        <f t="shared" si="54"/>
        <v>6338464.9199999999</v>
      </c>
      <c r="BF153" s="330">
        <f t="shared" si="54"/>
        <v>6338464.9199999999</v>
      </c>
      <c r="BG153" s="330">
        <f t="shared" si="54"/>
        <v>6338464.9199999999</v>
      </c>
      <c r="BH153" s="330">
        <f t="shared" si="54"/>
        <v>6338464.9199999999</v>
      </c>
      <c r="BI153" s="330">
        <f t="shared" si="54"/>
        <v>6338464.9199999999</v>
      </c>
      <c r="BJ153" s="330">
        <f t="shared" si="54"/>
        <v>6338464.9199999999</v>
      </c>
      <c r="BK153" s="330">
        <f t="shared" si="54"/>
        <v>6338464.9199999999</v>
      </c>
      <c r="BL153" s="330">
        <f t="shared" si="54"/>
        <v>6338464.9199999999</v>
      </c>
      <c r="BM153" s="330">
        <f t="shared" si="54"/>
        <v>6338464.9199999999</v>
      </c>
      <c r="BN153" s="330">
        <f t="shared" si="54"/>
        <v>6338464.9199999999</v>
      </c>
      <c r="BO153" s="330">
        <f t="shared" si="54"/>
        <v>6338464.9199999999</v>
      </c>
      <c r="BP153" s="330">
        <f t="shared" si="54"/>
        <v>6338464.9199999999</v>
      </c>
      <c r="BQ153" s="330">
        <f t="shared" si="54"/>
        <v>6338464.9199999999</v>
      </c>
      <c r="BR153" s="330">
        <f t="shared" si="54"/>
        <v>6338464.9199999999</v>
      </c>
      <c r="BS153" s="330">
        <f t="shared" si="54"/>
        <v>6338464.9199999999</v>
      </c>
      <c r="BT153" s="330">
        <f t="shared" si="54"/>
        <v>6338464.9199999999</v>
      </c>
      <c r="BU153" s="330">
        <f t="shared" si="54"/>
        <v>6338464.9199999999</v>
      </c>
      <c r="BV153" s="330">
        <f t="shared" si="54"/>
        <v>6338464.9199999999</v>
      </c>
      <c r="BW153" s="330">
        <f t="shared" si="54"/>
        <v>6338464.9199999999</v>
      </c>
      <c r="BX153" s="330">
        <f t="shared" si="54"/>
        <v>6338464.9199999999</v>
      </c>
    </row>
    <row r="154" spans="3:76">
      <c r="C154" s="317" t="s">
        <v>339</v>
      </c>
      <c r="D154" s="326">
        <f>IRR(H152:T152)*12</f>
        <v>0.4785360924188149</v>
      </c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  <c r="AG154" s="226"/>
      <c r="AH154" s="226"/>
      <c r="AI154" s="226"/>
      <c r="AJ154" s="226"/>
      <c r="AK154" s="226"/>
      <c r="AL154" s="226"/>
      <c r="AM154" s="226"/>
      <c r="AN154" s="226"/>
      <c r="AO154" s="226"/>
      <c r="AP154" s="226"/>
      <c r="AQ154" s="226"/>
      <c r="AR154" s="226"/>
      <c r="AS154" s="226"/>
      <c r="AT154" s="226"/>
      <c r="AU154" s="226"/>
      <c r="AV154" s="226"/>
      <c r="AW154" s="226"/>
      <c r="AX154" s="226"/>
      <c r="AY154" s="226"/>
      <c r="AZ154" s="226"/>
      <c r="BA154" s="226"/>
      <c r="BB154" s="226"/>
      <c r="BC154" s="226"/>
      <c r="BD154" s="226"/>
      <c r="BE154" s="226"/>
      <c r="BF154" s="226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6"/>
      <c r="BQ154" s="226"/>
      <c r="BR154" s="226"/>
      <c r="BS154" s="226"/>
      <c r="BT154" s="226"/>
      <c r="BU154" s="226"/>
      <c r="BV154" s="226"/>
      <c r="BW154" s="226"/>
      <c r="BX154" s="226"/>
    </row>
    <row r="155" spans="3:76">
      <c r="C155" s="327" t="s">
        <v>347</v>
      </c>
      <c r="D155" s="328">
        <f>-MIN(M153:BL153)-D156</f>
        <v>10666587.08</v>
      </c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  <c r="BX155" s="226"/>
    </row>
    <row r="156" spans="3:76">
      <c r="C156" s="327" t="s">
        <v>348</v>
      </c>
      <c r="D156" s="328">
        <f>-SUM(M151:BB151)</f>
        <v>0</v>
      </c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  <c r="BX156" s="226"/>
    </row>
    <row r="157" spans="3:76">
      <c r="C157" s="317" t="s">
        <v>349</v>
      </c>
      <c r="D157" s="329">
        <f>D156+D155</f>
        <v>10666587.08</v>
      </c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  <c r="BX157" s="226"/>
    </row>
    <row r="158" spans="3:76">
      <c r="C158" s="317" t="s">
        <v>350</v>
      </c>
      <c r="D158" s="329">
        <f>BX149+BX150</f>
        <v>0</v>
      </c>
      <c r="E158" s="226"/>
      <c r="F158" s="226"/>
      <c r="G158" s="226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226"/>
      <c r="AG158" s="226"/>
      <c r="AH158" s="226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AY158" s="226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  <c r="BX158" s="226"/>
    </row>
    <row r="159" spans="3:76">
      <c r="C159" s="317" t="s">
        <v>351</v>
      </c>
      <c r="D159" s="326">
        <f>T150/T147</f>
        <v>0.51486070537227191</v>
      </c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  <c r="AG159" s="226"/>
      <c r="AH159" s="226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AY159" s="226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  <c r="BX159" s="226"/>
    </row>
    <row r="163" spans="3:76">
      <c r="C163" s="314" t="s">
        <v>356</v>
      </c>
      <c r="D163" s="315"/>
      <c r="E163" s="315">
        <f t="shared" ref="E163:G163" si="55">-(E7+E93)</f>
        <v>0</v>
      </c>
      <c r="F163" s="315">
        <f t="shared" si="55"/>
        <v>0</v>
      </c>
      <c r="G163" s="315">
        <f t="shared" si="55"/>
        <v>0</v>
      </c>
      <c r="H163" s="315">
        <f>-5341205.5</f>
        <v>-5341205.5</v>
      </c>
      <c r="I163" s="315">
        <f t="shared" ref="I163:S163" si="56">-(I7+I93)</f>
        <v>0</v>
      </c>
      <c r="J163" s="315">
        <f t="shared" si="56"/>
        <v>0</v>
      </c>
      <c r="K163" s="315">
        <f t="shared" si="56"/>
        <v>0</v>
      </c>
      <c r="L163" s="315">
        <f t="shared" si="56"/>
        <v>0</v>
      </c>
      <c r="M163" s="315">
        <f t="shared" si="56"/>
        <v>0</v>
      </c>
      <c r="N163" s="315">
        <f t="shared" si="56"/>
        <v>0</v>
      </c>
      <c r="O163" s="315">
        <f t="shared" si="56"/>
        <v>0</v>
      </c>
      <c r="P163" s="315">
        <f t="shared" si="56"/>
        <v>0</v>
      </c>
      <c r="Q163" s="315">
        <f t="shared" si="56"/>
        <v>0</v>
      </c>
      <c r="R163" s="315">
        <f t="shared" si="56"/>
        <v>0</v>
      </c>
      <c r="S163" s="315">
        <f t="shared" si="56"/>
        <v>0</v>
      </c>
      <c r="T163" s="315">
        <f>5341205.5</f>
        <v>5341205.5</v>
      </c>
      <c r="U163" s="315">
        <f t="shared" ref="U163:BX163" si="57">-(U7+U93)</f>
        <v>0</v>
      </c>
      <c r="V163" s="315">
        <f t="shared" si="57"/>
        <v>0</v>
      </c>
      <c r="W163" s="315">
        <f t="shared" si="57"/>
        <v>0</v>
      </c>
      <c r="X163" s="315">
        <f t="shared" si="57"/>
        <v>0</v>
      </c>
      <c r="Y163" s="315">
        <f t="shared" si="57"/>
        <v>0</v>
      </c>
      <c r="Z163" s="315">
        <f t="shared" si="57"/>
        <v>0</v>
      </c>
      <c r="AA163" s="315">
        <f t="shared" si="57"/>
        <v>0</v>
      </c>
      <c r="AB163" s="315">
        <f t="shared" si="57"/>
        <v>0</v>
      </c>
      <c r="AC163" s="315">
        <f t="shared" si="57"/>
        <v>0</v>
      </c>
      <c r="AD163" s="315">
        <f t="shared" si="57"/>
        <v>0</v>
      </c>
      <c r="AE163" s="315">
        <f t="shared" si="57"/>
        <v>0</v>
      </c>
      <c r="AF163" s="315">
        <f t="shared" si="57"/>
        <v>0</v>
      </c>
      <c r="AG163" s="315">
        <f t="shared" si="57"/>
        <v>0</v>
      </c>
      <c r="AH163" s="315">
        <f t="shared" si="57"/>
        <v>0</v>
      </c>
      <c r="AI163" s="315">
        <f t="shared" si="57"/>
        <v>0</v>
      </c>
      <c r="AJ163" s="315">
        <f t="shared" si="57"/>
        <v>0</v>
      </c>
      <c r="AK163" s="315">
        <f t="shared" si="57"/>
        <v>0</v>
      </c>
      <c r="AL163" s="315">
        <f t="shared" si="57"/>
        <v>0</v>
      </c>
      <c r="AM163" s="315">
        <f t="shared" si="57"/>
        <v>0</v>
      </c>
      <c r="AN163" s="315">
        <f t="shared" si="57"/>
        <v>0</v>
      </c>
      <c r="AO163" s="315">
        <f t="shared" si="57"/>
        <v>0</v>
      </c>
      <c r="AP163" s="315">
        <f t="shared" si="57"/>
        <v>0</v>
      </c>
      <c r="AQ163" s="315">
        <f t="shared" si="57"/>
        <v>0</v>
      </c>
      <c r="AR163" s="315">
        <f t="shared" si="57"/>
        <v>0</v>
      </c>
      <c r="AS163" s="315">
        <f t="shared" si="57"/>
        <v>0</v>
      </c>
      <c r="AT163" s="315">
        <f t="shared" si="57"/>
        <v>0</v>
      </c>
      <c r="AU163" s="315">
        <f t="shared" si="57"/>
        <v>0</v>
      </c>
      <c r="AV163" s="315">
        <f t="shared" si="57"/>
        <v>0</v>
      </c>
      <c r="AW163" s="315">
        <f t="shared" si="57"/>
        <v>0</v>
      </c>
      <c r="AX163" s="315">
        <f t="shared" si="57"/>
        <v>0</v>
      </c>
      <c r="AY163" s="315">
        <f t="shared" si="57"/>
        <v>0</v>
      </c>
      <c r="AZ163" s="315">
        <f t="shared" si="57"/>
        <v>0</v>
      </c>
      <c r="BA163" s="315">
        <f t="shared" si="57"/>
        <v>0</v>
      </c>
      <c r="BB163" s="315">
        <f t="shared" si="57"/>
        <v>0</v>
      </c>
      <c r="BC163" s="315">
        <f t="shared" si="57"/>
        <v>0</v>
      </c>
      <c r="BD163" s="315">
        <f t="shared" si="57"/>
        <v>0</v>
      </c>
      <c r="BE163" s="315">
        <f t="shared" si="57"/>
        <v>0</v>
      </c>
      <c r="BF163" s="315">
        <f t="shared" si="57"/>
        <v>0</v>
      </c>
      <c r="BG163" s="315">
        <f t="shared" si="57"/>
        <v>0</v>
      </c>
      <c r="BH163" s="315">
        <f t="shared" si="57"/>
        <v>0</v>
      </c>
      <c r="BI163" s="315">
        <f t="shared" si="57"/>
        <v>0</v>
      </c>
      <c r="BJ163" s="315">
        <f t="shared" si="57"/>
        <v>0</v>
      </c>
      <c r="BK163" s="315">
        <f t="shared" si="57"/>
        <v>0</v>
      </c>
      <c r="BL163" s="315">
        <f t="shared" si="57"/>
        <v>0</v>
      </c>
      <c r="BM163" s="315">
        <f t="shared" si="57"/>
        <v>0</v>
      </c>
      <c r="BN163" s="315">
        <f t="shared" si="57"/>
        <v>0</v>
      </c>
      <c r="BO163" s="315">
        <f t="shared" si="57"/>
        <v>0</v>
      </c>
      <c r="BP163" s="315">
        <f t="shared" si="57"/>
        <v>0</v>
      </c>
      <c r="BQ163" s="315">
        <f t="shared" si="57"/>
        <v>0</v>
      </c>
      <c r="BR163" s="315">
        <f t="shared" si="57"/>
        <v>0</v>
      </c>
      <c r="BS163" s="315">
        <f t="shared" si="57"/>
        <v>0</v>
      </c>
      <c r="BT163" s="315">
        <f t="shared" si="57"/>
        <v>0</v>
      </c>
      <c r="BU163" s="315">
        <f t="shared" si="57"/>
        <v>0</v>
      </c>
      <c r="BV163" s="315">
        <f t="shared" si="57"/>
        <v>0</v>
      </c>
      <c r="BW163" s="315">
        <f t="shared" si="57"/>
        <v>0</v>
      </c>
      <c r="BX163" s="315">
        <f t="shared" si="57"/>
        <v>0</v>
      </c>
    </row>
    <row r="164" spans="3:76">
      <c r="C164" s="314" t="s">
        <v>353</v>
      </c>
      <c r="D164" s="323"/>
      <c r="E164" s="315"/>
      <c r="F164" s="315"/>
      <c r="G164" s="315"/>
      <c r="H164" s="315"/>
      <c r="I164" s="315"/>
      <c r="J164" s="315"/>
      <c r="K164" s="315"/>
      <c r="L164" s="315"/>
      <c r="M164" s="315"/>
      <c r="N164" s="315"/>
      <c r="O164" s="315"/>
      <c r="P164" s="315"/>
      <c r="Q164" s="315"/>
      <c r="R164" s="315"/>
      <c r="S164" s="315"/>
      <c r="T164" s="315"/>
      <c r="U164" s="315"/>
      <c r="V164" s="315"/>
      <c r="W164" s="315"/>
      <c r="X164" s="315"/>
      <c r="Y164" s="315"/>
      <c r="Z164" s="315"/>
      <c r="AA164" s="315"/>
      <c r="AB164" s="315"/>
      <c r="AC164" s="315"/>
      <c r="AD164" s="315"/>
      <c r="AE164" s="315"/>
      <c r="AF164" s="315"/>
      <c r="AG164" s="315"/>
      <c r="AH164" s="315"/>
      <c r="AI164" s="315"/>
      <c r="AJ164" s="315"/>
      <c r="AK164" s="315"/>
      <c r="AL164" s="315"/>
      <c r="AM164" s="315"/>
      <c r="AN164" s="315"/>
      <c r="AO164" s="315"/>
      <c r="AP164" s="315"/>
      <c r="AQ164" s="315"/>
      <c r="AR164" s="315"/>
      <c r="AS164" s="315"/>
      <c r="AT164" s="315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</row>
    <row r="165" spans="3:76">
      <c r="C165" s="314" t="s">
        <v>343</v>
      </c>
      <c r="D165" s="323"/>
      <c r="E165" s="315">
        <f t="shared" ref="E165:BX165" si="58">-E58</f>
        <v>0</v>
      </c>
      <c r="F165" s="315">
        <f t="shared" si="58"/>
        <v>0</v>
      </c>
      <c r="G165" s="315">
        <f t="shared" si="58"/>
        <v>0</v>
      </c>
      <c r="H165" s="315">
        <f t="shared" si="58"/>
        <v>0</v>
      </c>
      <c r="I165" s="315">
        <f t="shared" si="58"/>
        <v>0</v>
      </c>
      <c r="J165" s="315">
        <f t="shared" si="58"/>
        <v>0</v>
      </c>
      <c r="K165" s="315">
        <f t="shared" si="58"/>
        <v>0</v>
      </c>
      <c r="L165" s="315">
        <f t="shared" si="58"/>
        <v>0</v>
      </c>
      <c r="M165" s="315">
        <f t="shared" si="58"/>
        <v>0</v>
      </c>
      <c r="N165" s="315">
        <f t="shared" si="58"/>
        <v>0</v>
      </c>
      <c r="O165" s="315">
        <f t="shared" si="58"/>
        <v>0</v>
      </c>
      <c r="P165" s="315">
        <f t="shared" si="58"/>
        <v>0</v>
      </c>
      <c r="Q165" s="315">
        <f t="shared" si="58"/>
        <v>0</v>
      </c>
      <c r="R165" s="315">
        <f t="shared" si="58"/>
        <v>0</v>
      </c>
      <c r="S165" s="315">
        <f t="shared" si="58"/>
        <v>0</v>
      </c>
      <c r="T165" s="315">
        <f t="shared" si="58"/>
        <v>0</v>
      </c>
      <c r="U165" s="315">
        <f t="shared" si="58"/>
        <v>0</v>
      </c>
      <c r="V165" s="315">
        <f t="shared" si="58"/>
        <v>0</v>
      </c>
      <c r="W165" s="315">
        <f t="shared" si="58"/>
        <v>0</v>
      </c>
      <c r="X165" s="315">
        <f t="shared" si="58"/>
        <v>0</v>
      </c>
      <c r="Y165" s="315">
        <f t="shared" si="58"/>
        <v>0</v>
      </c>
      <c r="Z165" s="315">
        <f t="shared" si="58"/>
        <v>0</v>
      </c>
      <c r="AA165" s="315">
        <f t="shared" si="58"/>
        <v>0</v>
      </c>
      <c r="AB165" s="315">
        <f t="shared" si="58"/>
        <v>0</v>
      </c>
      <c r="AC165" s="315">
        <f t="shared" si="58"/>
        <v>0</v>
      </c>
      <c r="AD165" s="315">
        <f t="shared" si="58"/>
        <v>0</v>
      </c>
      <c r="AE165" s="315">
        <f t="shared" si="58"/>
        <v>0</v>
      </c>
      <c r="AF165" s="315">
        <f t="shared" si="58"/>
        <v>0</v>
      </c>
      <c r="AG165" s="315">
        <f t="shared" si="58"/>
        <v>0</v>
      </c>
      <c r="AH165" s="315">
        <f t="shared" si="58"/>
        <v>0</v>
      </c>
      <c r="AI165" s="315">
        <f t="shared" si="58"/>
        <v>0</v>
      </c>
      <c r="AJ165" s="315">
        <f t="shared" si="58"/>
        <v>0</v>
      </c>
      <c r="AK165" s="315">
        <f t="shared" si="58"/>
        <v>0</v>
      </c>
      <c r="AL165" s="315">
        <f t="shared" si="58"/>
        <v>0</v>
      </c>
      <c r="AM165" s="315">
        <f t="shared" si="58"/>
        <v>0</v>
      </c>
      <c r="AN165" s="315">
        <f t="shared" si="58"/>
        <v>0</v>
      </c>
      <c r="AO165" s="315">
        <f t="shared" si="58"/>
        <v>0</v>
      </c>
      <c r="AP165" s="315">
        <f t="shared" si="58"/>
        <v>0</v>
      </c>
      <c r="AQ165" s="315">
        <f t="shared" si="58"/>
        <v>0</v>
      </c>
      <c r="AR165" s="315">
        <f t="shared" si="58"/>
        <v>0</v>
      </c>
      <c r="AS165" s="315">
        <f t="shared" si="58"/>
        <v>0</v>
      </c>
      <c r="AT165" s="315">
        <f t="shared" si="58"/>
        <v>0</v>
      </c>
      <c r="AU165" s="315">
        <f t="shared" si="58"/>
        <v>0</v>
      </c>
      <c r="AV165" s="315">
        <f t="shared" si="58"/>
        <v>0</v>
      </c>
      <c r="AW165" s="315">
        <f t="shared" si="58"/>
        <v>0</v>
      </c>
      <c r="AX165" s="315">
        <f t="shared" si="58"/>
        <v>0</v>
      </c>
      <c r="AY165" s="315">
        <f t="shared" si="58"/>
        <v>0</v>
      </c>
      <c r="AZ165" s="315">
        <f t="shared" si="58"/>
        <v>0</v>
      </c>
      <c r="BA165" s="315">
        <f t="shared" si="58"/>
        <v>0</v>
      </c>
      <c r="BB165" s="315">
        <f t="shared" si="58"/>
        <v>0</v>
      </c>
      <c r="BC165" s="315">
        <f t="shared" si="58"/>
        <v>0</v>
      </c>
      <c r="BD165" s="315">
        <f t="shared" si="58"/>
        <v>0</v>
      </c>
      <c r="BE165" s="315">
        <f t="shared" si="58"/>
        <v>0</v>
      </c>
      <c r="BF165" s="315">
        <f t="shared" si="58"/>
        <v>0</v>
      </c>
      <c r="BG165" s="315">
        <f t="shared" si="58"/>
        <v>0</v>
      </c>
      <c r="BH165" s="315">
        <f t="shared" si="58"/>
        <v>0</v>
      </c>
      <c r="BI165" s="315">
        <f t="shared" si="58"/>
        <v>0</v>
      </c>
      <c r="BJ165" s="315">
        <f t="shared" si="58"/>
        <v>0</v>
      </c>
      <c r="BK165" s="315">
        <f t="shared" si="58"/>
        <v>0</v>
      </c>
      <c r="BL165" s="315">
        <f t="shared" si="58"/>
        <v>0</v>
      </c>
      <c r="BM165" s="315">
        <f t="shared" si="58"/>
        <v>0</v>
      </c>
      <c r="BN165" s="315">
        <f t="shared" si="58"/>
        <v>0</v>
      </c>
      <c r="BO165" s="315">
        <f t="shared" si="58"/>
        <v>0</v>
      </c>
      <c r="BP165" s="315">
        <f t="shared" si="58"/>
        <v>0</v>
      </c>
      <c r="BQ165" s="315">
        <f t="shared" si="58"/>
        <v>0</v>
      </c>
      <c r="BR165" s="315">
        <f t="shared" si="58"/>
        <v>0</v>
      </c>
      <c r="BS165" s="315">
        <f t="shared" si="58"/>
        <v>0</v>
      </c>
      <c r="BT165" s="315">
        <f t="shared" si="58"/>
        <v>0</v>
      </c>
      <c r="BU165" s="315">
        <f t="shared" si="58"/>
        <v>0</v>
      </c>
      <c r="BV165" s="315">
        <f t="shared" si="58"/>
        <v>0</v>
      </c>
      <c r="BW165" s="315">
        <f t="shared" si="58"/>
        <v>0</v>
      </c>
      <c r="BX165" s="315">
        <f t="shared" si="58"/>
        <v>0</v>
      </c>
    </row>
    <row r="166" spans="3:76">
      <c r="C166" s="314" t="s">
        <v>344</v>
      </c>
      <c r="D166" s="323"/>
      <c r="E166" s="315"/>
      <c r="F166" s="315"/>
      <c r="G166" s="315"/>
      <c r="H166" s="315"/>
      <c r="I166" s="315"/>
      <c r="J166" s="315"/>
      <c r="K166" s="315"/>
      <c r="L166" s="315"/>
      <c r="M166" s="315"/>
      <c r="N166" s="315"/>
      <c r="O166" s="315"/>
      <c r="P166" s="315"/>
      <c r="Q166" s="315"/>
      <c r="R166" s="315"/>
      <c r="S166" s="315"/>
      <c r="T166" s="315">
        <v>2750000</v>
      </c>
      <c r="U166" s="315"/>
      <c r="V166" s="315"/>
      <c r="W166" s="315"/>
      <c r="X166" s="315"/>
      <c r="Y166" s="315"/>
      <c r="Z166" s="315"/>
      <c r="AA166" s="315"/>
      <c r="AB166" s="315"/>
      <c r="AC166" s="315"/>
      <c r="AD166" s="315"/>
      <c r="AE166" s="315"/>
      <c r="AF166" s="315"/>
      <c r="AG166" s="315"/>
      <c r="AH166" s="315"/>
      <c r="AI166" s="315"/>
      <c r="AJ166" s="315"/>
      <c r="AK166" s="315"/>
      <c r="AL166" s="315"/>
      <c r="AM166" s="315"/>
      <c r="AN166" s="315"/>
      <c r="AO166" s="315"/>
      <c r="AP166" s="315"/>
      <c r="AQ166" s="315"/>
      <c r="AR166" s="315"/>
      <c r="AS166" s="315"/>
      <c r="AT166" s="315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>
        <f>IF(D106&gt;0.25,(BX101-BX109)*D167,BX101*D167)</f>
        <v>0</v>
      </c>
    </row>
    <row r="167" spans="3:76">
      <c r="C167" s="317" t="s">
        <v>345</v>
      </c>
      <c r="D167" s="323">
        <v>0</v>
      </c>
      <c r="E167" s="246"/>
      <c r="F167" s="246"/>
      <c r="G167" s="246"/>
      <c r="H167" s="246"/>
      <c r="I167" s="246"/>
      <c r="J167" s="246"/>
      <c r="K167" s="246"/>
      <c r="L167" s="246"/>
      <c r="M167" s="246"/>
      <c r="N167" s="246"/>
      <c r="O167" s="246"/>
      <c r="P167" s="246"/>
      <c r="Q167" s="246"/>
      <c r="R167" s="246"/>
      <c r="S167" s="246"/>
      <c r="T167" s="246"/>
      <c r="U167" s="246"/>
      <c r="V167" s="246"/>
      <c r="W167" s="246"/>
      <c r="X167" s="246"/>
      <c r="Y167" s="246"/>
      <c r="Z167" s="246"/>
      <c r="AA167" s="246"/>
      <c r="AB167" s="246"/>
      <c r="AC167" s="246"/>
      <c r="AD167" s="246"/>
      <c r="AE167" s="246"/>
      <c r="AF167" s="246"/>
      <c r="AG167" s="246"/>
      <c r="AH167" s="246"/>
      <c r="AI167" s="246"/>
      <c r="AJ167" s="246"/>
      <c r="AK167" s="246"/>
      <c r="AL167" s="246"/>
      <c r="AM167" s="246"/>
      <c r="AN167" s="246"/>
      <c r="AO167" s="246"/>
      <c r="AP167" s="246"/>
      <c r="AQ167" s="246"/>
      <c r="AR167" s="246"/>
      <c r="AS167" s="246"/>
      <c r="AT167" s="246"/>
      <c r="AU167" s="246"/>
      <c r="AV167" s="246"/>
      <c r="AW167" s="246"/>
      <c r="AX167" s="246"/>
      <c r="AY167" s="246"/>
      <c r="AZ167" s="246"/>
      <c r="BA167" s="246"/>
      <c r="BB167" s="246"/>
      <c r="BC167" s="246"/>
      <c r="BD167" s="246"/>
      <c r="BE167" s="246"/>
      <c r="BF167" s="246"/>
      <c r="BG167" s="246"/>
      <c r="BH167" s="246"/>
      <c r="BI167" s="246"/>
      <c r="BJ167" s="246"/>
      <c r="BK167" s="246"/>
      <c r="BL167" s="246"/>
      <c r="BM167" s="246"/>
      <c r="BN167" s="246"/>
      <c r="BO167" s="246"/>
      <c r="BP167" s="246"/>
      <c r="BQ167" s="246"/>
      <c r="BR167" s="246"/>
      <c r="BS167" s="246"/>
      <c r="BT167" s="246"/>
      <c r="BU167" s="246"/>
      <c r="BV167" s="246"/>
      <c r="BW167" s="246"/>
      <c r="BX167" s="246"/>
    </row>
    <row r="168" spans="3:76">
      <c r="C168" s="314" t="s">
        <v>346</v>
      </c>
      <c r="D168" s="315"/>
      <c r="E168" s="325">
        <f t="shared" ref="E168:BX168" si="59">E163+E164+E165+E166+E167</f>
        <v>0</v>
      </c>
      <c r="F168" s="325">
        <f t="shared" si="59"/>
        <v>0</v>
      </c>
      <c r="G168" s="325">
        <f t="shared" si="59"/>
        <v>0</v>
      </c>
      <c r="H168" s="325">
        <f t="shared" si="59"/>
        <v>-5341205.5</v>
      </c>
      <c r="I168" s="325">
        <f t="shared" si="59"/>
        <v>0</v>
      </c>
      <c r="J168" s="325">
        <f t="shared" si="59"/>
        <v>0</v>
      </c>
      <c r="K168" s="325">
        <f t="shared" si="59"/>
        <v>0</v>
      </c>
      <c r="L168" s="325">
        <f t="shared" si="59"/>
        <v>0</v>
      </c>
      <c r="M168" s="325">
        <f t="shared" si="59"/>
        <v>0</v>
      </c>
      <c r="N168" s="325">
        <f t="shared" si="59"/>
        <v>0</v>
      </c>
      <c r="O168" s="325">
        <f t="shared" si="59"/>
        <v>0</v>
      </c>
      <c r="P168" s="325">
        <f t="shared" si="59"/>
        <v>0</v>
      </c>
      <c r="Q168" s="325">
        <f t="shared" si="59"/>
        <v>0</v>
      </c>
      <c r="R168" s="325">
        <f t="shared" si="59"/>
        <v>0</v>
      </c>
      <c r="S168" s="325">
        <f t="shared" si="59"/>
        <v>0</v>
      </c>
      <c r="T168" s="325">
        <f t="shared" si="59"/>
        <v>8091205.5</v>
      </c>
      <c r="U168" s="325">
        <f t="shared" si="59"/>
        <v>0</v>
      </c>
      <c r="V168" s="325">
        <f t="shared" si="59"/>
        <v>0</v>
      </c>
      <c r="W168" s="325">
        <f t="shared" si="59"/>
        <v>0</v>
      </c>
      <c r="X168" s="325">
        <f t="shared" si="59"/>
        <v>0</v>
      </c>
      <c r="Y168" s="325">
        <f t="shared" si="59"/>
        <v>0</v>
      </c>
      <c r="Z168" s="325">
        <f t="shared" si="59"/>
        <v>0</v>
      </c>
      <c r="AA168" s="325">
        <f t="shared" si="59"/>
        <v>0</v>
      </c>
      <c r="AB168" s="325">
        <f t="shared" si="59"/>
        <v>0</v>
      </c>
      <c r="AC168" s="325">
        <f t="shared" si="59"/>
        <v>0</v>
      </c>
      <c r="AD168" s="325">
        <f t="shared" si="59"/>
        <v>0</v>
      </c>
      <c r="AE168" s="325">
        <f t="shared" si="59"/>
        <v>0</v>
      </c>
      <c r="AF168" s="325">
        <f t="shared" si="59"/>
        <v>0</v>
      </c>
      <c r="AG168" s="325">
        <f t="shared" si="59"/>
        <v>0</v>
      </c>
      <c r="AH168" s="325">
        <f t="shared" si="59"/>
        <v>0</v>
      </c>
      <c r="AI168" s="325">
        <f t="shared" si="59"/>
        <v>0</v>
      </c>
      <c r="AJ168" s="325">
        <f t="shared" si="59"/>
        <v>0</v>
      </c>
      <c r="AK168" s="325">
        <f t="shared" si="59"/>
        <v>0</v>
      </c>
      <c r="AL168" s="325">
        <f t="shared" si="59"/>
        <v>0</v>
      </c>
      <c r="AM168" s="325">
        <f t="shared" si="59"/>
        <v>0</v>
      </c>
      <c r="AN168" s="325">
        <f t="shared" si="59"/>
        <v>0</v>
      </c>
      <c r="AO168" s="325">
        <f t="shared" si="59"/>
        <v>0</v>
      </c>
      <c r="AP168" s="325">
        <f t="shared" si="59"/>
        <v>0</v>
      </c>
      <c r="AQ168" s="325">
        <f t="shared" si="59"/>
        <v>0</v>
      </c>
      <c r="AR168" s="325">
        <f t="shared" si="59"/>
        <v>0</v>
      </c>
      <c r="AS168" s="325">
        <f t="shared" si="59"/>
        <v>0</v>
      </c>
      <c r="AT168" s="325">
        <f t="shared" si="59"/>
        <v>0</v>
      </c>
      <c r="AU168" s="325">
        <f t="shared" si="59"/>
        <v>0</v>
      </c>
      <c r="AV168" s="325">
        <f t="shared" si="59"/>
        <v>0</v>
      </c>
      <c r="AW168" s="325">
        <f t="shared" si="59"/>
        <v>0</v>
      </c>
      <c r="AX168" s="325">
        <f t="shared" si="59"/>
        <v>0</v>
      </c>
      <c r="AY168" s="325">
        <f t="shared" si="59"/>
        <v>0</v>
      </c>
      <c r="AZ168" s="325">
        <f t="shared" si="59"/>
        <v>0</v>
      </c>
      <c r="BA168" s="325">
        <f t="shared" si="59"/>
        <v>0</v>
      </c>
      <c r="BB168" s="325">
        <f t="shared" si="59"/>
        <v>0</v>
      </c>
      <c r="BC168" s="325">
        <f t="shared" si="59"/>
        <v>0</v>
      </c>
      <c r="BD168" s="325">
        <f t="shared" si="59"/>
        <v>0</v>
      </c>
      <c r="BE168" s="325">
        <f t="shared" si="59"/>
        <v>0</v>
      </c>
      <c r="BF168" s="325">
        <f t="shared" si="59"/>
        <v>0</v>
      </c>
      <c r="BG168" s="325">
        <f t="shared" si="59"/>
        <v>0</v>
      </c>
      <c r="BH168" s="325">
        <f t="shared" si="59"/>
        <v>0</v>
      </c>
      <c r="BI168" s="325">
        <f t="shared" si="59"/>
        <v>0</v>
      </c>
      <c r="BJ168" s="325">
        <f t="shared" si="59"/>
        <v>0</v>
      </c>
      <c r="BK168" s="325">
        <f t="shared" si="59"/>
        <v>0</v>
      </c>
      <c r="BL168" s="325">
        <f t="shared" si="59"/>
        <v>0</v>
      </c>
      <c r="BM168" s="325">
        <f t="shared" si="59"/>
        <v>0</v>
      </c>
      <c r="BN168" s="325">
        <f t="shared" si="59"/>
        <v>0</v>
      </c>
      <c r="BO168" s="325">
        <f t="shared" si="59"/>
        <v>0</v>
      </c>
      <c r="BP168" s="325">
        <f t="shared" si="59"/>
        <v>0</v>
      </c>
      <c r="BQ168" s="325">
        <f t="shared" si="59"/>
        <v>0</v>
      </c>
      <c r="BR168" s="325">
        <f t="shared" si="59"/>
        <v>0</v>
      </c>
      <c r="BS168" s="325">
        <f t="shared" si="59"/>
        <v>0</v>
      </c>
      <c r="BT168" s="325">
        <f t="shared" si="59"/>
        <v>0</v>
      </c>
      <c r="BU168" s="325">
        <f t="shared" si="59"/>
        <v>0</v>
      </c>
      <c r="BV168" s="325">
        <f t="shared" si="59"/>
        <v>0</v>
      </c>
      <c r="BW168" s="325">
        <f t="shared" si="59"/>
        <v>0</v>
      </c>
      <c r="BX168" s="325">
        <f t="shared" si="59"/>
        <v>0</v>
      </c>
    </row>
    <row r="169" spans="3:76">
      <c r="C169" s="318"/>
      <c r="D169" s="326" t="s">
        <v>354</v>
      </c>
      <c r="E169" s="330">
        <f>E168</f>
        <v>0</v>
      </c>
      <c r="F169" s="330">
        <f t="shared" ref="F169:BX169" si="60">E169+F168</f>
        <v>0</v>
      </c>
      <c r="G169" s="330">
        <f t="shared" si="60"/>
        <v>0</v>
      </c>
      <c r="H169" s="330">
        <f t="shared" si="60"/>
        <v>-5341205.5</v>
      </c>
      <c r="I169" s="330">
        <f t="shared" si="60"/>
        <v>-5341205.5</v>
      </c>
      <c r="J169" s="330">
        <f t="shared" si="60"/>
        <v>-5341205.5</v>
      </c>
      <c r="K169" s="330">
        <f t="shared" si="60"/>
        <v>-5341205.5</v>
      </c>
      <c r="L169" s="330">
        <f t="shared" si="60"/>
        <v>-5341205.5</v>
      </c>
      <c r="M169" s="330">
        <f t="shared" si="60"/>
        <v>-5341205.5</v>
      </c>
      <c r="N169" s="330">
        <f t="shared" si="60"/>
        <v>-5341205.5</v>
      </c>
      <c r="O169" s="330">
        <f t="shared" si="60"/>
        <v>-5341205.5</v>
      </c>
      <c r="P169" s="330">
        <f t="shared" si="60"/>
        <v>-5341205.5</v>
      </c>
      <c r="Q169" s="330">
        <f t="shared" si="60"/>
        <v>-5341205.5</v>
      </c>
      <c r="R169" s="330">
        <f t="shared" si="60"/>
        <v>-5341205.5</v>
      </c>
      <c r="S169" s="330">
        <f t="shared" si="60"/>
        <v>-5341205.5</v>
      </c>
      <c r="T169" s="330">
        <f t="shared" si="60"/>
        <v>2750000</v>
      </c>
      <c r="U169" s="330">
        <f t="shared" si="60"/>
        <v>2750000</v>
      </c>
      <c r="V169" s="330">
        <f t="shared" si="60"/>
        <v>2750000</v>
      </c>
      <c r="W169" s="330">
        <f t="shared" si="60"/>
        <v>2750000</v>
      </c>
      <c r="X169" s="330">
        <f t="shared" si="60"/>
        <v>2750000</v>
      </c>
      <c r="Y169" s="330">
        <f t="shared" si="60"/>
        <v>2750000</v>
      </c>
      <c r="Z169" s="330">
        <f t="shared" si="60"/>
        <v>2750000</v>
      </c>
      <c r="AA169" s="330">
        <f t="shared" si="60"/>
        <v>2750000</v>
      </c>
      <c r="AB169" s="330">
        <f t="shared" si="60"/>
        <v>2750000</v>
      </c>
      <c r="AC169" s="330">
        <f t="shared" si="60"/>
        <v>2750000</v>
      </c>
      <c r="AD169" s="330">
        <f t="shared" si="60"/>
        <v>2750000</v>
      </c>
      <c r="AE169" s="330">
        <f t="shared" si="60"/>
        <v>2750000</v>
      </c>
      <c r="AF169" s="330">
        <f t="shared" si="60"/>
        <v>2750000</v>
      </c>
      <c r="AG169" s="330">
        <f t="shared" si="60"/>
        <v>2750000</v>
      </c>
      <c r="AH169" s="330">
        <f t="shared" si="60"/>
        <v>2750000</v>
      </c>
      <c r="AI169" s="330">
        <f t="shared" si="60"/>
        <v>2750000</v>
      </c>
      <c r="AJ169" s="330">
        <f t="shared" si="60"/>
        <v>2750000</v>
      </c>
      <c r="AK169" s="330">
        <f t="shared" si="60"/>
        <v>2750000</v>
      </c>
      <c r="AL169" s="330">
        <f t="shared" si="60"/>
        <v>2750000</v>
      </c>
      <c r="AM169" s="330">
        <f t="shared" si="60"/>
        <v>2750000</v>
      </c>
      <c r="AN169" s="330">
        <f t="shared" si="60"/>
        <v>2750000</v>
      </c>
      <c r="AO169" s="330">
        <f t="shared" si="60"/>
        <v>2750000</v>
      </c>
      <c r="AP169" s="330">
        <f t="shared" si="60"/>
        <v>2750000</v>
      </c>
      <c r="AQ169" s="330">
        <f t="shared" si="60"/>
        <v>2750000</v>
      </c>
      <c r="AR169" s="330">
        <f t="shared" si="60"/>
        <v>2750000</v>
      </c>
      <c r="AS169" s="330">
        <f t="shared" si="60"/>
        <v>2750000</v>
      </c>
      <c r="AT169" s="330">
        <f t="shared" si="60"/>
        <v>2750000</v>
      </c>
      <c r="AU169" s="330">
        <f t="shared" si="60"/>
        <v>2750000</v>
      </c>
      <c r="AV169" s="330">
        <f t="shared" si="60"/>
        <v>2750000</v>
      </c>
      <c r="AW169" s="330">
        <f t="shared" si="60"/>
        <v>2750000</v>
      </c>
      <c r="AX169" s="330">
        <f t="shared" si="60"/>
        <v>2750000</v>
      </c>
      <c r="AY169" s="330">
        <f t="shared" si="60"/>
        <v>2750000</v>
      </c>
      <c r="AZ169" s="330">
        <f t="shared" si="60"/>
        <v>2750000</v>
      </c>
      <c r="BA169" s="330">
        <f t="shared" si="60"/>
        <v>2750000</v>
      </c>
      <c r="BB169" s="330">
        <f t="shared" si="60"/>
        <v>2750000</v>
      </c>
      <c r="BC169" s="330">
        <f t="shared" si="60"/>
        <v>2750000</v>
      </c>
      <c r="BD169" s="330">
        <f t="shared" si="60"/>
        <v>2750000</v>
      </c>
      <c r="BE169" s="330">
        <f t="shared" si="60"/>
        <v>2750000</v>
      </c>
      <c r="BF169" s="330">
        <f t="shared" si="60"/>
        <v>2750000</v>
      </c>
      <c r="BG169" s="330">
        <f t="shared" si="60"/>
        <v>2750000</v>
      </c>
      <c r="BH169" s="330">
        <f t="shared" si="60"/>
        <v>2750000</v>
      </c>
      <c r="BI169" s="330">
        <f t="shared" si="60"/>
        <v>2750000</v>
      </c>
      <c r="BJ169" s="330">
        <f t="shared" si="60"/>
        <v>2750000</v>
      </c>
      <c r="BK169" s="330">
        <f t="shared" si="60"/>
        <v>2750000</v>
      </c>
      <c r="BL169" s="330">
        <f t="shared" si="60"/>
        <v>2750000</v>
      </c>
      <c r="BM169" s="330">
        <f t="shared" si="60"/>
        <v>2750000</v>
      </c>
      <c r="BN169" s="330">
        <f t="shared" si="60"/>
        <v>2750000</v>
      </c>
      <c r="BO169" s="330">
        <f t="shared" si="60"/>
        <v>2750000</v>
      </c>
      <c r="BP169" s="330">
        <f t="shared" si="60"/>
        <v>2750000</v>
      </c>
      <c r="BQ169" s="330">
        <f t="shared" si="60"/>
        <v>2750000</v>
      </c>
      <c r="BR169" s="330">
        <f t="shared" si="60"/>
        <v>2750000</v>
      </c>
      <c r="BS169" s="330">
        <f t="shared" si="60"/>
        <v>2750000</v>
      </c>
      <c r="BT169" s="330">
        <f t="shared" si="60"/>
        <v>2750000</v>
      </c>
      <c r="BU169" s="330">
        <f t="shared" si="60"/>
        <v>2750000</v>
      </c>
      <c r="BV169" s="330">
        <f t="shared" si="60"/>
        <v>2750000</v>
      </c>
      <c r="BW169" s="330">
        <f t="shared" si="60"/>
        <v>2750000</v>
      </c>
      <c r="BX169" s="330">
        <f t="shared" si="60"/>
        <v>2750000</v>
      </c>
    </row>
    <row r="170" spans="3:76">
      <c r="C170" s="317" t="s">
        <v>339</v>
      </c>
      <c r="D170" s="326">
        <f>IRR(E168:BX168)*12</f>
        <v>0.42259732866030397</v>
      </c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6"/>
      <c r="AZ170" s="226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6"/>
      <c r="BM170" s="226"/>
      <c r="BN170" s="226"/>
      <c r="BO170" s="226"/>
      <c r="BP170" s="226"/>
      <c r="BQ170" s="226"/>
      <c r="BR170" s="226"/>
      <c r="BS170" s="226"/>
      <c r="BT170" s="226"/>
      <c r="BU170" s="226"/>
      <c r="BV170" s="226"/>
      <c r="BW170" s="226"/>
      <c r="BX170" s="226"/>
    </row>
    <row r="171" spans="3:76">
      <c r="C171" s="327" t="s">
        <v>347</v>
      </c>
      <c r="D171" s="328">
        <f>-MIN(M169:BL169)-D172</f>
        <v>5341205.5</v>
      </c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6"/>
      <c r="AZ171" s="226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6"/>
      <c r="BM171" s="226"/>
      <c r="BN171" s="226"/>
      <c r="BO171" s="226"/>
      <c r="BP171" s="226"/>
      <c r="BQ171" s="226"/>
      <c r="BR171" s="226"/>
      <c r="BS171" s="226"/>
      <c r="BT171" s="226"/>
      <c r="BU171" s="226"/>
      <c r="BV171" s="226"/>
      <c r="BW171" s="226"/>
      <c r="BX171" s="226"/>
    </row>
    <row r="172" spans="3:76">
      <c r="C172" s="327" t="s">
        <v>348</v>
      </c>
      <c r="D172" s="328">
        <f>-SUM(M167:BB167)</f>
        <v>0</v>
      </c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6"/>
      <c r="BN172" s="226"/>
      <c r="BO172" s="226"/>
      <c r="BP172" s="226"/>
      <c r="BQ172" s="226"/>
      <c r="BR172" s="226"/>
      <c r="BS172" s="226"/>
      <c r="BT172" s="226"/>
      <c r="BU172" s="226"/>
      <c r="BV172" s="226"/>
      <c r="BW172" s="226"/>
      <c r="BX172" s="226"/>
    </row>
    <row r="173" spans="3:76">
      <c r="C173" s="317" t="s">
        <v>349</v>
      </c>
      <c r="D173" s="329">
        <f>D172+D171</f>
        <v>5341205.5</v>
      </c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6"/>
      <c r="BN173" s="226"/>
      <c r="BO173" s="226"/>
      <c r="BP173" s="226"/>
      <c r="BQ173" s="226"/>
      <c r="BR173" s="226"/>
      <c r="BS173" s="226"/>
      <c r="BT173" s="226"/>
      <c r="BU173" s="226"/>
      <c r="BV173" s="226"/>
      <c r="BW173" s="226"/>
      <c r="BX173" s="226"/>
    </row>
    <row r="174" spans="3:76">
      <c r="C174" s="317" t="s">
        <v>350</v>
      </c>
      <c r="D174" s="329">
        <f>BX165+BX166</f>
        <v>0</v>
      </c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26"/>
      <c r="BN174" s="226"/>
      <c r="BO174" s="226"/>
      <c r="BP174" s="226"/>
      <c r="BQ174" s="226"/>
      <c r="BR174" s="226"/>
      <c r="BS174" s="226"/>
      <c r="BT174" s="226"/>
      <c r="BU174" s="226"/>
      <c r="BV174" s="226"/>
      <c r="BW174" s="226"/>
      <c r="BX174" s="226"/>
    </row>
    <row r="175" spans="3:76">
      <c r="C175" s="317" t="s">
        <v>351</v>
      </c>
      <c r="D175" s="326">
        <f>T166/T163</f>
        <v>0.51486504310684167</v>
      </c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26"/>
      <c r="BN175" s="226"/>
      <c r="BO175" s="226"/>
      <c r="BP175" s="226"/>
      <c r="BQ175" s="226"/>
      <c r="BR175" s="226"/>
      <c r="BS175" s="226"/>
      <c r="BT175" s="226"/>
      <c r="BU175" s="226"/>
      <c r="BV175" s="226"/>
      <c r="BW175" s="226"/>
      <c r="BX175" s="226"/>
    </row>
    <row r="179" spans="3:76">
      <c r="C179" s="314" t="s">
        <v>357</v>
      </c>
      <c r="D179" s="315"/>
      <c r="E179" s="316">
        <f t="shared" ref="E179:G179" si="61">-(E8+E94)</f>
        <v>0</v>
      </c>
      <c r="F179" s="316">
        <f t="shared" si="61"/>
        <v>0</v>
      </c>
      <c r="G179" s="316">
        <f t="shared" si="61"/>
        <v>0</v>
      </c>
      <c r="H179" s="315">
        <f>-5341205.5</f>
        <v>-5341205.5</v>
      </c>
      <c r="I179" s="315">
        <v>0</v>
      </c>
      <c r="J179" s="315">
        <v>0</v>
      </c>
      <c r="K179" s="315">
        <v>0</v>
      </c>
      <c r="L179" s="315">
        <v>0</v>
      </c>
      <c r="M179" s="315">
        <v>0</v>
      </c>
      <c r="N179" s="315">
        <v>0</v>
      </c>
      <c r="O179" s="315">
        <v>0</v>
      </c>
      <c r="P179" s="315">
        <v>0</v>
      </c>
      <c r="Q179" s="315">
        <v>0</v>
      </c>
      <c r="R179" s="315">
        <v>0</v>
      </c>
      <c r="S179" s="315">
        <v>0</v>
      </c>
      <c r="T179" s="315">
        <f>5341205.5</f>
        <v>5341205.5</v>
      </c>
      <c r="U179" s="316">
        <f t="shared" ref="U179:BX179" si="62">-(U8+U94)</f>
        <v>0</v>
      </c>
      <c r="V179" s="316">
        <f t="shared" si="62"/>
        <v>0</v>
      </c>
      <c r="W179" s="316">
        <f t="shared" si="62"/>
        <v>0</v>
      </c>
      <c r="X179" s="316">
        <f t="shared" si="62"/>
        <v>0</v>
      </c>
      <c r="Y179" s="316">
        <f t="shared" si="62"/>
        <v>0</v>
      </c>
      <c r="Z179" s="316">
        <f t="shared" si="62"/>
        <v>0</v>
      </c>
      <c r="AA179" s="316">
        <f t="shared" si="62"/>
        <v>0</v>
      </c>
      <c r="AB179" s="316">
        <f t="shared" si="62"/>
        <v>0</v>
      </c>
      <c r="AC179" s="316">
        <f t="shared" si="62"/>
        <v>0</v>
      </c>
      <c r="AD179" s="316">
        <f t="shared" si="62"/>
        <v>0</v>
      </c>
      <c r="AE179" s="316">
        <f t="shared" si="62"/>
        <v>0</v>
      </c>
      <c r="AF179" s="316">
        <f t="shared" si="62"/>
        <v>0</v>
      </c>
      <c r="AG179" s="316">
        <f t="shared" si="62"/>
        <v>0</v>
      </c>
      <c r="AH179" s="316">
        <f t="shared" si="62"/>
        <v>0</v>
      </c>
      <c r="AI179" s="316">
        <f t="shared" si="62"/>
        <v>0</v>
      </c>
      <c r="AJ179" s="316">
        <f t="shared" si="62"/>
        <v>0</v>
      </c>
      <c r="AK179" s="316">
        <f t="shared" si="62"/>
        <v>0</v>
      </c>
      <c r="AL179" s="316">
        <f t="shared" si="62"/>
        <v>0</v>
      </c>
      <c r="AM179" s="316">
        <f t="shared" si="62"/>
        <v>0</v>
      </c>
      <c r="AN179" s="316">
        <f t="shared" si="62"/>
        <v>0</v>
      </c>
      <c r="AO179" s="316">
        <f t="shared" si="62"/>
        <v>0</v>
      </c>
      <c r="AP179" s="316">
        <f t="shared" si="62"/>
        <v>0</v>
      </c>
      <c r="AQ179" s="316">
        <f t="shared" si="62"/>
        <v>0</v>
      </c>
      <c r="AR179" s="316">
        <f t="shared" si="62"/>
        <v>0</v>
      </c>
      <c r="AS179" s="316">
        <f t="shared" si="62"/>
        <v>0</v>
      </c>
      <c r="AT179" s="316">
        <f t="shared" si="62"/>
        <v>0</v>
      </c>
      <c r="AU179" s="316">
        <f t="shared" si="62"/>
        <v>0</v>
      </c>
      <c r="AV179" s="316">
        <f t="shared" si="62"/>
        <v>0</v>
      </c>
      <c r="AW179" s="316">
        <f t="shared" si="62"/>
        <v>0</v>
      </c>
      <c r="AX179" s="316">
        <f t="shared" si="62"/>
        <v>0</v>
      </c>
      <c r="AY179" s="316">
        <f t="shared" si="62"/>
        <v>0</v>
      </c>
      <c r="AZ179" s="316">
        <f t="shared" si="62"/>
        <v>0</v>
      </c>
      <c r="BA179" s="316">
        <f t="shared" si="62"/>
        <v>0</v>
      </c>
      <c r="BB179" s="316">
        <f t="shared" si="62"/>
        <v>0</v>
      </c>
      <c r="BC179" s="316">
        <f t="shared" si="62"/>
        <v>0</v>
      </c>
      <c r="BD179" s="316">
        <f t="shared" si="62"/>
        <v>0</v>
      </c>
      <c r="BE179" s="316">
        <f t="shared" si="62"/>
        <v>0</v>
      </c>
      <c r="BF179" s="316">
        <f t="shared" si="62"/>
        <v>0</v>
      </c>
      <c r="BG179" s="316">
        <f t="shared" si="62"/>
        <v>0</v>
      </c>
      <c r="BH179" s="316">
        <f t="shared" si="62"/>
        <v>0</v>
      </c>
      <c r="BI179" s="316">
        <f t="shared" si="62"/>
        <v>0</v>
      </c>
      <c r="BJ179" s="316">
        <f t="shared" si="62"/>
        <v>0</v>
      </c>
      <c r="BK179" s="316">
        <f t="shared" si="62"/>
        <v>0</v>
      </c>
      <c r="BL179" s="316">
        <f t="shared" si="62"/>
        <v>0</v>
      </c>
      <c r="BM179" s="316">
        <f t="shared" si="62"/>
        <v>0</v>
      </c>
      <c r="BN179" s="316">
        <f t="shared" si="62"/>
        <v>0</v>
      </c>
      <c r="BO179" s="316">
        <f t="shared" si="62"/>
        <v>0</v>
      </c>
      <c r="BP179" s="316">
        <f t="shared" si="62"/>
        <v>0</v>
      </c>
      <c r="BQ179" s="316">
        <f t="shared" si="62"/>
        <v>0</v>
      </c>
      <c r="BR179" s="316">
        <f t="shared" si="62"/>
        <v>0</v>
      </c>
      <c r="BS179" s="316">
        <f t="shared" si="62"/>
        <v>0</v>
      </c>
      <c r="BT179" s="316">
        <f t="shared" si="62"/>
        <v>0</v>
      </c>
      <c r="BU179" s="316">
        <f t="shared" si="62"/>
        <v>0</v>
      </c>
      <c r="BV179" s="316">
        <f t="shared" si="62"/>
        <v>0</v>
      </c>
      <c r="BW179" s="316">
        <f t="shared" si="62"/>
        <v>0</v>
      </c>
      <c r="BX179" s="316">
        <f t="shared" si="62"/>
        <v>0</v>
      </c>
    </row>
    <row r="180" spans="3:76">
      <c r="C180" s="314" t="s">
        <v>353</v>
      </c>
      <c r="D180" s="323"/>
      <c r="E180" s="315"/>
      <c r="F180" s="315"/>
      <c r="G180" s="315"/>
      <c r="H180" s="315"/>
      <c r="I180" s="315"/>
      <c r="J180" s="315"/>
      <c r="K180" s="315"/>
      <c r="L180" s="315"/>
      <c r="M180" s="315"/>
      <c r="N180" s="315"/>
      <c r="O180" s="315"/>
      <c r="P180" s="315"/>
      <c r="Q180" s="315"/>
      <c r="R180" s="315"/>
      <c r="S180" s="315"/>
      <c r="T180" s="315"/>
      <c r="U180" s="315"/>
      <c r="V180" s="315"/>
      <c r="W180" s="315"/>
      <c r="X180" s="315"/>
      <c r="Y180" s="315"/>
      <c r="Z180" s="315"/>
      <c r="AA180" s="315"/>
      <c r="AB180" s="315"/>
      <c r="AC180" s="315"/>
      <c r="AD180" s="315"/>
      <c r="AE180" s="315"/>
      <c r="AF180" s="315"/>
      <c r="AG180" s="315"/>
      <c r="AH180" s="315"/>
      <c r="AI180" s="315"/>
      <c r="AJ180" s="315"/>
      <c r="AK180" s="315"/>
      <c r="AL180" s="315"/>
      <c r="AM180" s="315"/>
      <c r="AN180" s="315"/>
      <c r="AO180" s="315"/>
      <c r="AP180" s="315"/>
      <c r="AQ180" s="315"/>
      <c r="AR180" s="315"/>
      <c r="AS180" s="315"/>
      <c r="AT180" s="315"/>
      <c r="AU180" s="315"/>
      <c r="AV180" s="315"/>
      <c r="AW180" s="315"/>
      <c r="AX180" s="315"/>
      <c r="AY180" s="315"/>
      <c r="AZ180" s="315"/>
      <c r="BA180" s="315"/>
      <c r="BB180" s="315"/>
      <c r="BC180" s="316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</row>
    <row r="181" spans="3:76">
      <c r="C181" s="314" t="s">
        <v>343</v>
      </c>
      <c r="D181" s="323"/>
      <c r="E181" s="315">
        <f t="shared" ref="E181:G181" si="63">-E59</f>
        <v>0</v>
      </c>
      <c r="F181" s="315">
        <f t="shared" si="63"/>
        <v>0</v>
      </c>
      <c r="G181" s="315">
        <f t="shared" si="63"/>
        <v>0</v>
      </c>
      <c r="H181" s="315">
        <f t="shared" ref="H181:T181" si="64">-H74</f>
        <v>0</v>
      </c>
      <c r="I181" s="315">
        <f t="shared" si="64"/>
        <v>0</v>
      </c>
      <c r="J181" s="315">
        <f t="shared" si="64"/>
        <v>0</v>
      </c>
      <c r="K181" s="315">
        <f t="shared" si="64"/>
        <v>0</v>
      </c>
      <c r="L181" s="315">
        <f t="shared" si="64"/>
        <v>0</v>
      </c>
      <c r="M181" s="315">
        <f t="shared" si="64"/>
        <v>0</v>
      </c>
      <c r="N181" s="315">
        <f t="shared" si="64"/>
        <v>0</v>
      </c>
      <c r="O181" s="315">
        <f t="shared" si="64"/>
        <v>0</v>
      </c>
      <c r="P181" s="315">
        <f t="shared" si="64"/>
        <v>0</v>
      </c>
      <c r="Q181" s="315">
        <f t="shared" si="64"/>
        <v>0</v>
      </c>
      <c r="R181" s="315">
        <f t="shared" si="64"/>
        <v>0</v>
      </c>
      <c r="S181" s="315">
        <f t="shared" si="64"/>
        <v>0</v>
      </c>
      <c r="T181" s="315">
        <f t="shared" si="64"/>
        <v>0</v>
      </c>
      <c r="U181" s="315">
        <f t="shared" ref="U181:BX181" si="65">-U59</f>
        <v>0</v>
      </c>
      <c r="V181" s="315">
        <f t="shared" si="65"/>
        <v>0</v>
      </c>
      <c r="W181" s="315">
        <f t="shared" si="65"/>
        <v>0</v>
      </c>
      <c r="X181" s="315">
        <f t="shared" si="65"/>
        <v>0</v>
      </c>
      <c r="Y181" s="315">
        <f t="shared" si="65"/>
        <v>0</v>
      </c>
      <c r="Z181" s="315">
        <f t="shared" si="65"/>
        <v>0</v>
      </c>
      <c r="AA181" s="315">
        <f t="shared" si="65"/>
        <v>0</v>
      </c>
      <c r="AB181" s="315">
        <f t="shared" si="65"/>
        <v>0</v>
      </c>
      <c r="AC181" s="315">
        <f t="shared" si="65"/>
        <v>0</v>
      </c>
      <c r="AD181" s="315">
        <f t="shared" si="65"/>
        <v>0</v>
      </c>
      <c r="AE181" s="315">
        <f t="shared" si="65"/>
        <v>0</v>
      </c>
      <c r="AF181" s="315">
        <f t="shared" si="65"/>
        <v>0</v>
      </c>
      <c r="AG181" s="315">
        <f t="shared" si="65"/>
        <v>0</v>
      </c>
      <c r="AH181" s="315">
        <f t="shared" si="65"/>
        <v>0</v>
      </c>
      <c r="AI181" s="315">
        <f t="shared" si="65"/>
        <v>0</v>
      </c>
      <c r="AJ181" s="315">
        <f t="shared" si="65"/>
        <v>0</v>
      </c>
      <c r="AK181" s="315">
        <f t="shared" si="65"/>
        <v>0</v>
      </c>
      <c r="AL181" s="315">
        <f t="shared" si="65"/>
        <v>0</v>
      </c>
      <c r="AM181" s="315">
        <f t="shared" si="65"/>
        <v>0</v>
      </c>
      <c r="AN181" s="315">
        <f t="shared" si="65"/>
        <v>0</v>
      </c>
      <c r="AO181" s="315">
        <f t="shared" si="65"/>
        <v>0</v>
      </c>
      <c r="AP181" s="315">
        <f t="shared" si="65"/>
        <v>0</v>
      </c>
      <c r="AQ181" s="315">
        <f t="shared" si="65"/>
        <v>0</v>
      </c>
      <c r="AR181" s="315">
        <f t="shared" si="65"/>
        <v>0</v>
      </c>
      <c r="AS181" s="315">
        <f t="shared" si="65"/>
        <v>0</v>
      </c>
      <c r="AT181" s="315">
        <f t="shared" si="65"/>
        <v>0</v>
      </c>
      <c r="AU181" s="315">
        <f t="shared" si="65"/>
        <v>0</v>
      </c>
      <c r="AV181" s="315">
        <f t="shared" si="65"/>
        <v>0</v>
      </c>
      <c r="AW181" s="315">
        <f t="shared" si="65"/>
        <v>0</v>
      </c>
      <c r="AX181" s="315">
        <f t="shared" si="65"/>
        <v>0</v>
      </c>
      <c r="AY181" s="315">
        <f t="shared" si="65"/>
        <v>0</v>
      </c>
      <c r="AZ181" s="315">
        <f t="shared" si="65"/>
        <v>0</v>
      </c>
      <c r="BA181" s="315">
        <f t="shared" si="65"/>
        <v>0</v>
      </c>
      <c r="BB181" s="315">
        <f t="shared" si="65"/>
        <v>0</v>
      </c>
      <c r="BC181" s="315">
        <f t="shared" si="65"/>
        <v>0</v>
      </c>
      <c r="BD181" s="315">
        <f t="shared" si="65"/>
        <v>0</v>
      </c>
      <c r="BE181" s="315">
        <f t="shared" si="65"/>
        <v>0</v>
      </c>
      <c r="BF181" s="315">
        <f t="shared" si="65"/>
        <v>0</v>
      </c>
      <c r="BG181" s="315">
        <f t="shared" si="65"/>
        <v>0</v>
      </c>
      <c r="BH181" s="315">
        <f t="shared" si="65"/>
        <v>0</v>
      </c>
      <c r="BI181" s="315">
        <f t="shared" si="65"/>
        <v>0</v>
      </c>
      <c r="BJ181" s="315">
        <f t="shared" si="65"/>
        <v>0</v>
      </c>
      <c r="BK181" s="315">
        <f t="shared" si="65"/>
        <v>0</v>
      </c>
      <c r="BL181" s="315">
        <f t="shared" si="65"/>
        <v>0</v>
      </c>
      <c r="BM181" s="315">
        <f t="shared" si="65"/>
        <v>0</v>
      </c>
      <c r="BN181" s="315">
        <f t="shared" si="65"/>
        <v>0</v>
      </c>
      <c r="BO181" s="315">
        <f t="shared" si="65"/>
        <v>0</v>
      </c>
      <c r="BP181" s="315">
        <f t="shared" si="65"/>
        <v>0</v>
      </c>
      <c r="BQ181" s="315">
        <f t="shared" si="65"/>
        <v>0</v>
      </c>
      <c r="BR181" s="315">
        <f t="shared" si="65"/>
        <v>0</v>
      </c>
      <c r="BS181" s="315">
        <f t="shared" si="65"/>
        <v>0</v>
      </c>
      <c r="BT181" s="315">
        <f t="shared" si="65"/>
        <v>0</v>
      </c>
      <c r="BU181" s="315">
        <f t="shared" si="65"/>
        <v>0</v>
      </c>
      <c r="BV181" s="315">
        <f t="shared" si="65"/>
        <v>0</v>
      </c>
      <c r="BW181" s="315">
        <f t="shared" si="65"/>
        <v>0</v>
      </c>
      <c r="BX181" s="315">
        <f t="shared" si="65"/>
        <v>0</v>
      </c>
    </row>
    <row r="182" spans="3:76">
      <c r="C182" s="314" t="s">
        <v>344</v>
      </c>
      <c r="D182" s="323"/>
      <c r="E182" s="315"/>
      <c r="F182" s="315"/>
      <c r="G182" s="315"/>
      <c r="H182" s="315"/>
      <c r="I182" s="315"/>
      <c r="J182" s="315"/>
      <c r="K182" s="315"/>
      <c r="L182" s="315"/>
      <c r="M182" s="315"/>
      <c r="N182" s="315"/>
      <c r="O182" s="315"/>
      <c r="P182" s="315"/>
      <c r="Q182" s="315"/>
      <c r="R182" s="315"/>
      <c r="S182" s="315"/>
      <c r="T182" s="315">
        <v>2750000</v>
      </c>
      <c r="U182" s="315"/>
      <c r="V182" s="315"/>
      <c r="W182" s="315"/>
      <c r="X182" s="315"/>
      <c r="Y182" s="315"/>
      <c r="Z182" s="315"/>
      <c r="AA182" s="315"/>
      <c r="AB182" s="315"/>
      <c r="AC182" s="315"/>
      <c r="AD182" s="315"/>
      <c r="AE182" s="315"/>
      <c r="AF182" s="315"/>
      <c r="AG182" s="315"/>
      <c r="AH182" s="315"/>
      <c r="AI182" s="315"/>
      <c r="AJ182" s="315"/>
      <c r="AK182" s="315"/>
      <c r="AL182" s="315"/>
      <c r="AM182" s="315"/>
      <c r="AN182" s="315"/>
      <c r="AO182" s="315"/>
      <c r="AP182" s="315"/>
      <c r="AQ182" s="315"/>
      <c r="AR182" s="315"/>
      <c r="AS182" s="315"/>
      <c r="AT182" s="315"/>
      <c r="AU182" s="315"/>
      <c r="AV182" s="315"/>
      <c r="AW182" s="315"/>
      <c r="AX182" s="315"/>
      <c r="AY182" s="315"/>
      <c r="AZ182" s="315"/>
      <c r="BA182" s="315"/>
      <c r="BB182" s="315"/>
      <c r="BC182" s="316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>
        <f>IF(D106&gt;0.25,(BX101-BX109)*D183,BX101*D183)</f>
        <v>0</v>
      </c>
    </row>
    <row r="183" spans="3:76">
      <c r="C183" s="317" t="s">
        <v>345</v>
      </c>
      <c r="D183" s="323">
        <v>0</v>
      </c>
      <c r="E183" s="315"/>
      <c r="F183" s="315"/>
      <c r="G183" s="315"/>
      <c r="H183" s="246"/>
      <c r="I183" s="246"/>
      <c r="J183" s="246"/>
      <c r="K183" s="246"/>
      <c r="L183" s="246"/>
      <c r="M183" s="246"/>
      <c r="N183" s="246"/>
      <c r="O183" s="246"/>
      <c r="P183" s="246"/>
      <c r="Q183" s="246"/>
      <c r="R183" s="246"/>
      <c r="S183" s="246"/>
      <c r="T183" s="246"/>
      <c r="U183" s="315"/>
      <c r="V183" s="315"/>
      <c r="W183" s="315"/>
      <c r="X183" s="315"/>
      <c r="Y183" s="315"/>
      <c r="Z183" s="315"/>
      <c r="AA183" s="315"/>
      <c r="AB183" s="315"/>
      <c r="AC183" s="315"/>
      <c r="AD183" s="315"/>
      <c r="AE183" s="315"/>
      <c r="AF183" s="315"/>
      <c r="AG183" s="315"/>
      <c r="AH183" s="315"/>
      <c r="AI183" s="315"/>
      <c r="AJ183" s="315"/>
      <c r="AK183" s="315"/>
      <c r="AL183" s="315"/>
      <c r="AM183" s="315"/>
      <c r="AN183" s="315"/>
      <c r="AO183" s="315"/>
      <c r="AP183" s="315"/>
      <c r="AQ183" s="315"/>
      <c r="AR183" s="315"/>
      <c r="AS183" s="315"/>
      <c r="AT183" s="315"/>
      <c r="AU183" s="315"/>
      <c r="AV183" s="315"/>
      <c r="AW183" s="315"/>
      <c r="AX183" s="315"/>
      <c r="AY183" s="315"/>
      <c r="AZ183" s="315"/>
      <c r="BA183" s="315"/>
      <c r="BB183" s="315"/>
      <c r="BC183" s="316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</row>
    <row r="184" spans="3:76">
      <c r="C184" s="314" t="s">
        <v>346</v>
      </c>
      <c r="D184" s="315"/>
      <c r="E184" s="325">
        <f t="shared" ref="E184:BX184" si="66">E179+E180+E181+E182+E183</f>
        <v>0</v>
      </c>
      <c r="F184" s="325">
        <f t="shared" si="66"/>
        <v>0</v>
      </c>
      <c r="G184" s="325">
        <f t="shared" si="66"/>
        <v>0</v>
      </c>
      <c r="H184" s="325">
        <f t="shared" si="66"/>
        <v>-5341205.5</v>
      </c>
      <c r="I184" s="325">
        <f t="shared" si="66"/>
        <v>0</v>
      </c>
      <c r="J184" s="325">
        <f t="shared" si="66"/>
        <v>0</v>
      </c>
      <c r="K184" s="325">
        <f t="shared" si="66"/>
        <v>0</v>
      </c>
      <c r="L184" s="325">
        <f t="shared" si="66"/>
        <v>0</v>
      </c>
      <c r="M184" s="325">
        <f t="shared" si="66"/>
        <v>0</v>
      </c>
      <c r="N184" s="325">
        <f t="shared" si="66"/>
        <v>0</v>
      </c>
      <c r="O184" s="325">
        <f t="shared" si="66"/>
        <v>0</v>
      </c>
      <c r="P184" s="325">
        <f t="shared" si="66"/>
        <v>0</v>
      </c>
      <c r="Q184" s="325">
        <f t="shared" si="66"/>
        <v>0</v>
      </c>
      <c r="R184" s="325">
        <f t="shared" si="66"/>
        <v>0</v>
      </c>
      <c r="S184" s="325">
        <f t="shared" si="66"/>
        <v>0</v>
      </c>
      <c r="T184" s="325">
        <f t="shared" si="66"/>
        <v>8091205.5</v>
      </c>
      <c r="U184" s="325">
        <f t="shared" si="66"/>
        <v>0</v>
      </c>
      <c r="V184" s="325">
        <f t="shared" si="66"/>
        <v>0</v>
      </c>
      <c r="W184" s="325">
        <f t="shared" si="66"/>
        <v>0</v>
      </c>
      <c r="X184" s="325">
        <f t="shared" si="66"/>
        <v>0</v>
      </c>
      <c r="Y184" s="325">
        <f t="shared" si="66"/>
        <v>0</v>
      </c>
      <c r="Z184" s="325">
        <f t="shared" si="66"/>
        <v>0</v>
      </c>
      <c r="AA184" s="325">
        <f t="shared" si="66"/>
        <v>0</v>
      </c>
      <c r="AB184" s="325">
        <f t="shared" si="66"/>
        <v>0</v>
      </c>
      <c r="AC184" s="325">
        <f t="shared" si="66"/>
        <v>0</v>
      </c>
      <c r="AD184" s="325">
        <f t="shared" si="66"/>
        <v>0</v>
      </c>
      <c r="AE184" s="325">
        <f t="shared" si="66"/>
        <v>0</v>
      </c>
      <c r="AF184" s="325">
        <f t="shared" si="66"/>
        <v>0</v>
      </c>
      <c r="AG184" s="325">
        <f t="shared" si="66"/>
        <v>0</v>
      </c>
      <c r="AH184" s="325">
        <f t="shared" si="66"/>
        <v>0</v>
      </c>
      <c r="AI184" s="325">
        <f t="shared" si="66"/>
        <v>0</v>
      </c>
      <c r="AJ184" s="325">
        <f t="shared" si="66"/>
        <v>0</v>
      </c>
      <c r="AK184" s="325">
        <f t="shared" si="66"/>
        <v>0</v>
      </c>
      <c r="AL184" s="325">
        <f t="shared" si="66"/>
        <v>0</v>
      </c>
      <c r="AM184" s="325">
        <f t="shared" si="66"/>
        <v>0</v>
      </c>
      <c r="AN184" s="325">
        <f t="shared" si="66"/>
        <v>0</v>
      </c>
      <c r="AO184" s="325">
        <f t="shared" si="66"/>
        <v>0</v>
      </c>
      <c r="AP184" s="325">
        <f t="shared" si="66"/>
        <v>0</v>
      </c>
      <c r="AQ184" s="325">
        <f t="shared" si="66"/>
        <v>0</v>
      </c>
      <c r="AR184" s="325">
        <f t="shared" si="66"/>
        <v>0</v>
      </c>
      <c r="AS184" s="325">
        <f t="shared" si="66"/>
        <v>0</v>
      </c>
      <c r="AT184" s="325">
        <f t="shared" si="66"/>
        <v>0</v>
      </c>
      <c r="AU184" s="325">
        <f t="shared" si="66"/>
        <v>0</v>
      </c>
      <c r="AV184" s="325">
        <f t="shared" si="66"/>
        <v>0</v>
      </c>
      <c r="AW184" s="325">
        <f t="shared" si="66"/>
        <v>0</v>
      </c>
      <c r="AX184" s="325">
        <f t="shared" si="66"/>
        <v>0</v>
      </c>
      <c r="AY184" s="325">
        <f t="shared" si="66"/>
        <v>0</v>
      </c>
      <c r="AZ184" s="325">
        <f t="shared" si="66"/>
        <v>0</v>
      </c>
      <c r="BA184" s="325">
        <f t="shared" si="66"/>
        <v>0</v>
      </c>
      <c r="BB184" s="325">
        <f t="shared" si="66"/>
        <v>0</v>
      </c>
      <c r="BC184" s="325">
        <f t="shared" si="66"/>
        <v>0</v>
      </c>
      <c r="BD184" s="325">
        <f t="shared" si="66"/>
        <v>0</v>
      </c>
      <c r="BE184" s="325">
        <f t="shared" si="66"/>
        <v>0</v>
      </c>
      <c r="BF184" s="325">
        <f t="shared" si="66"/>
        <v>0</v>
      </c>
      <c r="BG184" s="325">
        <f t="shared" si="66"/>
        <v>0</v>
      </c>
      <c r="BH184" s="325">
        <f t="shared" si="66"/>
        <v>0</v>
      </c>
      <c r="BI184" s="325">
        <f t="shared" si="66"/>
        <v>0</v>
      </c>
      <c r="BJ184" s="325">
        <f t="shared" si="66"/>
        <v>0</v>
      </c>
      <c r="BK184" s="325">
        <f t="shared" si="66"/>
        <v>0</v>
      </c>
      <c r="BL184" s="325">
        <f t="shared" si="66"/>
        <v>0</v>
      </c>
      <c r="BM184" s="325">
        <f t="shared" si="66"/>
        <v>0</v>
      </c>
      <c r="BN184" s="325">
        <f t="shared" si="66"/>
        <v>0</v>
      </c>
      <c r="BO184" s="325">
        <f t="shared" si="66"/>
        <v>0</v>
      </c>
      <c r="BP184" s="325">
        <f t="shared" si="66"/>
        <v>0</v>
      </c>
      <c r="BQ184" s="325">
        <f t="shared" si="66"/>
        <v>0</v>
      </c>
      <c r="BR184" s="325">
        <f t="shared" si="66"/>
        <v>0</v>
      </c>
      <c r="BS184" s="325">
        <f t="shared" si="66"/>
        <v>0</v>
      </c>
      <c r="BT184" s="325">
        <f t="shared" si="66"/>
        <v>0</v>
      </c>
      <c r="BU184" s="325">
        <f t="shared" si="66"/>
        <v>0</v>
      </c>
      <c r="BV184" s="325">
        <f t="shared" si="66"/>
        <v>0</v>
      </c>
      <c r="BW184" s="325">
        <f t="shared" si="66"/>
        <v>0</v>
      </c>
      <c r="BX184" s="325">
        <f t="shared" si="66"/>
        <v>0</v>
      </c>
    </row>
    <row r="185" spans="3:76">
      <c r="C185" s="318"/>
      <c r="D185" s="326" t="s">
        <v>354</v>
      </c>
      <c r="E185" s="330">
        <f>E184</f>
        <v>0</v>
      </c>
      <c r="F185" s="330">
        <f t="shared" ref="F185:BX185" si="67">E185+F184</f>
        <v>0</v>
      </c>
      <c r="G185" s="330">
        <f t="shared" si="67"/>
        <v>0</v>
      </c>
      <c r="H185" s="330">
        <f t="shared" si="67"/>
        <v>-5341205.5</v>
      </c>
      <c r="I185" s="330">
        <f t="shared" si="67"/>
        <v>-5341205.5</v>
      </c>
      <c r="J185" s="330">
        <f t="shared" si="67"/>
        <v>-5341205.5</v>
      </c>
      <c r="K185" s="330">
        <f t="shared" si="67"/>
        <v>-5341205.5</v>
      </c>
      <c r="L185" s="330">
        <f t="shared" si="67"/>
        <v>-5341205.5</v>
      </c>
      <c r="M185" s="330">
        <f t="shared" si="67"/>
        <v>-5341205.5</v>
      </c>
      <c r="N185" s="330">
        <f t="shared" si="67"/>
        <v>-5341205.5</v>
      </c>
      <c r="O185" s="330">
        <f t="shared" si="67"/>
        <v>-5341205.5</v>
      </c>
      <c r="P185" s="330">
        <f t="shared" si="67"/>
        <v>-5341205.5</v>
      </c>
      <c r="Q185" s="330">
        <f t="shared" si="67"/>
        <v>-5341205.5</v>
      </c>
      <c r="R185" s="330">
        <f t="shared" si="67"/>
        <v>-5341205.5</v>
      </c>
      <c r="S185" s="330">
        <f t="shared" si="67"/>
        <v>-5341205.5</v>
      </c>
      <c r="T185" s="330">
        <f t="shared" si="67"/>
        <v>2750000</v>
      </c>
      <c r="U185" s="330">
        <f t="shared" si="67"/>
        <v>2750000</v>
      </c>
      <c r="V185" s="331">
        <f t="shared" si="67"/>
        <v>2750000</v>
      </c>
      <c r="W185" s="331">
        <f t="shared" si="67"/>
        <v>2750000</v>
      </c>
      <c r="X185" s="331">
        <f t="shared" si="67"/>
        <v>2750000</v>
      </c>
      <c r="Y185" s="331">
        <f t="shared" si="67"/>
        <v>2750000</v>
      </c>
      <c r="Z185" s="331">
        <f t="shared" si="67"/>
        <v>2750000</v>
      </c>
      <c r="AA185" s="331">
        <f t="shared" si="67"/>
        <v>2750000</v>
      </c>
      <c r="AB185" s="331">
        <f t="shared" si="67"/>
        <v>2750000</v>
      </c>
      <c r="AC185" s="331">
        <f t="shared" si="67"/>
        <v>2750000</v>
      </c>
      <c r="AD185" s="331">
        <f t="shared" si="67"/>
        <v>2750000</v>
      </c>
      <c r="AE185" s="331">
        <f t="shared" si="67"/>
        <v>2750000</v>
      </c>
      <c r="AF185" s="331">
        <f t="shared" si="67"/>
        <v>2750000</v>
      </c>
      <c r="AG185" s="331">
        <f t="shared" si="67"/>
        <v>2750000</v>
      </c>
      <c r="AH185" s="331">
        <f t="shared" si="67"/>
        <v>2750000</v>
      </c>
      <c r="AI185" s="331">
        <f t="shared" si="67"/>
        <v>2750000</v>
      </c>
      <c r="AJ185" s="331">
        <f t="shared" si="67"/>
        <v>2750000</v>
      </c>
      <c r="AK185" s="331">
        <f t="shared" si="67"/>
        <v>2750000</v>
      </c>
      <c r="AL185" s="331">
        <f t="shared" si="67"/>
        <v>2750000</v>
      </c>
      <c r="AM185" s="331">
        <f t="shared" si="67"/>
        <v>2750000</v>
      </c>
      <c r="AN185" s="331">
        <f t="shared" si="67"/>
        <v>2750000</v>
      </c>
      <c r="AO185" s="331">
        <f t="shared" si="67"/>
        <v>2750000</v>
      </c>
      <c r="AP185" s="331">
        <f t="shared" si="67"/>
        <v>2750000</v>
      </c>
      <c r="AQ185" s="331">
        <f t="shared" si="67"/>
        <v>2750000</v>
      </c>
      <c r="AR185" s="331">
        <f t="shared" si="67"/>
        <v>2750000</v>
      </c>
      <c r="AS185" s="331">
        <f t="shared" si="67"/>
        <v>2750000</v>
      </c>
      <c r="AT185" s="331">
        <f t="shared" si="67"/>
        <v>2750000</v>
      </c>
      <c r="AU185" s="331">
        <f t="shared" si="67"/>
        <v>2750000</v>
      </c>
      <c r="AV185" s="331">
        <f t="shared" si="67"/>
        <v>2750000</v>
      </c>
      <c r="AW185" s="331">
        <f t="shared" si="67"/>
        <v>2750000</v>
      </c>
      <c r="AX185" s="331">
        <f t="shared" si="67"/>
        <v>2750000</v>
      </c>
      <c r="AY185" s="331">
        <f t="shared" si="67"/>
        <v>2750000</v>
      </c>
      <c r="AZ185" s="331">
        <f t="shared" si="67"/>
        <v>2750000</v>
      </c>
      <c r="BA185" s="331">
        <f t="shared" si="67"/>
        <v>2750000</v>
      </c>
      <c r="BB185" s="331">
        <f t="shared" si="67"/>
        <v>2750000</v>
      </c>
      <c r="BC185" s="330">
        <f t="shared" si="67"/>
        <v>2750000</v>
      </c>
      <c r="BD185" s="330">
        <f t="shared" si="67"/>
        <v>2750000</v>
      </c>
      <c r="BE185" s="330">
        <f t="shared" si="67"/>
        <v>2750000</v>
      </c>
      <c r="BF185" s="330">
        <f t="shared" si="67"/>
        <v>2750000</v>
      </c>
      <c r="BG185" s="330">
        <f t="shared" si="67"/>
        <v>2750000</v>
      </c>
      <c r="BH185" s="330">
        <f t="shared" si="67"/>
        <v>2750000</v>
      </c>
      <c r="BI185" s="330">
        <f t="shared" si="67"/>
        <v>2750000</v>
      </c>
      <c r="BJ185" s="330">
        <f t="shared" si="67"/>
        <v>2750000</v>
      </c>
      <c r="BK185" s="330">
        <f t="shared" si="67"/>
        <v>2750000</v>
      </c>
      <c r="BL185" s="330">
        <f t="shared" si="67"/>
        <v>2750000</v>
      </c>
      <c r="BM185" s="330">
        <f t="shared" si="67"/>
        <v>2750000</v>
      </c>
      <c r="BN185" s="330">
        <f t="shared" si="67"/>
        <v>2750000</v>
      </c>
      <c r="BO185" s="330">
        <f t="shared" si="67"/>
        <v>2750000</v>
      </c>
      <c r="BP185" s="330">
        <f t="shared" si="67"/>
        <v>2750000</v>
      </c>
      <c r="BQ185" s="330">
        <f t="shared" si="67"/>
        <v>2750000</v>
      </c>
      <c r="BR185" s="330">
        <f t="shared" si="67"/>
        <v>2750000</v>
      </c>
      <c r="BS185" s="330">
        <f t="shared" si="67"/>
        <v>2750000</v>
      </c>
      <c r="BT185" s="330">
        <f t="shared" si="67"/>
        <v>2750000</v>
      </c>
      <c r="BU185" s="330">
        <f t="shared" si="67"/>
        <v>2750000</v>
      </c>
      <c r="BV185" s="330">
        <f t="shared" si="67"/>
        <v>2750000</v>
      </c>
      <c r="BW185" s="330">
        <f t="shared" si="67"/>
        <v>2750000</v>
      </c>
      <c r="BX185" s="330">
        <f t="shared" si="67"/>
        <v>2750000</v>
      </c>
    </row>
    <row r="186" spans="3:76">
      <c r="C186" s="317" t="s">
        <v>339</v>
      </c>
      <c r="D186" s="326">
        <f>IRR(E184:BX184)*12</f>
        <v>0.42259732866030397</v>
      </c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  <c r="AE186" s="226"/>
      <c r="AF186" s="226"/>
      <c r="AG186" s="226"/>
      <c r="AH186" s="226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AY186" s="226"/>
      <c r="AZ186" s="226"/>
      <c r="BA186" s="226"/>
      <c r="BB186" s="226"/>
      <c r="BC186" s="226"/>
      <c r="BD186" s="226"/>
      <c r="BE186" s="226"/>
      <c r="BF186" s="226"/>
      <c r="BG186" s="226"/>
      <c r="BH186" s="226"/>
      <c r="BI186" s="226"/>
      <c r="BJ186" s="226"/>
      <c r="BK186" s="226"/>
      <c r="BL186" s="226"/>
      <c r="BM186" s="226"/>
      <c r="BN186" s="226"/>
      <c r="BO186" s="226"/>
      <c r="BP186" s="226"/>
      <c r="BQ186" s="226"/>
      <c r="BR186" s="226"/>
      <c r="BS186" s="226"/>
      <c r="BT186" s="226"/>
      <c r="BU186" s="226"/>
      <c r="BV186" s="226"/>
      <c r="BW186" s="226"/>
      <c r="BX186" s="226"/>
    </row>
    <row r="187" spans="3:76">
      <c r="C187" s="327" t="s">
        <v>347</v>
      </c>
      <c r="D187" s="328">
        <f>-MIN(M185:BL185)-D188</f>
        <v>5341205.5</v>
      </c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  <c r="AD187" s="226"/>
      <c r="AE187" s="226"/>
      <c r="AF187" s="226"/>
      <c r="AG187" s="226"/>
      <c r="AH187" s="226"/>
      <c r="AI187" s="226"/>
      <c r="AJ187" s="226"/>
      <c r="AK187" s="226"/>
      <c r="AL187" s="226"/>
      <c r="AM187" s="226"/>
      <c r="AN187" s="226"/>
      <c r="AO187" s="226"/>
      <c r="AP187" s="226"/>
      <c r="AQ187" s="226"/>
      <c r="AR187" s="226"/>
      <c r="AS187" s="226"/>
      <c r="AT187" s="226"/>
      <c r="AU187" s="226"/>
      <c r="AV187" s="226"/>
      <c r="AW187" s="226"/>
      <c r="AX187" s="226"/>
      <c r="AY187" s="226"/>
      <c r="AZ187" s="226"/>
      <c r="BA187" s="226"/>
      <c r="BB187" s="226"/>
      <c r="BC187" s="226"/>
      <c r="BD187" s="226"/>
      <c r="BE187" s="226"/>
      <c r="BF187" s="226"/>
      <c r="BG187" s="226"/>
      <c r="BH187" s="226"/>
      <c r="BI187" s="226"/>
      <c r="BJ187" s="226"/>
      <c r="BK187" s="226"/>
      <c r="BL187" s="226"/>
      <c r="BM187" s="226"/>
      <c r="BN187" s="226"/>
      <c r="BO187" s="226"/>
      <c r="BP187" s="226"/>
      <c r="BQ187" s="226"/>
      <c r="BR187" s="226"/>
      <c r="BS187" s="226"/>
      <c r="BT187" s="226"/>
      <c r="BU187" s="226"/>
      <c r="BV187" s="226"/>
      <c r="BW187" s="226"/>
      <c r="BX187" s="226"/>
    </row>
    <row r="188" spans="3:76">
      <c r="C188" s="327" t="s">
        <v>348</v>
      </c>
      <c r="D188" s="328">
        <f>-SUM(M183:BB183)</f>
        <v>0</v>
      </c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  <c r="AD188" s="226"/>
      <c r="AE188" s="226"/>
      <c r="AF188" s="226"/>
      <c r="AG188" s="226"/>
      <c r="AH188" s="226"/>
      <c r="AI188" s="226"/>
      <c r="AJ188" s="226"/>
      <c r="AK188" s="226"/>
      <c r="AL188" s="226"/>
      <c r="AM188" s="226"/>
      <c r="AN188" s="226"/>
      <c r="AO188" s="226"/>
      <c r="AP188" s="226"/>
      <c r="AQ188" s="226"/>
      <c r="AR188" s="226"/>
      <c r="AS188" s="226"/>
      <c r="AT188" s="226"/>
      <c r="AU188" s="226"/>
      <c r="AV188" s="226"/>
      <c r="AW188" s="226"/>
      <c r="AX188" s="226"/>
      <c r="AY188" s="226"/>
      <c r="AZ188" s="226"/>
      <c r="BA188" s="226"/>
      <c r="BB188" s="226"/>
      <c r="BC188" s="226"/>
      <c r="BD188" s="226"/>
      <c r="BE188" s="226"/>
      <c r="BF188" s="226"/>
      <c r="BG188" s="226"/>
      <c r="BH188" s="226"/>
      <c r="BI188" s="226"/>
      <c r="BJ188" s="226"/>
      <c r="BK188" s="226"/>
      <c r="BL188" s="226"/>
      <c r="BM188" s="226"/>
      <c r="BN188" s="226"/>
      <c r="BO188" s="226"/>
      <c r="BP188" s="226"/>
      <c r="BQ188" s="226"/>
      <c r="BR188" s="226"/>
      <c r="BS188" s="226"/>
      <c r="BT188" s="226"/>
      <c r="BU188" s="226"/>
      <c r="BV188" s="226"/>
      <c r="BW188" s="226"/>
      <c r="BX188" s="226"/>
    </row>
    <row r="189" spans="3:76">
      <c r="C189" s="317" t="s">
        <v>349</v>
      </c>
      <c r="D189" s="329">
        <f>D188+D187</f>
        <v>5341205.5</v>
      </c>
      <c r="E189" s="226"/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6"/>
      <c r="AA189" s="226"/>
      <c r="AB189" s="226"/>
      <c r="AC189" s="226"/>
      <c r="AD189" s="226"/>
      <c r="AE189" s="226"/>
      <c r="AF189" s="226"/>
      <c r="AG189" s="226"/>
      <c r="AH189" s="226"/>
      <c r="AI189" s="226"/>
      <c r="AJ189" s="226"/>
      <c r="AK189" s="226"/>
      <c r="AL189" s="226"/>
      <c r="AM189" s="226"/>
      <c r="AN189" s="226"/>
      <c r="AO189" s="226"/>
      <c r="AP189" s="226"/>
      <c r="AQ189" s="226"/>
      <c r="AR189" s="226"/>
      <c r="AS189" s="226"/>
      <c r="AT189" s="226"/>
      <c r="AU189" s="226"/>
      <c r="AV189" s="226"/>
      <c r="AW189" s="226"/>
      <c r="AX189" s="226"/>
      <c r="AY189" s="226"/>
      <c r="AZ189" s="226"/>
      <c r="BA189" s="226"/>
      <c r="BB189" s="226"/>
      <c r="BC189" s="226"/>
      <c r="BD189" s="226"/>
      <c r="BE189" s="226"/>
      <c r="BF189" s="226"/>
      <c r="BG189" s="226"/>
      <c r="BH189" s="226"/>
      <c r="BI189" s="226"/>
      <c r="BJ189" s="226"/>
      <c r="BK189" s="226"/>
      <c r="BL189" s="226"/>
      <c r="BM189" s="226"/>
      <c r="BN189" s="226"/>
      <c r="BO189" s="226"/>
      <c r="BP189" s="226"/>
      <c r="BQ189" s="226"/>
      <c r="BR189" s="226"/>
      <c r="BS189" s="226"/>
      <c r="BT189" s="226"/>
      <c r="BU189" s="226"/>
      <c r="BV189" s="226"/>
      <c r="BW189" s="226"/>
      <c r="BX189" s="226"/>
    </row>
    <row r="190" spans="3:76">
      <c r="C190" s="317" t="s">
        <v>350</v>
      </c>
      <c r="D190" s="329">
        <f>BX181+BX182</f>
        <v>0</v>
      </c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  <c r="AE190" s="226"/>
      <c r="AF190" s="226"/>
      <c r="AG190" s="226"/>
      <c r="AH190" s="226"/>
      <c r="AI190" s="226"/>
      <c r="AJ190" s="226"/>
      <c r="AK190" s="226"/>
      <c r="AL190" s="226"/>
      <c r="AM190" s="226"/>
      <c r="AN190" s="226"/>
      <c r="AO190" s="226"/>
      <c r="AP190" s="226"/>
      <c r="AQ190" s="226"/>
      <c r="AR190" s="226"/>
      <c r="AS190" s="226"/>
      <c r="AT190" s="226"/>
      <c r="AU190" s="226"/>
      <c r="AV190" s="226"/>
      <c r="AW190" s="226"/>
      <c r="AX190" s="226"/>
      <c r="AY190" s="226"/>
      <c r="AZ190" s="226"/>
      <c r="BA190" s="226"/>
      <c r="BB190" s="226"/>
      <c r="BC190" s="226"/>
      <c r="BD190" s="226"/>
      <c r="BE190" s="226"/>
      <c r="BF190" s="226"/>
      <c r="BG190" s="226"/>
      <c r="BH190" s="226"/>
      <c r="BI190" s="226"/>
      <c r="BJ190" s="226"/>
      <c r="BK190" s="226"/>
      <c r="BL190" s="226"/>
      <c r="BM190" s="226"/>
      <c r="BN190" s="226"/>
      <c r="BO190" s="226"/>
      <c r="BP190" s="226"/>
      <c r="BQ190" s="226"/>
      <c r="BR190" s="226"/>
      <c r="BS190" s="226"/>
      <c r="BT190" s="226"/>
      <c r="BU190" s="226"/>
      <c r="BV190" s="226"/>
      <c r="BW190" s="226"/>
      <c r="BX190" s="226"/>
    </row>
    <row r="191" spans="3:76">
      <c r="C191" s="317" t="s">
        <v>351</v>
      </c>
      <c r="D191" s="326">
        <f>T182/T179</f>
        <v>0.51486504310684167</v>
      </c>
      <c r="E191" s="226"/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6"/>
      <c r="AA191" s="226"/>
      <c r="AB191" s="226"/>
      <c r="AC191" s="226"/>
      <c r="AD191" s="226"/>
      <c r="AE191" s="226"/>
      <c r="AF191" s="226"/>
      <c r="AG191" s="226"/>
      <c r="AH191" s="226"/>
      <c r="AI191" s="226"/>
      <c r="AJ191" s="226"/>
      <c r="AK191" s="226"/>
      <c r="AL191" s="226"/>
      <c r="AM191" s="226"/>
      <c r="AN191" s="226"/>
      <c r="AO191" s="226"/>
      <c r="AP191" s="226"/>
      <c r="AQ191" s="226"/>
      <c r="AR191" s="226"/>
      <c r="AS191" s="226"/>
      <c r="AT191" s="226"/>
      <c r="AU191" s="226"/>
      <c r="AV191" s="226"/>
      <c r="AW191" s="226"/>
      <c r="AX191" s="226"/>
      <c r="AY191" s="226"/>
      <c r="AZ191" s="226"/>
      <c r="BA191" s="226"/>
      <c r="BB191" s="226"/>
      <c r="BC191" s="226"/>
      <c r="BD191" s="226"/>
      <c r="BE191" s="226"/>
      <c r="BF191" s="226"/>
      <c r="BG191" s="226"/>
      <c r="BH191" s="226"/>
      <c r="BI191" s="226"/>
      <c r="BJ191" s="226"/>
      <c r="BK191" s="226"/>
      <c r="BL191" s="226"/>
      <c r="BM191" s="226"/>
      <c r="BN191" s="226"/>
      <c r="BO191" s="226"/>
      <c r="BP191" s="226"/>
      <c r="BQ191" s="226"/>
      <c r="BR191" s="226"/>
      <c r="BS191" s="226"/>
      <c r="BT191" s="226"/>
      <c r="BU191" s="226"/>
      <c r="BV191" s="226"/>
      <c r="BW191" s="226"/>
      <c r="BX191" s="226"/>
    </row>
    <row r="198" spans="19:23">
      <c r="S198" s="332">
        <v>700000</v>
      </c>
      <c r="T198" s="333">
        <v>1000000</v>
      </c>
      <c r="U198" s="332">
        <v>5300000</v>
      </c>
      <c r="V198" s="332">
        <v>4750000</v>
      </c>
      <c r="W198" s="332">
        <v>1250000</v>
      </c>
    </row>
    <row r="200" spans="19:23" ht="14">
      <c r="S200" s="25">
        <f t="shared" ref="S200:W200" si="68">S198*0.8</f>
        <v>560000</v>
      </c>
      <c r="T200" s="25">
        <f t="shared" si="68"/>
        <v>800000</v>
      </c>
      <c r="U200" s="25">
        <f t="shared" si="68"/>
        <v>4240000</v>
      </c>
      <c r="V200" s="25">
        <f t="shared" si="68"/>
        <v>3800000</v>
      </c>
      <c r="W200" s="25">
        <f t="shared" si="68"/>
        <v>1000000</v>
      </c>
    </row>
  </sheetData>
  <mergeCells count="34">
    <mergeCell ref="S124:T124"/>
    <mergeCell ref="B2:C4"/>
    <mergeCell ref="B5:B8"/>
    <mergeCell ref="B9:B11"/>
    <mergeCell ref="B12:B15"/>
    <mergeCell ref="B16:C16"/>
    <mergeCell ref="B17:B97"/>
    <mergeCell ref="B98:C98"/>
    <mergeCell ref="B100:C100"/>
    <mergeCell ref="B101:C101"/>
    <mergeCell ref="D106:E106"/>
    <mergeCell ref="D109:BW109"/>
    <mergeCell ref="S123:T123"/>
    <mergeCell ref="BM2:BX2"/>
    <mergeCell ref="E2:P2"/>
    <mergeCell ref="Q2:AB2"/>
    <mergeCell ref="BY90:BZ90"/>
    <mergeCell ref="BZ91:BZ97"/>
    <mergeCell ref="BY98:BZ98"/>
    <mergeCell ref="BY100:BZ100"/>
    <mergeCell ref="BZ5:BZ8"/>
    <mergeCell ref="BZ9:BZ11"/>
    <mergeCell ref="BY16:BZ16"/>
    <mergeCell ref="BZ17:BZ89"/>
    <mergeCell ref="CC17:CC89"/>
    <mergeCell ref="CC5:CC8"/>
    <mergeCell ref="CC9:CC11"/>
    <mergeCell ref="CC12:CC15"/>
    <mergeCell ref="CB16:CC16"/>
    <mergeCell ref="AC2:AN2"/>
    <mergeCell ref="AO2:AZ2"/>
    <mergeCell ref="BA2:BL2"/>
    <mergeCell ref="BY2:BZ4"/>
    <mergeCell ref="BZ12:BZ15"/>
  </mergeCells>
  <conditionalFormatting sqref="E17:BX17 E23:BX23 E26:BX26 E34:BX34 E37:BX37 E49:BX49 E55:BX55 E63:BX63 E87:BX87 E90:BX90">
    <cfRule type="cellIs" dxfId="5" priority="1" operator="equal">
      <formula>0</formula>
    </cfRule>
  </conditionalFormatting>
  <conditionalFormatting sqref="F114:BS117 E115 BT115:BX115 E117 BT117:BX117 E131 F131:BX134 E133 E149:BX149 E163 M163:BX163 F163:L166 E165 M165:BX165 M179:T179 H179:L182 E181:G181 M181:BX181">
    <cfRule type="cellIs" dxfId="4" priority="2" operator="equal">
      <formula>0</formula>
    </cfRule>
  </conditionalFormatting>
  <dataValidations count="1">
    <dataValidation type="list" allowBlank="1" showErrorMessage="1" sqref="CB4" xr:uid="{00000000-0002-0000-1900-000000000000}">
      <formula1>$D$3:$BX$3</formula1>
    </dataValidation>
  </dataValidations>
  <pageMargins left="0" right="0" top="0" bottom="0" header="0" footer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R61"/>
  <sheetViews>
    <sheetView workbookViewId="0"/>
  </sheetViews>
  <sheetFormatPr baseColWidth="10" defaultColWidth="12.6640625" defaultRowHeight="15" customHeight="1"/>
  <cols>
    <col min="1" max="1" width="4.33203125" customWidth="1"/>
    <col min="2" max="2" width="48.5" customWidth="1"/>
    <col min="3" max="3" width="8" customWidth="1"/>
    <col min="4" max="4" width="7.83203125" customWidth="1"/>
    <col min="5" max="5" width="16.6640625" customWidth="1"/>
    <col min="6" max="6" width="22.6640625" customWidth="1"/>
    <col min="7" max="7" width="4" customWidth="1"/>
    <col min="8" max="8" width="4.33203125" customWidth="1"/>
    <col min="9" max="9" width="36.1640625" customWidth="1"/>
    <col min="10" max="10" width="8.6640625" customWidth="1"/>
    <col min="11" max="11" width="14.5" customWidth="1"/>
    <col min="12" max="12" width="9.6640625" customWidth="1"/>
    <col min="13" max="13" width="12.83203125" customWidth="1"/>
    <col min="14" max="14" width="20.1640625" customWidth="1"/>
    <col min="15" max="16" width="4.33203125" customWidth="1"/>
    <col min="17" max="17" width="40.83203125" customWidth="1"/>
    <col min="18" max="18" width="77" customWidth="1"/>
    <col min="19" max="27" width="7" customWidth="1"/>
  </cols>
  <sheetData>
    <row r="1" spans="1:18" ht="30" customHeight="1">
      <c r="A1" s="63"/>
      <c r="B1" s="873" t="s">
        <v>657</v>
      </c>
      <c r="C1" s="772"/>
      <c r="D1" s="772"/>
      <c r="E1" s="772"/>
      <c r="F1" s="772"/>
      <c r="G1" s="772"/>
      <c r="H1" s="772"/>
      <c r="I1" s="772"/>
      <c r="J1" s="772"/>
      <c r="K1" s="772"/>
      <c r="L1" s="772"/>
      <c r="M1" s="772"/>
      <c r="N1" s="772"/>
      <c r="O1" s="64"/>
      <c r="P1" s="64"/>
      <c r="Q1" s="64"/>
      <c r="R1" s="64"/>
    </row>
    <row r="2" spans="1:18" ht="18" customHeight="1">
      <c r="A2" s="65"/>
      <c r="B2" s="66"/>
      <c r="C2" s="67"/>
      <c r="D2" s="68"/>
      <c r="E2" s="69"/>
      <c r="F2" s="70"/>
      <c r="G2" s="70"/>
      <c r="H2" s="71"/>
      <c r="I2" s="71"/>
      <c r="J2" s="67"/>
      <c r="K2" s="67"/>
      <c r="L2" s="68"/>
      <c r="M2" s="69"/>
      <c r="N2" s="72"/>
      <c r="O2" s="71"/>
      <c r="P2" s="71"/>
      <c r="Q2" s="71"/>
      <c r="R2" s="71"/>
    </row>
    <row r="3" spans="1:18" ht="18" customHeight="1">
      <c r="A3" s="65"/>
      <c r="B3" s="64"/>
      <c r="C3" s="73"/>
      <c r="D3" s="74"/>
      <c r="F3" s="677"/>
      <c r="G3" s="75"/>
      <c r="H3" s="64"/>
      <c r="I3" s="64"/>
      <c r="J3" s="73"/>
      <c r="K3" s="73"/>
      <c r="L3" s="74"/>
      <c r="M3" s="76"/>
      <c r="N3" s="75"/>
      <c r="O3" s="64"/>
      <c r="P3" s="64"/>
      <c r="Q3" s="64"/>
      <c r="R3" s="64"/>
    </row>
    <row r="4" spans="1:18" ht="30" customHeight="1">
      <c r="A4" s="65"/>
      <c r="B4" s="797" t="s">
        <v>131</v>
      </c>
      <c r="C4" s="798"/>
      <c r="D4" s="798"/>
      <c r="E4" s="798"/>
      <c r="F4" s="799"/>
      <c r="G4" s="77"/>
      <c r="H4" s="64"/>
      <c r="I4" s="800" t="s">
        <v>132</v>
      </c>
      <c r="J4" s="798"/>
      <c r="K4" s="798"/>
      <c r="L4" s="798"/>
      <c r="M4" s="798"/>
      <c r="N4" s="799"/>
      <c r="O4" s="64"/>
      <c r="P4" s="64"/>
      <c r="Q4" s="800" t="s">
        <v>133</v>
      </c>
      <c r="R4" s="799"/>
    </row>
    <row r="5" spans="1:18" ht="18" customHeight="1">
      <c r="A5" s="65"/>
      <c r="B5" s="64"/>
      <c r="C5" s="73"/>
      <c r="D5" s="74"/>
      <c r="E5" s="73"/>
      <c r="F5" s="73"/>
      <c r="G5" s="78"/>
      <c r="H5" s="64"/>
      <c r="I5" s="64"/>
      <c r="J5" s="73"/>
      <c r="K5" s="73"/>
      <c r="L5" s="74"/>
      <c r="M5" s="76"/>
      <c r="N5" s="75"/>
      <c r="O5" s="64"/>
      <c r="P5" s="64"/>
    </row>
    <row r="6" spans="1:18" ht="18" customHeight="1">
      <c r="A6" s="65" t="s">
        <v>134</v>
      </c>
      <c r="B6" s="801" t="s">
        <v>135</v>
      </c>
      <c r="C6" s="798"/>
      <c r="D6" s="798"/>
      <c r="E6" s="798"/>
      <c r="F6" s="799"/>
      <c r="G6" s="79"/>
      <c r="H6" s="64"/>
      <c r="I6" s="802" t="s">
        <v>132</v>
      </c>
      <c r="J6" s="798"/>
      <c r="K6" s="798"/>
      <c r="L6" s="798"/>
      <c r="M6" s="798"/>
      <c r="N6" s="799"/>
      <c r="O6" s="64"/>
      <c r="P6" s="64"/>
      <c r="Q6" s="802" t="s">
        <v>136</v>
      </c>
      <c r="R6" s="799"/>
    </row>
    <row r="7" spans="1:18" ht="18" customHeight="1">
      <c r="A7" s="65"/>
      <c r="B7" s="80"/>
      <c r="C7" s="81" t="s">
        <v>137</v>
      </c>
      <c r="D7" s="81" t="s">
        <v>138</v>
      </c>
      <c r="E7" s="82" t="s">
        <v>139</v>
      </c>
      <c r="F7" s="83" t="s">
        <v>658</v>
      </c>
      <c r="G7" s="78"/>
      <c r="H7" s="64"/>
      <c r="I7" s="84"/>
      <c r="J7" s="82" t="s">
        <v>140</v>
      </c>
      <c r="K7" s="82" t="s">
        <v>141</v>
      </c>
      <c r="L7" s="82" t="s">
        <v>142</v>
      </c>
      <c r="M7" s="82" t="s">
        <v>659</v>
      </c>
      <c r="N7" s="85" t="s">
        <v>660</v>
      </c>
      <c r="O7" s="64"/>
      <c r="P7" s="64"/>
      <c r="Q7" s="86" t="s">
        <v>145</v>
      </c>
      <c r="R7" s="87">
        <v>0</v>
      </c>
    </row>
    <row r="8" spans="1:18" ht="18" customHeight="1">
      <c r="A8" s="65"/>
      <c r="B8" s="678" t="s">
        <v>661</v>
      </c>
      <c r="C8" s="88" t="s">
        <v>146</v>
      </c>
      <c r="D8" s="88">
        <v>6432</v>
      </c>
      <c r="E8" s="511">
        <v>10</v>
      </c>
      <c r="F8" s="98">
        <f>((E8*D8)*SUM(R7:R13))</f>
        <v>771840</v>
      </c>
      <c r="G8" s="512"/>
      <c r="H8" s="64"/>
      <c r="I8" s="91" t="str">
        <f>Rentroll!D2</f>
        <v>Penny</v>
      </c>
      <c r="J8" s="92">
        <f>Rentroll!F2</f>
        <v>1168.5999999999999</v>
      </c>
      <c r="K8" s="92" t="str">
        <f>Rentroll!E2</f>
        <v>full fit-out</v>
      </c>
      <c r="L8" s="93">
        <f>Rentroll!I2</f>
        <v>372.59086085914765</v>
      </c>
      <c r="M8" s="93">
        <f>Rentroll!L2</f>
        <v>39</v>
      </c>
      <c r="N8" s="94">
        <f t="shared" ref="N8:N16" si="0">IF(J8&gt;0,J8,1)*(L8)</f>
        <v>435409.67999999993</v>
      </c>
      <c r="O8" s="64"/>
      <c r="P8" s="64"/>
      <c r="Q8" s="95" t="s">
        <v>148</v>
      </c>
      <c r="R8" s="96">
        <v>6</v>
      </c>
    </row>
    <row r="9" spans="1:18" ht="18" customHeight="1">
      <c r="A9" s="65"/>
      <c r="B9" s="513" t="s">
        <v>662</v>
      </c>
      <c r="C9" s="514" t="s">
        <v>153</v>
      </c>
      <c r="D9" s="515">
        <v>0.02</v>
      </c>
      <c r="E9" s="516">
        <f>E8*D9</f>
        <v>0.2</v>
      </c>
      <c r="F9" s="517">
        <f>F8*D9</f>
        <v>15436.800000000001</v>
      </c>
      <c r="G9" s="100"/>
      <c r="H9" s="64"/>
      <c r="I9" s="91" t="str">
        <f>Rentroll!D3</f>
        <v>Alza</v>
      </c>
      <c r="J9" s="92">
        <f>Rentroll!F3</f>
        <v>1</v>
      </c>
      <c r="K9" s="92" t="str">
        <f>Rentroll!E3</f>
        <v>pozemek</v>
      </c>
      <c r="L9" s="93">
        <f>Rentroll!I3</f>
        <v>3500</v>
      </c>
      <c r="M9" s="93">
        <f>Rentroll!L3</f>
        <v>500</v>
      </c>
      <c r="N9" s="94">
        <f t="shared" si="0"/>
        <v>3500</v>
      </c>
      <c r="O9" s="64"/>
      <c r="P9" s="64"/>
      <c r="Q9" s="91" t="s">
        <v>151</v>
      </c>
      <c r="R9" s="102">
        <v>0</v>
      </c>
    </row>
    <row r="10" spans="1:18" ht="18" customHeight="1">
      <c r="A10" s="65"/>
      <c r="B10" s="107" t="s">
        <v>156</v>
      </c>
      <c r="C10" s="803">
        <f>SUM(F8:F9)</f>
        <v>787276.80000000005</v>
      </c>
      <c r="D10" s="798"/>
      <c r="E10" s="798"/>
      <c r="F10" s="799"/>
      <c r="G10" s="100"/>
      <c r="H10" s="64"/>
      <c r="I10" s="91" t="str">
        <f>Rentroll!D4</f>
        <v>Myčka</v>
      </c>
      <c r="J10" s="92">
        <f>Rentroll!F4</f>
        <v>1</v>
      </c>
      <c r="K10" s="92" t="str">
        <f>Rentroll!E4</f>
        <v>pozemek</v>
      </c>
      <c r="L10" s="93">
        <f>Rentroll!I4</f>
        <v>19999.259999999998</v>
      </c>
      <c r="M10" s="93">
        <f>Rentroll!L4</f>
        <v>0</v>
      </c>
      <c r="N10" s="94">
        <f t="shared" si="0"/>
        <v>19999.259999999998</v>
      </c>
      <c r="O10" s="64"/>
      <c r="P10" s="64"/>
      <c r="Q10" s="91" t="s">
        <v>150</v>
      </c>
      <c r="R10" s="99">
        <v>0</v>
      </c>
    </row>
    <row r="11" spans="1:18" ht="18" customHeight="1">
      <c r="B11" s="111" t="s">
        <v>158</v>
      </c>
      <c r="C11" s="26"/>
      <c r="D11" s="26"/>
      <c r="E11" s="26"/>
      <c r="F11" s="112">
        <f>C10/J17</f>
        <v>380.18920680912714</v>
      </c>
      <c r="G11" s="100"/>
      <c r="H11" s="64"/>
      <c r="I11" s="91" t="str">
        <f>Rentroll!D5</f>
        <v>Pepco</v>
      </c>
      <c r="J11" s="92">
        <f>Rentroll!F5</f>
        <v>484.96</v>
      </c>
      <c r="K11" s="92" t="str">
        <f>Rentroll!E5</f>
        <v>full fit-out</v>
      </c>
      <c r="L11" s="93">
        <f>Rentroll!I5</f>
        <v>300.47549999999995</v>
      </c>
      <c r="M11" s="93">
        <f>Rentroll!L5</f>
        <v>43.793999999999997</v>
      </c>
      <c r="N11" s="94">
        <f t="shared" si="0"/>
        <v>145718.59847999999</v>
      </c>
      <c r="O11" s="64"/>
      <c r="P11" s="64"/>
      <c r="Q11" s="101" t="s">
        <v>148</v>
      </c>
      <c r="R11" s="96">
        <v>0</v>
      </c>
    </row>
    <row r="12" spans="1:18" ht="18" customHeight="1">
      <c r="B12" s="26"/>
      <c r="C12" s="26"/>
      <c r="D12" s="74"/>
      <c r="E12" s="76"/>
      <c r="F12" s="75"/>
      <c r="G12" s="104"/>
      <c r="H12" s="64"/>
      <c r="I12" s="91" t="str">
        <f>Rentroll!D6</f>
        <v>Teta</v>
      </c>
      <c r="J12" s="92">
        <f>Rentroll!F6</f>
        <v>224.22</v>
      </c>
      <c r="K12" s="92" t="str">
        <f>Rentroll!E6</f>
        <v>full fit-out</v>
      </c>
      <c r="L12" s="93">
        <f>Rentroll!I6</f>
        <v>323.589</v>
      </c>
      <c r="M12" s="93">
        <f>Rentroll!L6</f>
        <v>36.494999999999997</v>
      </c>
      <c r="N12" s="94">
        <f t="shared" si="0"/>
        <v>72555.125579999993</v>
      </c>
      <c r="O12" s="64"/>
      <c r="P12" s="64"/>
      <c r="Q12" s="101" t="s">
        <v>151</v>
      </c>
      <c r="R12" s="102">
        <v>3</v>
      </c>
    </row>
    <row r="13" spans="1:18" ht="18" customHeight="1">
      <c r="A13" s="65" t="s">
        <v>159</v>
      </c>
      <c r="B13" s="801" t="s">
        <v>663</v>
      </c>
      <c r="C13" s="798"/>
      <c r="D13" s="798"/>
      <c r="E13" s="798"/>
      <c r="F13" s="799"/>
      <c r="G13" s="108"/>
      <c r="H13" s="64"/>
      <c r="I13" s="91" t="str">
        <f>Rentroll!D7</f>
        <v>Traficon</v>
      </c>
      <c r="J13" s="92">
        <f>Rentroll!F7</f>
        <v>49.31</v>
      </c>
      <c r="K13" s="92" t="str">
        <f>Rentroll!E7</f>
        <v>full fit-out</v>
      </c>
      <c r="L13" s="93">
        <f>Rentroll!I7</f>
        <v>1094.8499999999999</v>
      </c>
      <c r="M13" s="93">
        <f>Rentroll!L7</f>
        <v>36.494999999999997</v>
      </c>
      <c r="N13" s="94">
        <f t="shared" si="0"/>
        <v>53987.053499999995</v>
      </c>
      <c r="O13" s="64"/>
      <c r="P13" s="64"/>
      <c r="Q13" s="91" t="s">
        <v>152</v>
      </c>
      <c r="R13" s="99">
        <v>3</v>
      </c>
    </row>
    <row r="14" spans="1:18" ht="18" customHeight="1">
      <c r="A14" s="65"/>
      <c r="B14" s="119"/>
      <c r="C14" s="120" t="s">
        <v>137</v>
      </c>
      <c r="D14" s="81" t="s">
        <v>163</v>
      </c>
      <c r="E14" s="120" t="s">
        <v>164</v>
      </c>
      <c r="F14" s="121"/>
      <c r="G14" s="108"/>
      <c r="H14" s="64"/>
      <c r="I14" s="91" t="str">
        <f>Rentroll!D8</f>
        <v>Salon Beauty</v>
      </c>
      <c r="J14" s="92">
        <f>Rentroll!F8</f>
        <v>140.66</v>
      </c>
      <c r="K14" s="92" t="str">
        <f>Rentroll!E8</f>
        <v>full fit-out</v>
      </c>
      <c r="L14" s="93">
        <f>Rentroll!I8</f>
        <v>316.28999999999996</v>
      </c>
      <c r="M14" s="93">
        <f>Rentroll!L8</f>
        <v>36.494999999999997</v>
      </c>
      <c r="N14" s="94">
        <f t="shared" si="0"/>
        <v>44489.351399999992</v>
      </c>
      <c r="O14" s="64"/>
      <c r="P14" s="64"/>
      <c r="Q14" s="91" t="s">
        <v>154</v>
      </c>
      <c r="R14" s="99">
        <v>9</v>
      </c>
    </row>
    <row r="15" spans="1:18" ht="18" customHeight="1">
      <c r="A15" s="65"/>
      <c r="B15" s="518" t="s">
        <v>664</v>
      </c>
      <c r="C15" s="126">
        <v>1</v>
      </c>
      <c r="D15" s="127" t="s">
        <v>146</v>
      </c>
      <c r="E15" s="89">
        <v>20000</v>
      </c>
      <c r="F15" s="90">
        <f>(E15*J17)</f>
        <v>41415000</v>
      </c>
      <c r="G15" s="108"/>
      <c r="H15" s="64"/>
      <c r="I15" s="91" t="str">
        <f>Rentroll!D9</f>
        <v>Z-Box</v>
      </c>
      <c r="J15" s="92">
        <f>Rentroll!F9</f>
        <v>1</v>
      </c>
      <c r="K15" s="92" t="str">
        <f>Rentroll!E9</f>
        <v>pozemek</v>
      </c>
      <c r="L15" s="93">
        <f>Rentroll!I9</f>
        <v>0</v>
      </c>
      <c r="M15" s="93">
        <f>Rentroll!L9</f>
        <v>0</v>
      </c>
      <c r="N15" s="94">
        <f t="shared" si="0"/>
        <v>0</v>
      </c>
      <c r="O15" s="64"/>
      <c r="P15" s="64"/>
      <c r="Q15" s="519"/>
      <c r="R15" s="520"/>
    </row>
    <row r="16" spans="1:18" ht="18" customHeight="1">
      <c r="A16" s="65"/>
      <c r="B16" s="521" t="s">
        <v>665</v>
      </c>
      <c r="C16" s="126">
        <v>1</v>
      </c>
      <c r="D16" s="127" t="s">
        <v>146</v>
      </c>
      <c r="E16" s="89">
        <v>10000</v>
      </c>
      <c r="F16" s="522">
        <f>SUMIF(K8:K15,"full fit-out",J8:J15)*E16</f>
        <v>20677500</v>
      </c>
      <c r="G16" s="108"/>
      <c r="H16" s="64"/>
      <c r="I16" s="91">
        <f>Rentroll!D10</f>
        <v>0</v>
      </c>
      <c r="J16" s="92">
        <f>Rentroll!F10</f>
        <v>0</v>
      </c>
      <c r="K16" s="92">
        <f>Rentroll!E10</f>
        <v>0</v>
      </c>
      <c r="L16" s="93">
        <f>Rentroll!I10</f>
        <v>0</v>
      </c>
      <c r="M16" s="93">
        <f>Rentroll!L10</f>
        <v>0</v>
      </c>
      <c r="N16" s="94">
        <f t="shared" si="0"/>
        <v>0</v>
      </c>
      <c r="O16" s="64"/>
      <c r="P16" s="64"/>
      <c r="Q16" s="105" t="s">
        <v>155</v>
      </c>
      <c r="R16" s="106">
        <v>3</v>
      </c>
    </row>
    <row r="17" spans="1:18" ht="18" customHeight="1">
      <c r="A17" s="65"/>
      <c r="B17" s="521" t="s">
        <v>189</v>
      </c>
      <c r="C17" s="126">
        <v>1</v>
      </c>
      <c r="D17" s="167" t="s">
        <v>146</v>
      </c>
      <c r="E17" s="89">
        <v>1500</v>
      </c>
      <c r="F17" s="522">
        <f>D8*E17</f>
        <v>9648000</v>
      </c>
      <c r="G17" s="108"/>
      <c r="H17" s="64"/>
      <c r="I17" s="113" t="s">
        <v>160</v>
      </c>
      <c r="J17" s="523">
        <f>SUM(J8:J16)</f>
        <v>2070.75</v>
      </c>
      <c r="K17" s="523" t="s">
        <v>161</v>
      </c>
      <c r="L17" s="524">
        <f t="shared" ref="L17:M17" si="1">SUM(L8:L16)</f>
        <v>25907.055360859147</v>
      </c>
      <c r="M17" s="525">
        <f t="shared" si="1"/>
        <v>692.279</v>
      </c>
      <c r="N17" s="526"/>
      <c r="O17" s="64"/>
      <c r="P17" s="64"/>
      <c r="Q17" s="109" t="s">
        <v>157</v>
      </c>
      <c r="R17" s="110">
        <f>SUM(R7:R16)</f>
        <v>24</v>
      </c>
    </row>
    <row r="18" spans="1:18" ht="18" customHeight="1">
      <c r="B18" s="521" t="s">
        <v>190</v>
      </c>
      <c r="C18" s="527">
        <v>1</v>
      </c>
      <c r="D18" s="167" t="s">
        <v>146</v>
      </c>
      <c r="E18" s="528">
        <v>600</v>
      </c>
      <c r="F18" s="522">
        <f>D8*E18</f>
        <v>3859200</v>
      </c>
      <c r="G18" s="130"/>
      <c r="H18" s="64"/>
      <c r="I18" s="122" t="s">
        <v>165</v>
      </c>
      <c r="J18" s="874">
        <f>SUM(N8:N16)*12</f>
        <v>9307908.8275199998</v>
      </c>
      <c r="K18" s="857"/>
      <c r="L18" s="857"/>
      <c r="M18" s="857"/>
      <c r="N18" s="771"/>
      <c r="O18" s="64"/>
      <c r="P18" s="64"/>
      <c r="Q18" s="64"/>
      <c r="R18" s="64"/>
    </row>
    <row r="19" spans="1:18" ht="18" customHeight="1">
      <c r="A19" s="65"/>
      <c r="B19" s="521" t="s">
        <v>666</v>
      </c>
      <c r="C19" s="527">
        <v>1</v>
      </c>
      <c r="D19" s="167" t="s">
        <v>146</v>
      </c>
      <c r="E19" s="528"/>
      <c r="F19" s="522">
        <f t="shared" ref="F19:F21" si="2">E19</f>
        <v>0</v>
      </c>
      <c r="G19" s="512"/>
      <c r="H19" s="64"/>
      <c r="I19" s="529" t="s">
        <v>667</v>
      </c>
      <c r="J19" s="679"/>
      <c r="K19" s="679"/>
      <c r="L19" s="679">
        <v>15</v>
      </c>
      <c r="M19" s="679"/>
      <c r="N19" s="530">
        <f>-L19*D8*12</f>
        <v>-1157760</v>
      </c>
      <c r="O19" s="64"/>
      <c r="P19" s="64"/>
      <c r="Q19" s="64"/>
      <c r="R19" s="64"/>
    </row>
    <row r="20" spans="1:18" ht="18" customHeight="1">
      <c r="A20" s="65"/>
      <c r="B20" s="521" t="s">
        <v>668</v>
      </c>
      <c r="C20" s="527">
        <v>1</v>
      </c>
      <c r="D20" s="167" t="s">
        <v>146</v>
      </c>
      <c r="E20" s="528">
        <v>2000000</v>
      </c>
      <c r="F20" s="522">
        <f t="shared" si="2"/>
        <v>2000000</v>
      </c>
      <c r="G20" s="130"/>
      <c r="H20" s="64"/>
      <c r="I20" s="531" t="s">
        <v>669</v>
      </c>
      <c r="J20" s="532"/>
      <c r="K20" s="532" t="s">
        <v>670</v>
      </c>
      <c r="L20" s="533"/>
      <c r="M20" s="534"/>
      <c r="N20" s="535">
        <f>(J18+N19)/C47</f>
        <v>8.1788212524950152E-2</v>
      </c>
      <c r="O20" s="64"/>
      <c r="P20" s="64"/>
      <c r="Q20" s="64"/>
      <c r="R20" s="64"/>
    </row>
    <row r="21" spans="1:18" ht="18" customHeight="1">
      <c r="A21" s="65"/>
      <c r="B21" s="521" t="s">
        <v>671</v>
      </c>
      <c r="C21" s="527">
        <v>1</v>
      </c>
      <c r="D21" s="167" t="s">
        <v>146</v>
      </c>
      <c r="E21" s="528">
        <v>1000000</v>
      </c>
      <c r="F21" s="522">
        <f t="shared" si="2"/>
        <v>1000000</v>
      </c>
      <c r="G21" s="151"/>
      <c r="H21" s="64"/>
      <c r="I21" s="536" t="s">
        <v>672</v>
      </c>
      <c r="J21" s="537"/>
      <c r="K21" s="131"/>
      <c r="L21" s="131"/>
      <c r="M21" s="538">
        <v>0.06</v>
      </c>
      <c r="N21" s="539">
        <f>N20/M21</f>
        <v>1.3631368754158359</v>
      </c>
      <c r="O21" s="64"/>
      <c r="P21" s="64"/>
      <c r="Q21" s="802" t="s">
        <v>673</v>
      </c>
      <c r="R21" s="799"/>
    </row>
    <row r="22" spans="1:18" ht="18" customHeight="1">
      <c r="B22" s="540" t="s">
        <v>674</v>
      </c>
      <c r="C22" s="541">
        <v>1</v>
      </c>
      <c r="D22" s="127" t="s">
        <v>153</v>
      </c>
      <c r="E22" s="542">
        <v>0.05</v>
      </c>
      <c r="F22" s="543">
        <f>SUM(F15:F17)*E22</f>
        <v>3587025</v>
      </c>
      <c r="G22" s="151"/>
      <c r="H22" s="64"/>
      <c r="I22" s="123" t="s">
        <v>167</v>
      </c>
      <c r="J22" s="131"/>
      <c r="K22" s="131"/>
      <c r="L22" s="131"/>
      <c r="M22" s="132">
        <v>15</v>
      </c>
      <c r="N22" s="133">
        <f>J17*M22*12</f>
        <v>372735</v>
      </c>
      <c r="O22" s="152"/>
      <c r="P22" s="64"/>
      <c r="Q22" s="544" t="s">
        <v>675</v>
      </c>
      <c r="R22" s="159">
        <v>0.255</v>
      </c>
    </row>
    <row r="23" spans="1:18" ht="18" customHeight="1">
      <c r="A23" s="65"/>
      <c r="B23" s="107" t="s">
        <v>156</v>
      </c>
      <c r="C23" s="803">
        <f>SUM(F15:F22)</f>
        <v>82186725</v>
      </c>
      <c r="D23" s="798"/>
      <c r="E23" s="798"/>
      <c r="F23" s="799"/>
      <c r="G23" s="151"/>
      <c r="H23" s="64"/>
      <c r="I23" s="545" t="s">
        <v>676</v>
      </c>
      <c r="J23" s="131"/>
      <c r="K23" s="131"/>
      <c r="L23" s="546"/>
      <c r="M23" s="547"/>
      <c r="N23" s="189">
        <f>(Rentroll!O12-N22+N19)/C47</f>
        <v>8.8614679621451573E-2</v>
      </c>
      <c r="O23" s="64"/>
      <c r="P23" s="64"/>
      <c r="Q23" s="123" t="s">
        <v>677</v>
      </c>
      <c r="R23" s="175">
        <f>R22*(C23+C44)</f>
        <v>25209849.280161832</v>
      </c>
    </row>
    <row r="24" spans="1:18" ht="18" customHeight="1">
      <c r="B24" s="111" t="s">
        <v>158</v>
      </c>
      <c r="C24" s="190"/>
      <c r="D24" s="190"/>
      <c r="E24" s="190"/>
      <c r="F24" s="548">
        <f>C23/J17</f>
        <v>39689.351684172405</v>
      </c>
      <c r="G24" s="151"/>
      <c r="H24" s="64"/>
      <c r="I24" s="136" t="s">
        <v>170</v>
      </c>
      <c r="J24" s="137"/>
      <c r="K24" s="137"/>
      <c r="L24" s="138"/>
      <c r="M24" s="139"/>
      <c r="N24" s="140">
        <v>7.1999999999999995E-2</v>
      </c>
      <c r="O24" s="64"/>
      <c r="P24" s="64"/>
      <c r="Q24" s="165" t="s">
        <v>176</v>
      </c>
      <c r="R24" s="150">
        <f>J26-R23-C23-C44+N25</f>
        <v>-12162464.488759693</v>
      </c>
    </row>
    <row r="25" spans="1:18" ht="18" customHeight="1">
      <c r="B25" s="64"/>
      <c r="C25" s="73"/>
      <c r="D25" s="74"/>
      <c r="E25" s="76"/>
      <c r="F25" s="75"/>
      <c r="G25" s="151"/>
      <c r="H25" s="64"/>
      <c r="I25" s="141" t="s">
        <v>678</v>
      </c>
      <c r="J25" s="142"/>
      <c r="K25" s="142"/>
      <c r="L25" s="143"/>
      <c r="M25" s="549">
        <v>0.5</v>
      </c>
      <c r="N25" s="550">
        <f>(J26-C47)*0.19*-M25</f>
        <v>-1286972.6620808868</v>
      </c>
      <c r="O25" s="64"/>
      <c r="P25" s="64"/>
      <c r="Q25" s="166" t="s">
        <v>178</v>
      </c>
      <c r="R25" s="153">
        <f>R24-F39</f>
        <v>-12174273.640759693</v>
      </c>
    </row>
    <row r="26" spans="1:18" ht="29.25" customHeight="1">
      <c r="A26" s="65" t="s">
        <v>181</v>
      </c>
      <c r="B26" s="801" t="s">
        <v>679</v>
      </c>
      <c r="C26" s="798"/>
      <c r="D26" s="798"/>
      <c r="E26" s="798"/>
      <c r="F26" s="799"/>
      <c r="G26" s="151"/>
      <c r="H26" s="64"/>
      <c r="I26" s="154" t="s">
        <v>680</v>
      </c>
      <c r="J26" s="806">
        <f>(J18+N19)/N24</f>
        <v>113196511.49333334</v>
      </c>
      <c r="K26" s="798"/>
      <c r="L26" s="798"/>
      <c r="M26" s="798"/>
      <c r="N26" s="799"/>
      <c r="O26" s="64"/>
      <c r="P26" s="64"/>
    </row>
    <row r="27" spans="1:18" ht="18" customHeight="1">
      <c r="A27" s="65"/>
      <c r="B27" s="551"/>
      <c r="C27" s="552" t="s">
        <v>137</v>
      </c>
      <c r="D27" s="553" t="s">
        <v>163</v>
      </c>
      <c r="E27" s="554" t="s">
        <v>681</v>
      </c>
      <c r="F27" s="555"/>
      <c r="G27" s="151"/>
      <c r="H27" s="64"/>
      <c r="I27" s="64"/>
      <c r="J27" s="73"/>
      <c r="K27" s="73"/>
      <c r="L27" s="74"/>
      <c r="M27" s="76"/>
      <c r="N27" s="75"/>
      <c r="O27" s="64"/>
      <c r="P27" s="64"/>
      <c r="Q27" s="802" t="s">
        <v>192</v>
      </c>
      <c r="R27" s="799"/>
    </row>
    <row r="28" spans="1:18" ht="27" customHeight="1">
      <c r="A28" s="65"/>
      <c r="B28" s="556" t="s">
        <v>682</v>
      </c>
      <c r="C28" s="557">
        <v>1</v>
      </c>
      <c r="D28" s="558" t="s">
        <v>146</v>
      </c>
      <c r="E28" s="174">
        <v>0.05</v>
      </c>
      <c r="F28" s="555">
        <f t="shared" ref="F28:F30" si="3">E28*$C$23</f>
        <v>4109336.25</v>
      </c>
      <c r="G28" s="151"/>
      <c r="H28" s="64"/>
      <c r="I28" s="445"/>
      <c r="J28" s="446"/>
      <c r="K28" s="446"/>
      <c r="L28" s="446"/>
      <c r="M28" s="446"/>
      <c r="N28" s="447"/>
      <c r="O28" s="64"/>
      <c r="P28" s="64"/>
      <c r="Q28" s="544" t="str">
        <f>B8</f>
        <v>Pozemek</v>
      </c>
      <c r="R28" s="171">
        <f>C10</f>
        <v>787276.80000000005</v>
      </c>
    </row>
    <row r="29" spans="1:18" ht="27" customHeight="1">
      <c r="A29" s="65"/>
      <c r="B29" s="556" t="s">
        <v>683</v>
      </c>
      <c r="C29" s="557">
        <v>1</v>
      </c>
      <c r="D29" s="558" t="s">
        <v>146</v>
      </c>
      <c r="E29" s="174">
        <v>0.03</v>
      </c>
      <c r="F29" s="555">
        <f t="shared" si="3"/>
        <v>2465601.75</v>
      </c>
      <c r="G29" s="151"/>
      <c r="H29" s="64"/>
      <c r="I29" s="559" t="s">
        <v>415</v>
      </c>
      <c r="J29" s="661"/>
      <c r="K29" s="661"/>
      <c r="L29" s="661"/>
      <c r="M29" s="856">
        <f>J26-C47+N25</f>
        <v>12260107.991402131</v>
      </c>
      <c r="N29" s="771"/>
      <c r="O29" s="64"/>
      <c r="P29" s="64"/>
      <c r="Q29" s="123" t="s">
        <v>613</v>
      </c>
      <c r="R29" s="175">
        <f>M29*25%</f>
        <v>3065026.9978505326</v>
      </c>
    </row>
    <row r="30" spans="1:18" ht="18" customHeight="1">
      <c r="A30" s="65"/>
      <c r="B30" s="556" t="s">
        <v>684</v>
      </c>
      <c r="C30" s="560">
        <v>1</v>
      </c>
      <c r="D30" s="557" t="s">
        <v>146</v>
      </c>
      <c r="E30" s="174">
        <f>0.7%</f>
        <v>6.9999999999999993E-3</v>
      </c>
      <c r="F30" s="555">
        <f t="shared" si="3"/>
        <v>575307.07499999995</v>
      </c>
      <c r="G30" s="151"/>
      <c r="H30" s="64"/>
      <c r="I30" s="559"/>
      <c r="J30" s="661"/>
      <c r="K30" s="661"/>
      <c r="L30" s="661"/>
      <c r="M30" s="857"/>
      <c r="N30" s="771"/>
      <c r="O30" s="64"/>
      <c r="P30" s="64"/>
      <c r="Q30" s="165" t="str">
        <f>B28</f>
        <v>Architekt, projektant</v>
      </c>
      <c r="R30" s="150">
        <f>F28</f>
        <v>4109336.25</v>
      </c>
    </row>
    <row r="31" spans="1:18" ht="18" customHeight="1">
      <c r="A31" s="65"/>
      <c r="B31" s="556" t="s">
        <v>227</v>
      </c>
      <c r="C31" s="557">
        <v>1</v>
      </c>
      <c r="D31" s="557" t="s">
        <v>685</v>
      </c>
      <c r="E31" s="174">
        <v>0.15</v>
      </c>
      <c r="F31" s="555">
        <f>E31*$J$18</f>
        <v>1396186.3241279998</v>
      </c>
      <c r="G31" s="151"/>
      <c r="H31" s="64"/>
      <c r="I31" s="448" t="s">
        <v>613</v>
      </c>
      <c r="J31" s="449"/>
      <c r="K31" s="449"/>
      <c r="L31" s="449"/>
      <c r="M31" s="449"/>
      <c r="N31" s="662">
        <f>M29/J26</f>
        <v>0.10830817866789282</v>
      </c>
      <c r="O31" s="64"/>
      <c r="P31" s="64"/>
      <c r="Q31" s="166" t="s">
        <v>178</v>
      </c>
      <c r="R31" s="153">
        <f>SUM(R28:R30)</f>
        <v>7961640.0478505325</v>
      </c>
    </row>
    <row r="32" spans="1:18" ht="18" customHeight="1">
      <c r="A32" s="65"/>
      <c r="B32" s="556" t="s">
        <v>173</v>
      </c>
      <c r="C32" s="557">
        <v>1</v>
      </c>
      <c r="D32" s="557" t="s">
        <v>685</v>
      </c>
      <c r="E32" s="174">
        <v>0.01</v>
      </c>
      <c r="F32" s="555">
        <f>E32*$J$26</f>
        <v>1131965.1149333334</v>
      </c>
      <c r="G32" s="151"/>
      <c r="H32" s="64"/>
      <c r="I32" s="448" t="s">
        <v>615</v>
      </c>
      <c r="J32" s="449"/>
      <c r="K32" s="450" t="s">
        <v>616</v>
      </c>
      <c r="L32" s="449"/>
      <c r="M32" s="449"/>
      <c r="N32" s="662">
        <f>M29/C47</f>
        <v>0.12303239354277626</v>
      </c>
      <c r="O32" s="64"/>
      <c r="P32" s="64"/>
      <c r="Q32" s="64"/>
      <c r="R32" s="64"/>
    </row>
    <row r="33" spans="1:18" ht="18" customHeight="1">
      <c r="A33" s="65"/>
      <c r="B33" s="556" t="s">
        <v>686</v>
      </c>
      <c r="C33" s="557">
        <v>1</v>
      </c>
      <c r="D33" s="557" t="s">
        <v>685</v>
      </c>
      <c r="E33" s="174">
        <f>0.5%</f>
        <v>5.0000000000000001E-3</v>
      </c>
      <c r="F33" s="555">
        <f t="shared" ref="F33:F38" si="4">E33*$C$23</f>
        <v>410933.625</v>
      </c>
      <c r="G33" s="75"/>
      <c r="H33" s="169"/>
      <c r="I33" s="451" t="s">
        <v>619</v>
      </c>
      <c r="J33" s="452"/>
      <c r="K33" s="452"/>
      <c r="L33" s="452"/>
      <c r="M33" s="452"/>
      <c r="N33" s="664">
        <f>M29/(C47*E41)</f>
        <v>0.35152112440793226</v>
      </c>
      <c r="O33" s="64"/>
      <c r="P33" s="64"/>
      <c r="Q33" s="64"/>
      <c r="R33" s="64"/>
    </row>
    <row r="34" spans="1:18" ht="18" customHeight="1">
      <c r="A34" s="65"/>
      <c r="B34" s="556" t="s">
        <v>687</v>
      </c>
      <c r="C34" s="557">
        <v>1</v>
      </c>
      <c r="D34" s="557" t="s">
        <v>685</v>
      </c>
      <c r="E34" s="174">
        <f>0.2%</f>
        <v>2E-3</v>
      </c>
      <c r="F34" s="555">
        <f t="shared" si="4"/>
        <v>164373.45000000001</v>
      </c>
      <c r="G34" s="75"/>
      <c r="H34" s="169"/>
      <c r="I34" s="64"/>
      <c r="J34" s="73"/>
      <c r="K34" s="73"/>
      <c r="L34" s="74"/>
      <c r="M34" s="76"/>
      <c r="N34" s="75"/>
      <c r="O34" s="64"/>
      <c r="P34" s="64"/>
      <c r="Q34" s="64"/>
      <c r="R34" s="64"/>
    </row>
    <row r="35" spans="1:18" ht="24.75" customHeight="1">
      <c r="A35" s="65"/>
      <c r="B35" s="556" t="s">
        <v>688</v>
      </c>
      <c r="C35" s="560">
        <v>1</v>
      </c>
      <c r="D35" s="557" t="s">
        <v>146</v>
      </c>
      <c r="E35" s="174">
        <v>0</v>
      </c>
      <c r="F35" s="555">
        <f t="shared" si="4"/>
        <v>0</v>
      </c>
      <c r="G35" s="75"/>
      <c r="H35" s="169"/>
      <c r="I35" s="64"/>
      <c r="J35" s="73"/>
      <c r="K35" s="73"/>
      <c r="L35" s="74"/>
      <c r="M35" s="76"/>
      <c r="N35" s="75"/>
      <c r="O35" s="64"/>
      <c r="P35" s="64"/>
      <c r="Q35" s="64"/>
      <c r="R35" s="64"/>
    </row>
    <row r="36" spans="1:18" ht="18" customHeight="1">
      <c r="A36" s="65"/>
      <c r="B36" s="556" t="s">
        <v>689</v>
      </c>
      <c r="C36" s="560">
        <v>1</v>
      </c>
      <c r="D36" s="557" t="s">
        <v>146</v>
      </c>
      <c r="E36" s="174">
        <v>0</v>
      </c>
      <c r="F36" s="555">
        <f t="shared" si="4"/>
        <v>0</v>
      </c>
      <c r="G36" s="75"/>
      <c r="H36" s="64"/>
      <c r="I36" s="157"/>
      <c r="J36" s="64"/>
      <c r="K36" s="64"/>
      <c r="L36" s="64"/>
      <c r="M36" s="64"/>
      <c r="N36" s="454"/>
      <c r="O36" s="64"/>
      <c r="P36" s="64"/>
      <c r="Q36" s="64"/>
      <c r="R36" s="64"/>
    </row>
    <row r="37" spans="1:18" ht="18" customHeight="1">
      <c r="A37" s="65"/>
      <c r="B37" s="556" t="s">
        <v>690</v>
      </c>
      <c r="C37" s="560">
        <v>1</v>
      </c>
      <c r="D37" s="557" t="s">
        <v>146</v>
      </c>
      <c r="E37" s="174">
        <f>0.1%</f>
        <v>1E-3</v>
      </c>
      <c r="F37" s="555">
        <f t="shared" si="4"/>
        <v>82186.725000000006</v>
      </c>
      <c r="G37" s="75"/>
      <c r="H37" s="64"/>
      <c r="I37" s="561"/>
      <c r="J37" s="64"/>
      <c r="K37" s="64"/>
      <c r="L37" s="157"/>
      <c r="M37" s="157"/>
      <c r="N37" s="454"/>
      <c r="O37" s="64"/>
      <c r="P37" s="64"/>
      <c r="Q37" s="801" t="s">
        <v>200</v>
      </c>
      <c r="R37" s="799"/>
    </row>
    <row r="38" spans="1:18" ht="18" customHeight="1">
      <c r="A38" s="65"/>
      <c r="B38" s="556" t="s">
        <v>691</v>
      </c>
      <c r="C38" s="560">
        <v>1</v>
      </c>
      <c r="D38" s="557" t="s">
        <v>146</v>
      </c>
      <c r="E38" s="174">
        <f>0.3%</f>
        <v>3.0000000000000001E-3</v>
      </c>
      <c r="F38" s="555">
        <f t="shared" si="4"/>
        <v>246560.17500000002</v>
      </c>
      <c r="G38" s="75"/>
      <c r="H38" s="64"/>
      <c r="I38" s="561"/>
      <c r="J38" s="64"/>
      <c r="K38" s="64"/>
      <c r="L38" s="64"/>
      <c r="M38" s="64"/>
      <c r="N38" s="562"/>
      <c r="O38" s="64"/>
      <c r="P38" s="64"/>
      <c r="Q38" s="183" t="s">
        <v>201</v>
      </c>
      <c r="R38" s="184" t="s">
        <v>202</v>
      </c>
    </row>
    <row r="39" spans="1:18" ht="18" customHeight="1">
      <c r="A39" s="65"/>
      <c r="B39" s="680" t="s">
        <v>692</v>
      </c>
      <c r="C39" s="563">
        <v>0.15</v>
      </c>
      <c r="D39" s="557" t="s">
        <v>693</v>
      </c>
      <c r="E39" s="564">
        <v>0.1</v>
      </c>
      <c r="F39" s="555">
        <f>((C10*E39)*C39/12)*SUM(R7:R13)</f>
        <v>11809.152</v>
      </c>
      <c r="G39" s="75"/>
      <c r="H39" s="64"/>
      <c r="I39" s="565"/>
      <c r="J39" s="64"/>
      <c r="K39" s="64"/>
      <c r="L39" s="64"/>
      <c r="M39" s="111"/>
      <c r="N39" s="566"/>
      <c r="O39" s="64"/>
      <c r="P39" s="64"/>
      <c r="Q39" s="185">
        <f t="shared" ref="Q39:Q42" si="5">IF((($J$18+$N$19)/R39-$C$47+$N$24)&gt;0,($J$18/R39-$C$47+$N$24),0)</f>
        <v>29627080.725483019</v>
      </c>
      <c r="R39" s="186">
        <f>N24</f>
        <v>7.1999999999999995E-2</v>
      </c>
    </row>
    <row r="40" spans="1:18" ht="18" customHeight="1">
      <c r="A40" s="65"/>
      <c r="B40" s="680" t="s">
        <v>694</v>
      </c>
      <c r="C40" s="563">
        <v>0.1</v>
      </c>
      <c r="D40" s="557" t="s">
        <v>693</v>
      </c>
      <c r="E40" s="564">
        <v>0.65</v>
      </c>
      <c r="F40" s="555">
        <f>((C23*E40+SUM(F28:F38)*E40)*C40/12)*SUM(R14:R16)</f>
        <v>6029996.4067889871</v>
      </c>
      <c r="G40" s="75"/>
      <c r="H40" s="64"/>
      <c r="I40" s="561"/>
      <c r="J40" s="64"/>
      <c r="K40" s="64"/>
      <c r="L40" s="64"/>
      <c r="N40" s="75"/>
      <c r="O40" s="64"/>
      <c r="P40" s="64"/>
      <c r="Q40" s="185">
        <f t="shared" si="5"/>
        <v>21232502.057084743</v>
      </c>
      <c r="R40" s="188">
        <f t="shared" ref="R40:R42" si="6">R39+0.5%</f>
        <v>7.6999999999999999E-2</v>
      </c>
    </row>
    <row r="41" spans="1:18" ht="18" customHeight="1">
      <c r="A41" s="65"/>
      <c r="B41" s="556" t="s">
        <v>695</v>
      </c>
      <c r="C41" s="563">
        <v>0</v>
      </c>
      <c r="D41" s="557" t="s">
        <v>693</v>
      </c>
      <c r="E41" s="564">
        <f>100%-E40</f>
        <v>0.35</v>
      </c>
      <c r="F41" s="555">
        <f>(((C23*E41+SUM(F28:F38)*E41)*C41/12)*SUM(R14:R16))</f>
        <v>0</v>
      </c>
      <c r="G41" s="75"/>
      <c r="H41" s="64"/>
      <c r="I41" s="64"/>
      <c r="J41" s="64"/>
      <c r="K41" s="64"/>
      <c r="L41" s="64"/>
      <c r="N41" s="75"/>
      <c r="O41" s="64"/>
      <c r="P41" s="64"/>
      <c r="Q41" s="185">
        <f t="shared" si="5"/>
        <v>0</v>
      </c>
      <c r="R41" s="189">
        <f t="shared" si="6"/>
        <v>8.2000000000000003E-2</v>
      </c>
    </row>
    <row r="42" spans="1:18" ht="18" customHeight="1">
      <c r="A42" s="65"/>
      <c r="B42" s="680" t="s">
        <v>696</v>
      </c>
      <c r="C42" s="563">
        <v>0.1</v>
      </c>
      <c r="D42" s="557" t="s">
        <v>693</v>
      </c>
      <c r="E42" s="564">
        <f t="shared" ref="E42:E43" si="7">E40</f>
        <v>0.65</v>
      </c>
      <c r="F42" s="555">
        <f>(((C10*E42)*C42/12)*SUM(R14:R16))</f>
        <v>51172.991999999998</v>
      </c>
      <c r="G42" s="75"/>
      <c r="H42" s="64"/>
      <c r="I42" s="64"/>
      <c r="J42" s="73"/>
      <c r="K42" s="73"/>
      <c r="L42" s="74"/>
      <c r="N42" s="75"/>
      <c r="O42" s="64"/>
      <c r="P42" s="64"/>
      <c r="Q42" s="185">
        <f t="shared" si="5"/>
        <v>0</v>
      </c>
      <c r="R42" s="584">
        <f t="shared" si="6"/>
        <v>8.7000000000000008E-2</v>
      </c>
    </row>
    <row r="43" spans="1:18" ht="18" customHeight="1">
      <c r="A43" s="65"/>
      <c r="B43" s="556" t="s">
        <v>697</v>
      </c>
      <c r="C43" s="563">
        <v>0</v>
      </c>
      <c r="D43" s="557" t="s">
        <v>693</v>
      </c>
      <c r="E43" s="564">
        <f t="shared" si="7"/>
        <v>0.35</v>
      </c>
      <c r="F43" s="555">
        <f>(((C10*E43)*C43/12)*SUM(R14:R16))</f>
        <v>0</v>
      </c>
      <c r="G43" s="75"/>
      <c r="H43" s="64"/>
      <c r="I43" s="64"/>
      <c r="J43" s="73"/>
      <c r="K43" s="73"/>
      <c r="L43" s="74"/>
      <c r="M43" s="111"/>
      <c r="N43" s="75"/>
      <c r="O43" s="64"/>
      <c r="P43" s="64"/>
      <c r="Q43" s="191">
        <f>($J$18+$N$19)/R43-$C$47+$N$24</f>
        <v>3.0994415228802197E-9</v>
      </c>
      <c r="R43" s="192">
        <f>(J18+N19)/($C$47-$N$24)</f>
        <v>8.1788212584044825E-2</v>
      </c>
    </row>
    <row r="44" spans="1:18" ht="18" customHeight="1">
      <c r="A44" s="65"/>
      <c r="B44" s="107" t="s">
        <v>156</v>
      </c>
      <c r="C44" s="803">
        <f>SUM(F28:F43)</f>
        <v>16675429.039850319</v>
      </c>
      <c r="D44" s="798"/>
      <c r="E44" s="798"/>
      <c r="F44" s="799"/>
      <c r="G44" s="75"/>
      <c r="H44" s="64"/>
      <c r="I44" s="64"/>
      <c r="J44" s="73"/>
      <c r="K44" s="73"/>
      <c r="L44" s="74"/>
      <c r="M44" s="76"/>
      <c r="N44" s="75"/>
      <c r="O44" s="64"/>
      <c r="P44" s="64"/>
      <c r="Q44" s="64"/>
      <c r="R44" s="73"/>
    </row>
    <row r="45" spans="1:18" ht="18" customHeight="1">
      <c r="A45" s="65"/>
      <c r="B45" s="567" t="s">
        <v>158</v>
      </c>
      <c r="C45" s="190"/>
      <c r="D45" s="190"/>
      <c r="E45" s="190"/>
      <c r="F45" s="548">
        <f>C44/J17</f>
        <v>8052.8451236751507</v>
      </c>
      <c r="G45" s="75"/>
      <c r="H45" s="64"/>
      <c r="I45" s="64"/>
      <c r="J45" s="73"/>
      <c r="K45" s="73"/>
      <c r="L45" s="74"/>
      <c r="M45" s="76"/>
      <c r="N45" s="75"/>
      <c r="O45" s="64"/>
      <c r="P45" s="64"/>
      <c r="Q45" s="64"/>
      <c r="R45" s="64"/>
    </row>
    <row r="46" spans="1:18" ht="18" customHeight="1">
      <c r="A46" s="65"/>
      <c r="B46" s="64"/>
      <c r="C46" s="73"/>
      <c r="D46" s="74"/>
      <c r="E46" s="76"/>
      <c r="F46" s="75"/>
      <c r="G46" s="75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73"/>
    </row>
    <row r="47" spans="1:18" ht="18" customHeight="1">
      <c r="A47" s="65"/>
      <c r="B47" s="224" t="s">
        <v>244</v>
      </c>
      <c r="C47" s="814">
        <f>SUM(C44,C23,C10)</f>
        <v>99649430.839850321</v>
      </c>
      <c r="D47" s="798"/>
      <c r="E47" s="798"/>
      <c r="F47" s="799"/>
      <c r="G47" s="75"/>
      <c r="H47" s="64"/>
      <c r="I47" s="64"/>
      <c r="J47" s="73"/>
      <c r="K47" s="73"/>
      <c r="L47" s="875"/>
      <c r="M47" s="772"/>
      <c r="N47" s="772"/>
      <c r="O47" s="64"/>
      <c r="P47" s="64"/>
      <c r="Q47" s="801" t="s">
        <v>204</v>
      </c>
      <c r="R47" s="799"/>
    </row>
    <row r="48" spans="1:18" ht="18" customHeight="1">
      <c r="A48" s="65"/>
      <c r="B48" s="64"/>
      <c r="C48" s="73"/>
      <c r="D48" s="74"/>
      <c r="E48" s="76"/>
      <c r="F48" s="75"/>
      <c r="G48" s="75"/>
      <c r="H48" s="64"/>
      <c r="I48" s="64"/>
      <c r="J48" s="73"/>
      <c r="K48" s="73"/>
      <c r="L48" s="74"/>
      <c r="M48" s="76"/>
      <c r="N48" s="75"/>
      <c r="O48" s="64"/>
      <c r="P48" s="64"/>
      <c r="Q48" s="183" t="s">
        <v>201</v>
      </c>
      <c r="R48" s="184" t="s">
        <v>205</v>
      </c>
    </row>
    <row r="49" spans="2:18" ht="18" customHeight="1">
      <c r="B49" s="225" t="s">
        <v>245</v>
      </c>
      <c r="C49" s="815">
        <f>C47/J17</f>
        <v>48122.38601465668</v>
      </c>
      <c r="D49" s="798"/>
      <c r="E49" s="798"/>
      <c r="F49" s="799"/>
      <c r="G49" s="75"/>
      <c r="H49" s="64"/>
      <c r="I49" s="64"/>
      <c r="J49" s="73"/>
      <c r="K49" s="73"/>
      <c r="L49" s="74"/>
      <c r="M49" s="76"/>
      <c r="N49" s="75"/>
      <c r="O49" s="64"/>
      <c r="P49" s="64"/>
      <c r="Q49" s="185">
        <f t="shared" ref="Q49:Q52" si="8">$J$26-$C$44-$C$10-$C$23*(1+R49)</f>
        <v>13547080.653483018</v>
      </c>
      <c r="R49" s="186">
        <v>0</v>
      </c>
    </row>
    <row r="50" spans="2:18" ht="18" customHeight="1">
      <c r="B50" s="64"/>
      <c r="C50" s="73"/>
      <c r="D50" s="74"/>
      <c r="E50" s="76"/>
      <c r="F50" s="75"/>
      <c r="G50" s="75"/>
      <c r="H50" s="64"/>
      <c r="I50" s="64"/>
      <c r="J50" s="73"/>
      <c r="K50" s="73"/>
      <c r="L50" s="74"/>
      <c r="M50" s="76"/>
      <c r="N50" s="75"/>
      <c r="O50" s="64"/>
      <c r="P50" s="64"/>
      <c r="Q50" s="185">
        <f t="shared" si="8"/>
        <v>5328408.1534830183</v>
      </c>
      <c r="R50" s="188">
        <v>0.1</v>
      </c>
    </row>
    <row r="51" spans="2:18" ht="18" customHeight="1">
      <c r="G51" s="75"/>
      <c r="H51" s="64"/>
      <c r="I51" s="64"/>
      <c r="J51" s="73"/>
      <c r="K51" s="73"/>
      <c r="L51" s="74"/>
      <c r="M51" s="76"/>
      <c r="N51" s="75"/>
      <c r="O51" s="64"/>
      <c r="P51" s="64"/>
      <c r="Q51" s="185">
        <f t="shared" si="8"/>
        <v>-6999600.5965169817</v>
      </c>
      <c r="R51" s="189">
        <v>0.25</v>
      </c>
    </row>
    <row r="52" spans="2:18" ht="18" customHeight="1">
      <c r="F52" s="677"/>
      <c r="G52" s="75"/>
      <c r="H52" s="64"/>
      <c r="I52" s="64"/>
      <c r="J52" s="73"/>
      <c r="K52" s="73"/>
      <c r="L52" s="74"/>
      <c r="M52" s="76"/>
      <c r="N52" s="75"/>
      <c r="O52" s="64"/>
      <c r="P52" s="64"/>
      <c r="Q52" s="191">
        <f t="shared" si="8"/>
        <v>-7.1999996900558472E-2</v>
      </c>
      <c r="R52" s="192">
        <f>(J26-C44-C10+N24)/C23-1</f>
        <v>0.16483295478050763</v>
      </c>
    </row>
    <row r="53" spans="2:18" ht="18" customHeight="1">
      <c r="G53" s="75"/>
      <c r="H53" s="64"/>
      <c r="I53" s="64"/>
      <c r="J53" s="73"/>
      <c r="K53" s="73"/>
      <c r="L53" s="74"/>
      <c r="M53" s="76"/>
      <c r="N53" s="75"/>
      <c r="O53" s="64"/>
      <c r="P53" s="64"/>
      <c r="Q53" s="64"/>
      <c r="R53" s="64"/>
    </row>
    <row r="54" spans="2:18" ht="18" customHeight="1">
      <c r="G54" s="75"/>
      <c r="H54" s="64"/>
      <c r="I54" s="64"/>
      <c r="J54" s="73"/>
      <c r="K54" s="73"/>
      <c r="L54" s="74"/>
      <c r="M54" s="76"/>
      <c r="N54" s="75"/>
      <c r="O54" s="64"/>
      <c r="P54" s="64"/>
      <c r="Q54" s="64"/>
      <c r="R54" s="64"/>
    </row>
    <row r="55" spans="2:18" ht="18" customHeight="1">
      <c r="G55" s="75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</row>
    <row r="56" spans="2:18" ht="18" customHeight="1">
      <c r="B56" s="64"/>
      <c r="C56" s="73"/>
      <c r="D56" s="74"/>
      <c r="E56" s="76"/>
      <c r="F56" s="75"/>
      <c r="G56" s="75"/>
      <c r="H56" s="64"/>
      <c r="I56" s="64"/>
      <c r="J56" s="64"/>
      <c r="K56" s="64"/>
      <c r="L56" s="64"/>
      <c r="M56" s="64"/>
      <c r="N56" s="64"/>
      <c r="O56" s="64"/>
      <c r="P56" s="64"/>
      <c r="Q56" s="801" t="s">
        <v>211</v>
      </c>
      <c r="R56" s="799"/>
    </row>
    <row r="57" spans="2:18" ht="18" customHeight="1">
      <c r="B57" s="64"/>
      <c r="C57" s="73"/>
      <c r="D57" s="74"/>
      <c r="E57" s="76"/>
      <c r="F57" s="75"/>
      <c r="G57" s="75"/>
      <c r="H57" s="64"/>
      <c r="I57" s="64"/>
      <c r="J57" s="64"/>
      <c r="K57" s="64"/>
      <c r="L57" s="64"/>
      <c r="M57" s="64"/>
      <c r="N57" s="64"/>
      <c r="O57" s="64"/>
      <c r="P57" s="64"/>
      <c r="Q57" s="183" t="s">
        <v>201</v>
      </c>
      <c r="R57" s="184" t="s">
        <v>212</v>
      </c>
    </row>
    <row r="58" spans="2:18" ht="18" customHeight="1">
      <c r="B58" s="64"/>
      <c r="C58" s="73"/>
      <c r="D58" s="74"/>
      <c r="E58" s="76"/>
      <c r="F58" s="75"/>
      <c r="G58" s="75"/>
      <c r="H58" s="64"/>
      <c r="I58" s="64"/>
      <c r="J58" s="64"/>
      <c r="K58" s="64"/>
      <c r="L58" s="64"/>
      <c r="M58" s="64"/>
      <c r="N58" s="64"/>
      <c r="O58" s="64"/>
      <c r="P58" s="64"/>
      <c r="Q58" s="185">
        <f t="shared" ref="Q58:Q61" si="9">$J$26+-$C$10-$C$23-SUM($F$28:$F$38)-(($C$10*$E$39)*$C$39/12)*(SUM($R$7:$R$13)+R58)-(($C$23*$E$40+SUM($F$28:$F$38)*$E$40)*$C$40/12)*(SUM($R$14:$R$16)+R58)-(($C$10*$E$42)*$C$42/12)*(SUM($R$14:$R$16)+R58)</f>
        <v>13547080.653483024</v>
      </c>
      <c r="R58" s="197">
        <v>0</v>
      </c>
    </row>
    <row r="59" spans="2:18" ht="18" customHeight="1">
      <c r="B59" s="64"/>
      <c r="C59" s="73"/>
      <c r="D59" s="74"/>
      <c r="E59" s="76"/>
      <c r="F59" s="75"/>
      <c r="G59" s="75"/>
      <c r="H59" s="64"/>
      <c r="I59" s="64"/>
      <c r="J59" s="64"/>
      <c r="K59" s="64"/>
      <c r="L59" s="64"/>
      <c r="M59" s="64"/>
      <c r="N59" s="64"/>
      <c r="O59" s="64"/>
      <c r="P59" s="64"/>
      <c r="Q59" s="185">
        <f t="shared" si="9"/>
        <v>10500591.378088528</v>
      </c>
      <c r="R59" s="197">
        <v>6</v>
      </c>
    </row>
    <row r="60" spans="2:18" ht="18" customHeight="1">
      <c r="B60" s="64"/>
      <c r="C60" s="73"/>
      <c r="D60" s="74"/>
      <c r="E60" s="76"/>
      <c r="F60" s="75"/>
      <c r="G60" s="75"/>
      <c r="H60" s="64"/>
      <c r="I60" s="64"/>
      <c r="J60" s="64"/>
      <c r="K60" s="64"/>
      <c r="L60" s="64"/>
      <c r="M60" s="64"/>
      <c r="N60" s="64"/>
      <c r="O60" s="64"/>
      <c r="P60" s="64"/>
      <c r="Q60" s="185">
        <f t="shared" si="9"/>
        <v>7454102.1026940336</v>
      </c>
      <c r="R60" s="197">
        <v>12</v>
      </c>
    </row>
    <row r="61" spans="2:18" ht="18" customHeight="1">
      <c r="B61" s="64"/>
      <c r="C61" s="73"/>
      <c r="D61" s="74"/>
      <c r="E61" s="76"/>
      <c r="F61" s="75"/>
      <c r="G61" s="75"/>
      <c r="H61" s="64"/>
      <c r="I61" s="64"/>
      <c r="J61" s="64"/>
      <c r="K61" s="64"/>
      <c r="L61" s="64"/>
      <c r="M61" s="64"/>
      <c r="N61" s="64"/>
      <c r="O61" s="64"/>
      <c r="P61" s="64"/>
      <c r="Q61" s="191">
        <f t="shared" si="9"/>
        <v>1361123.5519050469</v>
      </c>
      <c r="R61" s="568">
        <v>24</v>
      </c>
    </row>
  </sheetData>
  <mergeCells count="23">
    <mergeCell ref="B26:F26"/>
    <mergeCell ref="Q27:R27"/>
    <mergeCell ref="Q47:R47"/>
    <mergeCell ref="Q56:R56"/>
    <mergeCell ref="J26:N26"/>
    <mergeCell ref="M29:N30"/>
    <mergeCell ref="Q37:R37"/>
    <mergeCell ref="C44:F44"/>
    <mergeCell ref="C47:F47"/>
    <mergeCell ref="L47:N47"/>
    <mergeCell ref="C49:F49"/>
    <mergeCell ref="C10:F10"/>
    <mergeCell ref="B13:F13"/>
    <mergeCell ref="J18:N18"/>
    <mergeCell ref="Q21:R21"/>
    <mergeCell ref="C23:F23"/>
    <mergeCell ref="B1:N1"/>
    <mergeCell ref="B4:F4"/>
    <mergeCell ref="I4:N4"/>
    <mergeCell ref="Q4:R4"/>
    <mergeCell ref="B6:F6"/>
    <mergeCell ref="I6:N6"/>
    <mergeCell ref="Q6:R6"/>
  </mergeCells>
  <conditionalFormatting sqref="I29 M29">
    <cfRule type="cellIs" dxfId="3" priority="1" operator="lessThan">
      <formula>0</formula>
    </cfRule>
  </conditionalFormatting>
  <conditionalFormatting sqref="I31:M33">
    <cfRule type="cellIs" dxfId="2" priority="2" operator="lessThan">
      <formula>0</formula>
    </cfRule>
  </conditionalFormatting>
  <conditionalFormatting sqref="R24:R25">
    <cfRule type="cellIs" dxfId="1" priority="3" operator="lessThan">
      <formula>0</formula>
    </cfRule>
  </conditionalFormatting>
  <conditionalFormatting sqref="R30:R31">
    <cfRule type="cellIs" dxfId="0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H10"/>
  <sheetViews>
    <sheetView workbookViewId="0"/>
  </sheetViews>
  <sheetFormatPr baseColWidth="10" defaultColWidth="12.6640625" defaultRowHeight="15" customHeight="1"/>
  <cols>
    <col min="1" max="1" width="14.6640625" customWidth="1"/>
    <col min="2" max="2" width="23.6640625" customWidth="1"/>
    <col min="3" max="3" width="26.5" customWidth="1"/>
    <col min="4" max="4" width="12" customWidth="1"/>
    <col min="5" max="5" width="10" customWidth="1"/>
    <col min="6" max="7" width="16.33203125" customWidth="1"/>
  </cols>
  <sheetData>
    <row r="1" spans="1:8" ht="16">
      <c r="A1" s="46" t="s">
        <v>124</v>
      </c>
      <c r="B1" s="47" t="str">
        <f>HMG!E2</f>
        <v>Úkol (test)</v>
      </c>
      <c r="C1" s="48" t="s">
        <v>125</v>
      </c>
      <c r="D1" s="49">
        <f ca="1">SUM(G3:G10)</f>
        <v>0</v>
      </c>
      <c r="E1" s="48" t="s">
        <v>126</v>
      </c>
      <c r="F1" s="50"/>
      <c r="G1" s="51">
        <f ca="1">TODAY()</f>
        <v>46149</v>
      </c>
      <c r="H1" s="52" t="str">
        <f ca="1">IFERROR(__xludf.UNSUPPORTED(IMPORTRANGE("", ""))," #N/A")</f>
        <v xml:space="preserve"> #N/A</v>
      </c>
    </row>
    <row r="2" spans="1:8" ht="16">
      <c r="A2" s="53" t="s">
        <v>100</v>
      </c>
      <c r="B2" s="54" t="s">
        <v>127</v>
      </c>
      <c r="C2" s="54" t="s">
        <v>128</v>
      </c>
      <c r="D2" s="54" t="str">
        <f>HMG!E1</f>
        <v>Úkol</v>
      </c>
      <c r="E2" s="54" t="s">
        <v>104</v>
      </c>
      <c r="F2" s="54" t="s">
        <v>129</v>
      </c>
      <c r="G2" s="54" t="s">
        <v>129</v>
      </c>
      <c r="H2" s="45"/>
    </row>
    <row r="3" spans="1:8" ht="16">
      <c r="A3" s="42" t="str">
        <f>HMG!C2</f>
        <v>zapis KS</v>
      </c>
      <c r="B3" s="55">
        <f>HMG!D2</f>
        <v>0.05</v>
      </c>
      <c r="C3" s="56" t="e">
        <f t="shared" ref="C3:C9" ca="1" si="0">IF(B3&gt;0,($H$1*B3),"")</f>
        <v>#VALUE!</v>
      </c>
      <c r="D3" s="57" t="str">
        <f>HMG!E2</f>
        <v>Úkol (test)</v>
      </c>
      <c r="E3" s="57">
        <f>HMG!F2</f>
        <v>0</v>
      </c>
      <c r="F3" s="56" t="str">
        <f t="shared" ref="F3:F10" ca="1" si="1">IFERROR(C3/(E3-$B$1),"")</f>
        <v/>
      </c>
      <c r="G3" s="56" t="b">
        <f ca="1">(IF(D3&lt;$G$1,( IF(E3&lt;$G$1,F3*($G$1-$B$1)))))</f>
        <v>0</v>
      </c>
      <c r="H3" s="58"/>
    </row>
    <row r="4" spans="1:8" ht="16">
      <c r="A4" s="42">
        <f>HMG!C3</f>
        <v>0</v>
      </c>
      <c r="B4" s="55">
        <f>HMG!D3</f>
        <v>0</v>
      </c>
      <c r="C4" s="56" t="str">
        <f t="shared" si="0"/>
        <v/>
      </c>
      <c r="D4" s="57">
        <f>HMG!E3</f>
        <v>0</v>
      </c>
      <c r="E4" s="57">
        <f>HMG!F3</f>
        <v>0</v>
      </c>
      <c r="F4" s="56" t="str">
        <f t="shared" si="1"/>
        <v/>
      </c>
      <c r="G4" s="56" t="str">
        <f t="shared" ref="G4:G10" ca="1" si="2">IFERROR(IF(D4&lt;$G$1,( IF(E4&lt;$G$1,F4*($G$1-$B$1),F4*($G$1-$B$1)))),"")</f>
        <v/>
      </c>
      <c r="H4" s="45"/>
    </row>
    <row r="5" spans="1:8" ht="16">
      <c r="A5" s="42" t="str">
        <f>HMG!C4</f>
        <v>Nabýti SP</v>
      </c>
      <c r="B5" s="55">
        <f>HMG!D4</f>
        <v>0.3</v>
      </c>
      <c r="C5" s="56" t="e">
        <f t="shared" ca="1" si="0"/>
        <v>#VALUE!</v>
      </c>
      <c r="D5" s="57">
        <f>HMG!E4</f>
        <v>0</v>
      </c>
      <c r="E5" s="57">
        <f>HMG!F4</f>
        <v>0</v>
      </c>
      <c r="F5" s="56" t="str">
        <f t="shared" ca="1" si="1"/>
        <v/>
      </c>
      <c r="G5" s="56" t="str">
        <f t="shared" ca="1" si="2"/>
        <v/>
      </c>
      <c r="H5" s="45"/>
    </row>
    <row r="6" spans="1:8" ht="16">
      <c r="A6" s="42" t="str">
        <f>HMG!C5</f>
        <v>zapis KS</v>
      </c>
      <c r="B6" s="55">
        <f>HMG!D5</f>
        <v>0.3</v>
      </c>
      <c r="C6" s="56" t="e">
        <f t="shared" ca="1" si="0"/>
        <v>#VALUE!</v>
      </c>
      <c r="D6" s="57">
        <f>HMG!E5</f>
        <v>0</v>
      </c>
      <c r="E6" s="57">
        <f>HMG!F5</f>
        <v>0</v>
      </c>
      <c r="F6" s="56" t="str">
        <f t="shared" ca="1" si="1"/>
        <v/>
      </c>
      <c r="G6" s="56" t="str">
        <f t="shared" ca="1" si="2"/>
        <v/>
      </c>
      <c r="H6" s="45"/>
    </row>
    <row r="7" spans="1:8" ht="16">
      <c r="A7" s="42" t="str">
        <f>HMG!C6</f>
        <v>Najem</v>
      </c>
      <c r="B7" s="55">
        <f>HMG!D6</f>
        <v>0.35</v>
      </c>
      <c r="C7" s="56" t="e">
        <f t="shared" ca="1" si="0"/>
        <v>#VALUE!</v>
      </c>
      <c r="D7" s="57">
        <f>HMG!E6</f>
        <v>0</v>
      </c>
      <c r="E7" s="57">
        <f>HMG!F6</f>
        <v>0</v>
      </c>
      <c r="F7" s="56" t="str">
        <f t="shared" ca="1" si="1"/>
        <v/>
      </c>
      <c r="G7" s="56" t="str">
        <f t="shared" ca="1" si="2"/>
        <v/>
      </c>
      <c r="H7" s="45"/>
    </row>
    <row r="8" spans="1:8" ht="16">
      <c r="A8" s="59">
        <f>HMG!C7</f>
        <v>0</v>
      </c>
      <c r="B8" s="55">
        <f>HMG!D7</f>
        <v>0</v>
      </c>
      <c r="C8" s="56" t="str">
        <f t="shared" si="0"/>
        <v/>
      </c>
      <c r="D8" s="57">
        <f>HMG!E7</f>
        <v>0</v>
      </c>
      <c r="E8" s="57">
        <f>HMG!F7</f>
        <v>0</v>
      </c>
      <c r="F8" s="56" t="str">
        <f t="shared" si="1"/>
        <v/>
      </c>
      <c r="G8" s="56" t="str">
        <f t="shared" ca="1" si="2"/>
        <v/>
      </c>
      <c r="H8" s="45"/>
    </row>
    <row r="9" spans="1:8" ht="16">
      <c r="A9" s="59">
        <f>HMG!C8</f>
        <v>0</v>
      </c>
      <c r="B9" s="55">
        <f>HMG!D8</f>
        <v>0</v>
      </c>
      <c r="C9" s="56" t="str">
        <f t="shared" si="0"/>
        <v/>
      </c>
      <c r="D9" s="57">
        <f>HMG!E8</f>
        <v>0</v>
      </c>
      <c r="E9" s="57">
        <f>HMG!F8</f>
        <v>0</v>
      </c>
      <c r="F9" s="56" t="str">
        <f t="shared" si="1"/>
        <v/>
      </c>
      <c r="G9" s="56" t="str">
        <f t="shared" ca="1" si="2"/>
        <v/>
      </c>
      <c r="H9" s="45"/>
    </row>
    <row r="10" spans="1:8" ht="15" customHeight="1">
      <c r="A10" s="37">
        <f>HMG!C9</f>
        <v>0</v>
      </c>
      <c r="B10" s="38">
        <f>HMG!D9</f>
        <v>0</v>
      </c>
      <c r="C10" s="60" t="str">
        <f>IF(B10&gt;0,(#REF!*B10),"")</f>
        <v/>
      </c>
      <c r="D10" s="61">
        <f>HMG!F9</f>
        <v>0</v>
      </c>
      <c r="E10" s="40">
        <f>HMG!G9</f>
        <v>0</v>
      </c>
      <c r="F10" s="62" t="str">
        <f t="shared" si="1"/>
        <v/>
      </c>
      <c r="G10" s="62" t="str">
        <f t="shared" ca="1" si="2"/>
        <v/>
      </c>
    </row>
  </sheetData>
  <autoFilter ref="A2:G10" xr:uid="{00000000-0009-0000-0000-000002000000}"/>
  <pageMargins left="0" right="0" top="0" bottom="0" header="0" footer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showGridLines="0" workbookViewId="0"/>
  </sheetViews>
  <sheetFormatPr baseColWidth="10" defaultColWidth="8.83203125" defaultRowHeight="14"/>
  <sheetData/>
  <sheetProtection sheet="1" objects="1" selectLockedCells="1" selectUnlockedCells="1"/>
  <pageMargins left="0" right="0" top="0" bottom="0" header="0" footer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133"/>
  <sheetViews>
    <sheetView topLeftCell="B4" workbookViewId="0">
      <selection activeCell="I29" sqref="I29"/>
    </sheetView>
  </sheetViews>
  <sheetFormatPr baseColWidth="10" defaultColWidth="12.6640625" defaultRowHeight="15" customHeight="1"/>
  <cols>
    <col min="1" max="1" width="4.33203125" customWidth="1"/>
    <col min="2" max="2" width="48.5" customWidth="1"/>
    <col min="3" max="3" width="8" customWidth="1"/>
    <col min="4" max="4" width="14.1640625" customWidth="1"/>
    <col min="5" max="5" width="16.6640625" customWidth="1"/>
    <col min="6" max="6" width="22.6640625" customWidth="1"/>
    <col min="7" max="7" width="9.5" customWidth="1"/>
    <col min="8" max="8" width="4.33203125" customWidth="1"/>
    <col min="9" max="9" width="36.1640625" customWidth="1"/>
    <col min="10" max="10" width="8.6640625" customWidth="1"/>
    <col min="11" max="11" width="14.5" customWidth="1"/>
    <col min="12" max="12" width="10.83203125" customWidth="1"/>
    <col min="13" max="13" width="12.83203125" customWidth="1"/>
    <col min="14" max="14" width="20.1640625" customWidth="1"/>
    <col min="15" max="16" width="4.33203125" customWidth="1"/>
    <col min="17" max="17" width="40.83203125" customWidth="1"/>
    <col min="18" max="18" width="77" customWidth="1"/>
    <col min="19" max="19" width="7" customWidth="1"/>
    <col min="20" max="20" width="40.6640625" customWidth="1"/>
    <col min="21" max="21" width="20.6640625" customWidth="1"/>
    <col min="22" max="28" width="7" customWidth="1"/>
  </cols>
  <sheetData>
    <row r="1" spans="1:18" ht="30" customHeight="1">
      <c r="A1" s="63"/>
      <c r="B1" s="796" t="s">
        <v>130</v>
      </c>
      <c r="C1" s="772"/>
      <c r="D1" s="772"/>
      <c r="E1" s="772"/>
      <c r="F1" s="772"/>
      <c r="G1" s="772"/>
      <c r="H1" s="772"/>
      <c r="I1" s="772"/>
      <c r="J1" s="772"/>
      <c r="K1" s="772"/>
      <c r="L1" s="772"/>
      <c r="M1" s="772"/>
      <c r="N1" s="772"/>
      <c r="O1" s="64"/>
      <c r="P1" s="64"/>
      <c r="Q1" s="64"/>
      <c r="R1" s="64"/>
    </row>
    <row r="2" spans="1:18" ht="18" customHeight="1">
      <c r="A2" s="65"/>
      <c r="B2" s="66"/>
      <c r="C2" s="67"/>
      <c r="D2" s="68"/>
      <c r="E2" s="69"/>
      <c r="F2" s="70"/>
      <c r="G2" s="70"/>
      <c r="H2" s="71"/>
      <c r="I2" s="71"/>
      <c r="J2" s="67"/>
      <c r="K2" s="67"/>
      <c r="L2" s="68"/>
      <c r="M2" s="69"/>
      <c r="N2" s="72"/>
      <c r="O2" s="71"/>
      <c r="P2" s="71"/>
      <c r="Q2" s="71"/>
      <c r="R2" s="71"/>
    </row>
    <row r="3" spans="1:18" ht="18" customHeight="1">
      <c r="A3" s="65"/>
      <c r="B3" s="64"/>
      <c r="C3" s="73"/>
      <c r="D3" s="74"/>
      <c r="G3" s="75"/>
      <c r="H3" s="64"/>
      <c r="I3" s="64"/>
      <c r="J3" s="73"/>
      <c r="K3" s="73"/>
      <c r="L3" s="74"/>
      <c r="M3" s="76"/>
      <c r="N3" s="75"/>
      <c r="O3" s="64"/>
      <c r="P3" s="64"/>
      <c r="Q3" s="64"/>
      <c r="R3" s="64"/>
    </row>
    <row r="4" spans="1:18" ht="30" customHeight="1">
      <c r="A4" s="65"/>
      <c r="B4" s="797" t="s">
        <v>131</v>
      </c>
      <c r="C4" s="798"/>
      <c r="D4" s="798"/>
      <c r="E4" s="798"/>
      <c r="F4" s="799"/>
      <c r="G4" s="77"/>
      <c r="H4" s="64"/>
      <c r="I4" s="800" t="s">
        <v>132</v>
      </c>
      <c r="J4" s="798"/>
      <c r="K4" s="798"/>
      <c r="L4" s="798"/>
      <c r="M4" s="798"/>
      <c r="N4" s="799"/>
      <c r="O4" s="64"/>
      <c r="P4" s="64"/>
      <c r="Q4" s="800" t="s">
        <v>133</v>
      </c>
      <c r="R4" s="799"/>
    </row>
    <row r="5" spans="1:18" ht="18" customHeight="1">
      <c r="A5" s="65"/>
      <c r="B5" s="64"/>
      <c r="C5" s="73"/>
      <c r="D5" s="74"/>
      <c r="E5" s="73"/>
      <c r="F5" s="73"/>
      <c r="G5" s="78"/>
      <c r="H5" s="64"/>
      <c r="I5" s="64"/>
      <c r="J5" s="73"/>
      <c r="K5" s="73"/>
      <c r="L5" s="74"/>
      <c r="M5" s="76"/>
      <c r="N5" s="75"/>
      <c r="O5" s="64"/>
      <c r="P5" s="64"/>
    </row>
    <row r="6" spans="1:18" ht="18" customHeight="1">
      <c r="A6" s="65" t="s">
        <v>134</v>
      </c>
      <c r="B6" s="801" t="s">
        <v>135</v>
      </c>
      <c r="C6" s="798"/>
      <c r="D6" s="798"/>
      <c r="E6" s="798"/>
      <c r="F6" s="799"/>
      <c r="G6" s="79"/>
      <c r="H6" s="64"/>
      <c r="I6" s="802" t="s">
        <v>132</v>
      </c>
      <c r="J6" s="798"/>
      <c r="K6" s="798"/>
      <c r="L6" s="798"/>
      <c r="M6" s="798"/>
      <c r="N6" s="799"/>
      <c r="O6" s="64"/>
      <c r="P6" s="64"/>
      <c r="Q6" s="802" t="s">
        <v>136</v>
      </c>
      <c r="R6" s="799"/>
    </row>
    <row r="7" spans="1:18" ht="18" customHeight="1">
      <c r="A7" s="65"/>
      <c r="B7" s="80"/>
      <c r="C7" s="81" t="s">
        <v>137</v>
      </c>
      <c r="D7" s="81" t="s">
        <v>138</v>
      </c>
      <c r="E7" s="82" t="s">
        <v>139</v>
      </c>
      <c r="F7" s="83"/>
      <c r="G7" s="78"/>
      <c r="H7" s="64"/>
      <c r="I7" s="84"/>
      <c r="J7" s="82" t="s">
        <v>140</v>
      </c>
      <c r="K7" s="82" t="s">
        <v>141</v>
      </c>
      <c r="L7" s="82" t="s">
        <v>142</v>
      </c>
      <c r="M7" s="82" t="s">
        <v>143</v>
      </c>
      <c r="N7" s="85" t="s">
        <v>144</v>
      </c>
      <c r="O7" s="64"/>
      <c r="P7" s="64"/>
      <c r="Q7" s="86" t="s">
        <v>145</v>
      </c>
      <c r="R7" s="87">
        <v>0</v>
      </c>
    </row>
    <row r="8" spans="1:18" ht="18" customHeight="1">
      <c r="A8" s="65"/>
      <c r="B8" s="571" t="str">
        <f>'Cash-flow PLAN'!C18</f>
        <v>Nákup nemovitosti/pozemků</v>
      </c>
      <c r="C8" s="88" t="s">
        <v>146</v>
      </c>
      <c r="D8" s="88">
        <v>0</v>
      </c>
      <c r="E8" s="89"/>
      <c r="F8" s="90">
        <f>-'Cash-flow'!H17-'Cash-flow'!J17</f>
        <v>11429045</v>
      </c>
      <c r="G8" s="78" t="s">
        <v>147</v>
      </c>
      <c r="H8" s="64"/>
      <c r="I8" s="91" t="str">
        <f>Rentroll!D2</f>
        <v>Penny</v>
      </c>
      <c r="J8" s="92">
        <f>Rentroll!F2</f>
        <v>1168.5999999999999</v>
      </c>
      <c r="K8" s="92" t="str">
        <f>Rentroll!E2</f>
        <v>full fit-out</v>
      </c>
      <c r="L8" s="93">
        <f>Rentroll!I2</f>
        <v>372.59086085914765</v>
      </c>
      <c r="M8" s="93">
        <f>Rentroll!L2</f>
        <v>39</v>
      </c>
      <c r="N8" s="94">
        <f>(Rentroll!J2+Rentroll!M2)</f>
        <v>480985.07999999996</v>
      </c>
      <c r="O8" s="64"/>
      <c r="P8" s="64"/>
      <c r="Q8" s="95" t="s">
        <v>148</v>
      </c>
      <c r="R8" s="96">
        <v>7</v>
      </c>
    </row>
    <row r="9" spans="1:18" ht="18" customHeight="1">
      <c r="A9" s="65"/>
      <c r="B9" s="571" t="s">
        <v>149</v>
      </c>
      <c r="C9" s="88"/>
      <c r="D9" s="88"/>
      <c r="E9" s="97"/>
      <c r="F9" s="98">
        <f>5000000+3333333</f>
        <v>8333333</v>
      </c>
      <c r="G9" s="78" t="s">
        <v>147</v>
      </c>
      <c r="H9" s="64"/>
      <c r="I9" s="91" t="str">
        <f>Rentroll!D3</f>
        <v>Alza</v>
      </c>
      <c r="J9" s="92">
        <f>Rentroll!F3</f>
        <v>1</v>
      </c>
      <c r="K9" s="92" t="str">
        <f>Rentroll!E3</f>
        <v>pozemek</v>
      </c>
      <c r="L9" s="93">
        <f>Rentroll!I3</f>
        <v>3500</v>
      </c>
      <c r="M9" s="93">
        <f>Rentroll!L3</f>
        <v>500</v>
      </c>
      <c r="N9" s="94">
        <f>Rentroll!J3+Rentroll!M3</f>
        <v>4000</v>
      </c>
      <c r="O9" s="64"/>
      <c r="P9" s="64"/>
      <c r="Q9" s="91" t="s">
        <v>150</v>
      </c>
      <c r="R9" s="99">
        <v>2</v>
      </c>
    </row>
    <row r="10" spans="1:18" ht="18" customHeight="1">
      <c r="A10" s="65"/>
      <c r="B10" s="571" t="str">
        <f>'Cash-flow PLAN'!$C$19</f>
        <v>ZPF</v>
      </c>
      <c r="C10" s="88" t="s">
        <v>146</v>
      </c>
      <c r="D10" s="88"/>
      <c r="E10" s="97">
        <v>0</v>
      </c>
      <c r="F10" s="98">
        <f>D10*E10</f>
        <v>0</v>
      </c>
      <c r="G10" s="100"/>
      <c r="H10" s="64"/>
      <c r="I10" s="91" t="str">
        <f>Rentroll!D4</f>
        <v>Myčka</v>
      </c>
      <c r="J10" s="92">
        <f>Rentroll!F4</f>
        <v>1</v>
      </c>
      <c r="K10" s="92" t="str">
        <f>Rentroll!E4</f>
        <v>pozemek</v>
      </c>
      <c r="L10" s="93">
        <f>Rentroll!I4</f>
        <v>19999.259999999998</v>
      </c>
      <c r="M10" s="93">
        <f>Rentroll!L4</f>
        <v>0</v>
      </c>
      <c r="N10" s="94">
        <f>Rentroll!J4+Rentroll!M4</f>
        <v>21499.26</v>
      </c>
      <c r="O10" s="64"/>
      <c r="P10" s="64"/>
      <c r="Q10" s="101" t="s">
        <v>151</v>
      </c>
      <c r="R10" s="102">
        <v>3</v>
      </c>
    </row>
    <row r="11" spans="1:18" ht="18" customHeight="1">
      <c r="A11" s="65"/>
      <c r="B11" s="571" t="str">
        <f>'Cash-flow PLAN'!$C$20</f>
        <v>Předakviziční analýza</v>
      </c>
      <c r="C11" s="88" t="s">
        <v>146</v>
      </c>
      <c r="D11" s="88"/>
      <c r="E11" s="97"/>
      <c r="F11" s="98"/>
      <c r="G11" s="100"/>
      <c r="H11" s="64"/>
      <c r="I11" s="91" t="str">
        <f>Rentroll!D5</f>
        <v>Pepco</v>
      </c>
      <c r="J11" s="92">
        <f>Rentroll!F5</f>
        <v>484.96</v>
      </c>
      <c r="K11" s="92" t="str">
        <f>Rentroll!E5</f>
        <v>full fit-out</v>
      </c>
      <c r="L11" s="93">
        <f>Rentroll!I5</f>
        <v>300.47549999999995</v>
      </c>
      <c r="M11" s="93">
        <f>Rentroll!L5</f>
        <v>43.793999999999997</v>
      </c>
      <c r="N11" s="94">
        <f>Rentroll!J5+Rentroll!M5</f>
        <v>166956.93672</v>
      </c>
      <c r="O11" s="64"/>
      <c r="P11" s="64"/>
      <c r="Q11" s="91" t="s">
        <v>152</v>
      </c>
      <c r="R11" s="99">
        <v>1</v>
      </c>
    </row>
    <row r="12" spans="1:18" ht="18" customHeight="1">
      <c r="B12" s="571" t="str">
        <f>'Cash-flow PLAN'!$C$21</f>
        <v>Provize za nákup (INT)</v>
      </c>
      <c r="C12" s="88" t="s">
        <v>153</v>
      </c>
      <c r="D12" s="103">
        <v>0</v>
      </c>
      <c r="E12" s="97">
        <v>0</v>
      </c>
      <c r="F12" s="98">
        <f>F8*D12</f>
        <v>0</v>
      </c>
      <c r="G12" s="100"/>
      <c r="H12" s="64"/>
      <c r="I12" s="91" t="str">
        <f>Rentroll!D6</f>
        <v>Teta</v>
      </c>
      <c r="J12" s="92">
        <f>Rentroll!F6</f>
        <v>224.22</v>
      </c>
      <c r="K12" s="92" t="str">
        <f>Rentroll!E6</f>
        <v>full fit-out</v>
      </c>
      <c r="L12" s="93">
        <f>Rentroll!I6</f>
        <v>323.589</v>
      </c>
      <c r="M12" s="93">
        <f>Rentroll!L6</f>
        <v>36.494999999999997</v>
      </c>
      <c r="N12" s="94">
        <f>Rentroll!J6+Rentroll!M6</f>
        <v>80738.034479999988</v>
      </c>
      <c r="O12" s="64"/>
      <c r="P12" s="64"/>
      <c r="Q12" s="91" t="s">
        <v>154</v>
      </c>
      <c r="R12" s="99">
        <v>6</v>
      </c>
    </row>
    <row r="13" spans="1:18" ht="18" customHeight="1">
      <c r="B13" s="571" t="str">
        <f>'Cash-flow PLAN'!$C$22</f>
        <v>Provize za nákup (EXT)</v>
      </c>
      <c r="C13" s="88" t="s">
        <v>153</v>
      </c>
      <c r="D13" s="103">
        <v>0</v>
      </c>
      <c r="E13" s="97">
        <v>0</v>
      </c>
      <c r="F13" s="98">
        <f>F8*D13</f>
        <v>0</v>
      </c>
      <c r="G13" s="104"/>
      <c r="H13" s="64"/>
      <c r="I13" s="91" t="str">
        <f>Rentroll!D7</f>
        <v>Traficon</v>
      </c>
      <c r="J13" s="92">
        <f>Rentroll!F7</f>
        <v>49.31</v>
      </c>
      <c r="K13" s="92" t="str">
        <f>Rentroll!E7</f>
        <v>full fit-out</v>
      </c>
      <c r="L13" s="93">
        <f>Rentroll!I7</f>
        <v>1094.8499999999999</v>
      </c>
      <c r="M13" s="93">
        <f>Rentroll!L7</f>
        <v>36.494999999999997</v>
      </c>
      <c r="N13" s="94">
        <f>Rentroll!J7+Rentroll!M7</f>
        <v>55786.621949999993</v>
      </c>
      <c r="O13" s="64"/>
      <c r="P13" s="64"/>
      <c r="Q13" s="105" t="s">
        <v>155</v>
      </c>
      <c r="R13" s="106">
        <v>0</v>
      </c>
    </row>
    <row r="14" spans="1:18" ht="18" customHeight="1">
      <c r="B14" s="107" t="s">
        <v>156</v>
      </c>
      <c r="C14" s="803">
        <f>SUM(F8:F13)</f>
        <v>19762378</v>
      </c>
      <c r="D14" s="798"/>
      <c r="E14" s="798"/>
      <c r="F14" s="799"/>
      <c r="G14" s="108"/>
      <c r="H14" s="64"/>
      <c r="I14" s="91" t="str">
        <f>Rentroll!D8</f>
        <v>Salon Beauty</v>
      </c>
      <c r="J14" s="92">
        <f>Rentroll!F8</f>
        <v>140.66</v>
      </c>
      <c r="K14" s="92" t="str">
        <f>Rentroll!E8</f>
        <v>full fit-out</v>
      </c>
      <c r="L14" s="93">
        <f>Rentroll!I8</f>
        <v>316.28999999999996</v>
      </c>
      <c r="M14" s="93">
        <f>Rentroll!L8</f>
        <v>36.494999999999997</v>
      </c>
      <c r="N14" s="94">
        <f>Rentroll!J8+Rentroll!M8</f>
        <v>49622.738099999988</v>
      </c>
      <c r="O14" s="64"/>
      <c r="P14" s="64"/>
      <c r="Q14" s="109" t="s">
        <v>157</v>
      </c>
      <c r="R14" s="110">
        <f>SUM(R7:R13)</f>
        <v>19</v>
      </c>
    </row>
    <row r="15" spans="1:18" ht="18" customHeight="1">
      <c r="A15" s="65"/>
      <c r="B15" s="111" t="s">
        <v>158</v>
      </c>
      <c r="C15" s="26"/>
      <c r="D15" s="26"/>
      <c r="E15" s="26"/>
      <c r="F15" s="112">
        <f>C14/$J$17</f>
        <v>9543.584691536882</v>
      </c>
      <c r="G15" s="108"/>
      <c r="H15" s="64"/>
      <c r="I15" s="91" t="str">
        <f>Rentroll!D9</f>
        <v>Z-Box</v>
      </c>
      <c r="J15" s="92">
        <f>Rentroll!F9</f>
        <v>1</v>
      </c>
      <c r="K15" s="92" t="str">
        <f>Rentroll!E9</f>
        <v>pozemek</v>
      </c>
      <c r="L15" s="93">
        <f>Rentroll!I9</f>
        <v>0</v>
      </c>
      <c r="M15" s="93">
        <f>Rentroll!L9</f>
        <v>0</v>
      </c>
      <c r="N15" s="94">
        <f>Rentroll!J9+Rentroll!M9</f>
        <v>4166.666666666667</v>
      </c>
      <c r="O15" s="64"/>
      <c r="P15" s="64"/>
      <c r="Q15" s="64"/>
      <c r="R15" s="64"/>
    </row>
    <row r="16" spans="1:18" ht="18" customHeight="1">
      <c r="A16" s="65" t="s">
        <v>159</v>
      </c>
      <c r="B16" s="26"/>
      <c r="C16" s="26"/>
      <c r="D16" s="74"/>
      <c r="E16" s="76"/>
      <c r="F16" s="75"/>
      <c r="G16" s="108"/>
      <c r="H16" s="64"/>
      <c r="I16" s="91">
        <f>Rentroll!D10</f>
        <v>0</v>
      </c>
      <c r="J16" s="92">
        <f>Rentroll!F10</f>
        <v>0</v>
      </c>
      <c r="K16" s="92">
        <f>Rentroll!E10</f>
        <v>0</v>
      </c>
      <c r="L16" s="93">
        <f>Rentroll!I10</f>
        <v>0</v>
      </c>
      <c r="M16" s="93">
        <f>Rentroll!L10</f>
        <v>0</v>
      </c>
      <c r="N16" s="94">
        <f>Rentroll!J10+Rentroll!M10</f>
        <v>0</v>
      </c>
      <c r="O16" s="64"/>
      <c r="P16" s="64"/>
      <c r="Q16" s="64"/>
      <c r="R16" s="64"/>
    </row>
    <row r="17" spans="1:18" ht="18" customHeight="1">
      <c r="A17" s="65"/>
      <c r="B17" s="804" t="str">
        <f>'Cash-flow PLAN'!C23</f>
        <v>B. Architecture &amp; Engineering</v>
      </c>
      <c r="C17" s="798"/>
      <c r="D17" s="798"/>
      <c r="E17" s="798"/>
      <c r="F17" s="799"/>
      <c r="G17" s="108"/>
      <c r="H17" s="64"/>
      <c r="I17" s="113" t="s">
        <v>160</v>
      </c>
      <c r="J17" s="114">
        <f>SUM(J8:J16)</f>
        <v>2070.75</v>
      </c>
      <c r="K17" s="115" t="s">
        <v>161</v>
      </c>
      <c r="L17" s="116">
        <f t="shared" ref="L17:M17" si="0">SUM(L8:L16)</f>
        <v>25907.055360859147</v>
      </c>
      <c r="M17" s="117">
        <f t="shared" si="0"/>
        <v>692.279</v>
      </c>
      <c r="N17" s="118">
        <f>SUM(N8:N16)</f>
        <v>863755.33791666653</v>
      </c>
      <c r="O17" s="64"/>
      <c r="P17" s="64"/>
      <c r="Q17" s="805" t="s">
        <v>162</v>
      </c>
      <c r="R17" s="799"/>
    </row>
    <row r="18" spans="1:18" ht="18" customHeight="1">
      <c r="A18" s="65"/>
      <c r="B18" s="119"/>
      <c r="C18" s="120" t="s">
        <v>137</v>
      </c>
      <c r="D18" s="81" t="s">
        <v>163</v>
      </c>
      <c r="E18" s="120" t="s">
        <v>164</v>
      </c>
      <c r="F18" s="121"/>
      <c r="G18" s="108"/>
      <c r="H18" s="64"/>
      <c r="I18" s="122" t="s">
        <v>165</v>
      </c>
      <c r="J18" s="806">
        <f>SUM(N8:N16)*12</f>
        <v>10365064.054999998</v>
      </c>
      <c r="K18" s="798"/>
      <c r="L18" s="798"/>
      <c r="M18" s="798"/>
      <c r="N18" s="799"/>
      <c r="O18" s="64"/>
      <c r="P18" s="64"/>
      <c r="Q18" s="123" t="s">
        <v>166</v>
      </c>
      <c r="R18" s="124">
        <v>0.09</v>
      </c>
    </row>
    <row r="19" spans="1:18" ht="18" customHeight="1">
      <c r="B19" s="125" t="str">
        <f>'Cash-flow PLAN'!C24</f>
        <v>Projekt , architekt</v>
      </c>
      <c r="C19" s="126">
        <v>1</v>
      </c>
      <c r="D19" s="127" t="s">
        <v>153</v>
      </c>
      <c r="E19" s="128"/>
      <c r="F19" s="129">
        <f>SUM(F20:F21)</f>
        <v>1325000</v>
      </c>
      <c r="G19" s="130"/>
      <c r="H19" s="64"/>
      <c r="I19" s="123" t="s">
        <v>167</v>
      </c>
      <c r="J19" s="131"/>
      <c r="K19" s="131"/>
      <c r="L19" s="131"/>
      <c r="M19" s="132">
        <v>39</v>
      </c>
      <c r="N19" s="133">
        <f>J17*M19*12</f>
        <v>969111</v>
      </c>
      <c r="O19" s="64"/>
      <c r="P19" s="64"/>
      <c r="Q19" s="134" t="s">
        <v>168</v>
      </c>
      <c r="R19" s="135">
        <f>J18</f>
        <v>10365064.054999998</v>
      </c>
    </row>
    <row r="20" spans="1:18" ht="18" customHeight="1">
      <c r="A20" s="65"/>
      <c r="B20" s="572" t="s">
        <v>169</v>
      </c>
      <c r="C20" s="126">
        <v>1</v>
      </c>
      <c r="D20" s="127" t="s">
        <v>153</v>
      </c>
      <c r="E20" s="573"/>
      <c r="F20" s="574">
        <v>675000</v>
      </c>
      <c r="G20" s="78" t="s">
        <v>147</v>
      </c>
      <c r="H20" s="64"/>
      <c r="I20" s="136" t="s">
        <v>170</v>
      </c>
      <c r="J20" s="137"/>
      <c r="K20" s="137"/>
      <c r="L20" s="138"/>
      <c r="M20" s="139"/>
      <c r="N20" s="140">
        <v>7.0000000000000007E-2</v>
      </c>
      <c r="O20" s="64"/>
      <c r="P20" s="64"/>
      <c r="Q20" s="134" t="s">
        <v>171</v>
      </c>
      <c r="R20" s="135">
        <f>C23+C43+C51+C72</f>
        <v>88905950.732231408</v>
      </c>
    </row>
    <row r="21" spans="1:18" ht="18" customHeight="1">
      <c r="A21" s="65"/>
      <c r="B21" s="572" t="s">
        <v>172</v>
      </c>
      <c r="C21" s="126">
        <v>1</v>
      </c>
      <c r="D21" s="127" t="s">
        <v>153</v>
      </c>
      <c r="E21" s="575"/>
      <c r="F21" s="574">
        <v>650000</v>
      </c>
      <c r="G21" s="130" t="s">
        <v>147</v>
      </c>
      <c r="H21" s="64"/>
      <c r="I21" s="141" t="s">
        <v>173</v>
      </c>
      <c r="J21" s="142"/>
      <c r="K21" s="142"/>
      <c r="L21" s="143"/>
      <c r="M21" s="144">
        <v>5.0000000000000001E-3</v>
      </c>
      <c r="N21" s="576">
        <f>-J24*M21</f>
        <v>-671139.50392857124</v>
      </c>
      <c r="O21" s="64"/>
      <c r="P21" s="64"/>
      <c r="Q21" s="134" t="s">
        <v>174</v>
      </c>
      <c r="R21" s="145">
        <f>R19/R18</f>
        <v>115167378.38888887</v>
      </c>
    </row>
    <row r="22" spans="1:18" ht="18" customHeight="1">
      <c r="B22" s="146" t="str">
        <f>'Cash-flow PLAN'!C25</f>
        <v>Engineering</v>
      </c>
      <c r="C22" s="527">
        <v>1</v>
      </c>
      <c r="D22" s="577" t="s">
        <v>153</v>
      </c>
      <c r="E22" s="575"/>
      <c r="F22" s="578">
        <v>85950</v>
      </c>
      <c r="G22" s="130" t="s">
        <v>147</v>
      </c>
      <c r="H22" s="64"/>
      <c r="I22" s="148" t="s">
        <v>175</v>
      </c>
      <c r="J22" s="807">
        <f>0</f>
        <v>0</v>
      </c>
      <c r="K22" s="798"/>
      <c r="L22" s="798"/>
      <c r="M22" s="798"/>
      <c r="N22" s="799"/>
      <c r="O22" s="64"/>
      <c r="P22" s="64"/>
      <c r="Q22" s="149" t="s">
        <v>176</v>
      </c>
      <c r="R22" s="150">
        <f>R21-R20</f>
        <v>26261427.656657457</v>
      </c>
    </row>
    <row r="23" spans="1:18" ht="18" customHeight="1">
      <c r="B23" s="107" t="s">
        <v>156</v>
      </c>
      <c r="C23" s="803">
        <f>F19+F22</f>
        <v>1410950</v>
      </c>
      <c r="D23" s="798"/>
      <c r="E23" s="798"/>
      <c r="F23" s="799"/>
      <c r="G23" s="151"/>
      <c r="H23" s="64"/>
      <c r="I23" s="154" t="s">
        <v>177</v>
      </c>
      <c r="J23" s="808">
        <f>IF( J22&gt;0,1000000,0)</f>
        <v>0</v>
      </c>
      <c r="K23" s="773"/>
      <c r="L23" s="773"/>
      <c r="M23" s="773"/>
      <c r="N23" s="774"/>
      <c r="O23" s="152"/>
      <c r="P23" s="64"/>
      <c r="Q23" s="579" t="s">
        <v>178</v>
      </c>
      <c r="R23" s="153">
        <f>R21-R20-C103</f>
        <v>25105317.566657458</v>
      </c>
    </row>
    <row r="24" spans="1:18" ht="18" customHeight="1">
      <c r="A24" s="65"/>
      <c r="B24" s="111" t="s">
        <v>158</v>
      </c>
      <c r="C24" s="26"/>
      <c r="D24" s="26"/>
      <c r="E24" s="26"/>
      <c r="F24" s="112">
        <f>C23/$J$17</f>
        <v>681.37148376192204</v>
      </c>
      <c r="G24" s="151"/>
      <c r="H24" s="64"/>
      <c r="I24" s="154" t="s">
        <v>179</v>
      </c>
      <c r="J24" s="808">
        <f>(J18-N19)/N20</f>
        <v>134227900.78571424</v>
      </c>
      <c r="K24" s="773"/>
      <c r="L24" s="773"/>
      <c r="M24" s="773"/>
      <c r="N24" s="774"/>
      <c r="O24" s="64"/>
      <c r="P24" s="64"/>
      <c r="Q24" s="64"/>
      <c r="R24" s="64"/>
    </row>
    <row r="25" spans="1:18" ht="18" customHeight="1">
      <c r="G25" s="151"/>
      <c r="H25" s="64"/>
      <c r="I25" s="154" t="s">
        <v>180</v>
      </c>
      <c r="J25" s="806">
        <f>J24+J23</f>
        <v>134227900.78571424</v>
      </c>
      <c r="K25" s="798"/>
      <c r="L25" s="798"/>
      <c r="M25" s="798"/>
      <c r="N25" s="799"/>
      <c r="O25" s="64"/>
      <c r="P25" s="64"/>
      <c r="Q25" s="64"/>
      <c r="R25" s="64"/>
    </row>
    <row r="26" spans="1:18" ht="18" customHeight="1">
      <c r="A26" s="65" t="s">
        <v>181</v>
      </c>
      <c r="G26" s="151"/>
      <c r="H26" s="64"/>
      <c r="I26" s="64"/>
      <c r="J26" s="73"/>
      <c r="K26" s="73"/>
      <c r="L26" s="74"/>
      <c r="M26" s="76"/>
      <c r="N26" s="75"/>
      <c r="O26" s="64"/>
      <c r="P26" s="64"/>
      <c r="Q26" s="64"/>
      <c r="R26" s="64"/>
    </row>
    <row r="27" spans="1:18" ht="18" customHeight="1">
      <c r="B27" s="804" t="str">
        <f>'Cash-flow PLAN'!C26</f>
        <v>C. Constructions costs</v>
      </c>
      <c r="C27" s="798"/>
      <c r="D27" s="798"/>
      <c r="E27" s="798"/>
      <c r="F27" s="799"/>
      <c r="G27" s="151"/>
      <c r="H27" s="64"/>
      <c r="I27" s="64"/>
      <c r="J27" s="155"/>
      <c r="K27" s="73"/>
      <c r="L27" s="74"/>
      <c r="M27" s="76"/>
      <c r="N27" s="727"/>
      <c r="O27" s="64"/>
      <c r="P27" s="64"/>
      <c r="Q27" s="802" t="s">
        <v>182</v>
      </c>
      <c r="R27" s="799"/>
    </row>
    <row r="28" spans="1:18" ht="16">
      <c r="B28" s="119"/>
      <c r="C28" s="120" t="s">
        <v>137</v>
      </c>
      <c r="D28" s="81" t="s">
        <v>163</v>
      </c>
      <c r="E28" s="120" t="s">
        <v>164</v>
      </c>
      <c r="F28" s="121"/>
      <c r="G28" s="151"/>
      <c r="H28" s="64"/>
      <c r="I28" s="156"/>
      <c r="J28" s="157"/>
      <c r="K28" s="157"/>
      <c r="L28" s="157"/>
      <c r="M28" s="157"/>
      <c r="N28" s="157"/>
      <c r="O28" s="64"/>
      <c r="P28" s="64"/>
      <c r="Q28" s="158" t="s">
        <v>183</v>
      </c>
      <c r="R28" s="159">
        <v>0.2</v>
      </c>
    </row>
    <row r="29" spans="1:18" ht="18" customHeight="1">
      <c r="A29" s="65"/>
      <c r="B29" s="160" t="str">
        <f>'Cash-flow PLAN'!C27</f>
        <v>Náklady na realizace stavby</v>
      </c>
      <c r="C29" s="126">
        <v>1</v>
      </c>
      <c r="D29" s="127" t="s">
        <v>138</v>
      </c>
      <c r="E29" s="89"/>
      <c r="F29" s="90">
        <v>58593172</v>
      </c>
      <c r="G29" s="147" t="s">
        <v>147</v>
      </c>
      <c r="H29" s="64"/>
      <c r="I29" s="157"/>
      <c r="J29" s="157"/>
      <c r="K29" s="157"/>
      <c r="L29" s="156"/>
      <c r="M29" s="157"/>
      <c r="N29" s="157"/>
      <c r="O29" s="64"/>
      <c r="P29" s="64"/>
      <c r="Q29" s="158" t="s">
        <v>184</v>
      </c>
      <c r="R29" s="161">
        <f>J18/N20*R28</f>
        <v>29614468.728571422</v>
      </c>
    </row>
    <row r="30" spans="1:18" ht="27" customHeight="1">
      <c r="A30" s="65"/>
      <c r="B30" s="162" t="s">
        <v>185</v>
      </c>
      <c r="C30" s="126"/>
      <c r="D30" s="127"/>
      <c r="E30" s="89"/>
      <c r="F30" s="90">
        <v>1500000</v>
      </c>
      <c r="G30" s="147" t="s">
        <v>147</v>
      </c>
      <c r="H30" s="64"/>
      <c r="O30" s="64"/>
      <c r="P30" s="64"/>
      <c r="Q30" s="123" t="s">
        <v>171</v>
      </c>
      <c r="R30" s="133">
        <f>C23+C43+C51+C72</f>
        <v>88905950.732231408</v>
      </c>
    </row>
    <row r="31" spans="1:18" ht="27" customHeight="1">
      <c r="A31" s="65"/>
      <c r="B31" s="162" t="s">
        <v>186</v>
      </c>
      <c r="C31" s="126">
        <v>1</v>
      </c>
      <c r="D31" s="127" t="s">
        <v>138</v>
      </c>
      <c r="E31" s="89">
        <v>26000</v>
      </c>
      <c r="F31" s="90">
        <f>E31*SUM(J11:J14)</f>
        <v>23377900</v>
      </c>
      <c r="G31" s="147" t="s">
        <v>187</v>
      </c>
      <c r="H31" s="64"/>
      <c r="I31" s="157"/>
      <c r="J31" s="157"/>
      <c r="K31" s="157"/>
      <c r="L31" s="157"/>
      <c r="M31" s="157"/>
      <c r="N31" s="157"/>
      <c r="O31" s="64"/>
      <c r="P31" s="64"/>
      <c r="Q31" s="163" t="s">
        <v>188</v>
      </c>
      <c r="R31" s="145" t="e">
        <f>J25+N21+#REF!+#REF!</f>
        <v>#REF!</v>
      </c>
    </row>
    <row r="32" spans="1:18" ht="19" customHeight="1">
      <c r="A32" s="65"/>
      <c r="B32" s="164" t="s">
        <v>189</v>
      </c>
      <c r="C32" s="126">
        <v>1</v>
      </c>
      <c r="D32" s="127" t="s">
        <v>138</v>
      </c>
      <c r="E32" s="89"/>
      <c r="F32" s="90"/>
      <c r="G32" s="151"/>
      <c r="H32" s="64"/>
      <c r="I32" s="157"/>
      <c r="J32" s="157"/>
      <c r="K32" s="157"/>
      <c r="L32" s="157"/>
      <c r="M32" s="157"/>
      <c r="N32" s="157"/>
      <c r="O32" s="64"/>
      <c r="P32" s="64"/>
      <c r="Q32" s="165" t="s">
        <v>176</v>
      </c>
      <c r="R32" s="150" t="e">
        <f>R31-R30-R29</f>
        <v>#REF!</v>
      </c>
    </row>
    <row r="33" spans="1:18" ht="18" customHeight="1">
      <c r="A33" s="65"/>
      <c r="B33" s="164" t="s">
        <v>190</v>
      </c>
      <c r="C33" s="126">
        <v>1</v>
      </c>
      <c r="D33" s="127" t="s">
        <v>138</v>
      </c>
      <c r="E33" s="89"/>
      <c r="F33" s="90"/>
      <c r="G33" s="151"/>
      <c r="H33" s="64"/>
      <c r="I33" s="156"/>
      <c r="J33" s="157"/>
      <c r="K33" s="157"/>
      <c r="L33" s="157"/>
      <c r="M33" s="157"/>
      <c r="N33" s="157"/>
      <c r="O33" s="64"/>
      <c r="P33" s="64"/>
      <c r="Q33" s="166" t="s">
        <v>178</v>
      </c>
      <c r="R33" s="153" t="e">
        <f>R32-C103</f>
        <v>#REF!</v>
      </c>
    </row>
    <row r="34" spans="1:18" ht="18" customHeight="1">
      <c r="A34" s="65"/>
      <c r="B34" s="164" t="s">
        <v>191</v>
      </c>
      <c r="C34" s="126">
        <v>1</v>
      </c>
      <c r="D34" s="127" t="s">
        <v>146</v>
      </c>
      <c r="E34" s="89"/>
      <c r="F34" s="90">
        <v>0</v>
      </c>
      <c r="G34" s="75" t="s">
        <v>147</v>
      </c>
      <c r="H34" s="64"/>
      <c r="I34" s="157"/>
      <c r="J34" s="157"/>
      <c r="K34" s="157"/>
      <c r="L34" s="157"/>
      <c r="M34" s="157"/>
      <c r="N34" s="157"/>
      <c r="O34" s="64"/>
      <c r="P34" s="64"/>
    </row>
    <row r="35" spans="1:18" ht="18" customHeight="1">
      <c r="B35" s="125" t="str">
        <f>'Cash-flow PLAN'!C28</f>
        <v>Bourací práce</v>
      </c>
      <c r="C35" s="126">
        <v>1</v>
      </c>
      <c r="D35" s="127" t="s">
        <v>146</v>
      </c>
      <c r="E35" s="89"/>
      <c r="F35" s="90">
        <f>E35</f>
        <v>0</v>
      </c>
      <c r="G35" s="151"/>
      <c r="H35" s="64"/>
      <c r="I35" s="156"/>
      <c r="J35" s="157"/>
      <c r="K35" s="157"/>
      <c r="L35" s="157"/>
      <c r="M35" s="157"/>
      <c r="N35" s="157"/>
      <c r="O35" s="64"/>
      <c r="P35" s="64"/>
      <c r="Q35" s="802" t="s">
        <v>192</v>
      </c>
      <c r="R35" s="799"/>
    </row>
    <row r="36" spans="1:18" ht="18" customHeight="1">
      <c r="B36" s="125" t="s">
        <v>193</v>
      </c>
      <c r="C36" s="126">
        <v>1</v>
      </c>
      <c r="D36" s="167" t="s">
        <v>146</v>
      </c>
      <c r="E36" s="89"/>
      <c r="F36" s="168">
        <f>-50000</f>
        <v>-50000</v>
      </c>
      <c r="G36" s="75" t="s">
        <v>147</v>
      </c>
      <c r="H36" s="169"/>
      <c r="I36" s="64"/>
      <c r="J36" s="157"/>
      <c r="K36" s="157"/>
      <c r="L36" s="157"/>
      <c r="M36" s="157"/>
      <c r="N36" s="157"/>
      <c r="O36" s="64"/>
      <c r="P36" s="64"/>
      <c r="Q36" s="170" t="str">
        <f>B8</f>
        <v>Nákup nemovitosti/pozemků</v>
      </c>
      <c r="R36" s="171">
        <f>C14</f>
        <v>19762378</v>
      </c>
    </row>
    <row r="37" spans="1:18" ht="18" customHeight="1">
      <c r="A37" s="65"/>
      <c r="B37" s="125" t="str">
        <f>'Cash-flow PLAN'!C30</f>
        <v>Náklady na inženýrské sítě</v>
      </c>
      <c r="C37" s="126">
        <v>1</v>
      </c>
      <c r="D37" s="127" t="s">
        <v>138</v>
      </c>
      <c r="E37" s="89">
        <v>170</v>
      </c>
      <c r="F37" s="90">
        <v>0</v>
      </c>
      <c r="G37" s="75" t="s">
        <v>147</v>
      </c>
      <c r="H37" s="169"/>
      <c r="I37" s="64"/>
      <c r="J37" s="157"/>
      <c r="K37" s="157"/>
      <c r="L37" s="157"/>
      <c r="M37" s="157"/>
      <c r="N37" s="157"/>
      <c r="O37" s="64"/>
      <c r="P37" s="64"/>
      <c r="Q37" s="158" t="s">
        <v>194</v>
      </c>
      <c r="R37" s="172">
        <v>0.25</v>
      </c>
    </row>
    <row r="38" spans="1:18" ht="24.75" customHeight="1">
      <c r="A38" s="65"/>
      <c r="B38" s="125" t="str">
        <f>'Cash-flow PLAN'!C31</f>
        <v>Operativní náklady spojené s realizaci stavby</v>
      </c>
      <c r="C38" s="126">
        <v>1</v>
      </c>
      <c r="D38" s="173" t="s">
        <v>153</v>
      </c>
      <c r="E38" s="174"/>
      <c r="F38" s="90">
        <v>0</v>
      </c>
      <c r="G38" s="75" t="s">
        <v>147</v>
      </c>
      <c r="H38" s="169"/>
      <c r="I38" s="157"/>
      <c r="J38" s="157"/>
      <c r="K38" s="157"/>
      <c r="L38" s="157"/>
      <c r="M38" s="157"/>
      <c r="N38" s="157"/>
      <c r="O38" s="64"/>
      <c r="P38" s="64"/>
      <c r="Q38" s="123" t="s">
        <v>195</v>
      </c>
      <c r="R38" s="175" t="e">
        <f>#REF!*R37</f>
        <v>#REF!</v>
      </c>
    </row>
    <row r="39" spans="1:18" ht="18" customHeight="1">
      <c r="A39" s="65"/>
      <c r="B39" s="125" t="s">
        <v>196</v>
      </c>
      <c r="C39" s="527">
        <v>1</v>
      </c>
      <c r="D39" s="580" t="s">
        <v>153</v>
      </c>
      <c r="E39" s="581"/>
      <c r="F39" s="522">
        <f>-SUM('Cash-flow 04.02.2025'!I32)</f>
        <v>1081909</v>
      </c>
      <c r="G39" s="75" t="s">
        <v>147</v>
      </c>
      <c r="H39" s="64"/>
      <c r="I39" s="156"/>
      <c r="J39" s="157"/>
      <c r="K39" s="157"/>
      <c r="L39" s="157"/>
      <c r="M39" s="157"/>
      <c r="N39" s="157"/>
      <c r="O39" s="64"/>
      <c r="P39" s="64"/>
      <c r="Q39" s="176" t="str">
        <f>B17</f>
        <v>B. Architecture &amp; Engineering</v>
      </c>
      <c r="R39" s="150">
        <f>C23</f>
        <v>1410950</v>
      </c>
    </row>
    <row r="40" spans="1:18" ht="18" customHeight="1">
      <c r="B40" s="146" t="s">
        <v>197</v>
      </c>
      <c r="C40" s="527">
        <v>1</v>
      </c>
      <c r="D40" s="580" t="s">
        <v>153</v>
      </c>
      <c r="E40" s="581"/>
      <c r="F40" s="522">
        <f>102000+261000+150000+1081909+305500+50000-F39</f>
        <v>868500</v>
      </c>
      <c r="G40" s="75" t="s">
        <v>187</v>
      </c>
      <c r="H40" s="64"/>
      <c r="I40" s="64"/>
      <c r="J40" s="157"/>
      <c r="K40" s="157"/>
      <c r="L40" s="157"/>
      <c r="M40" s="157"/>
      <c r="N40" s="157"/>
      <c r="O40" s="64"/>
      <c r="P40" s="64"/>
      <c r="Q40" s="166" t="s">
        <v>192</v>
      </c>
      <c r="R40" s="153" t="e">
        <f>R36+R38+R39</f>
        <v>#REF!</v>
      </c>
    </row>
    <row r="41" spans="1:18" ht="18" customHeight="1">
      <c r="A41" s="65"/>
      <c r="B41" s="146" t="str">
        <f>'Cash-flow PLAN'!C33</f>
        <v>Rezerva</v>
      </c>
      <c r="C41" s="527">
        <v>1</v>
      </c>
      <c r="D41" s="580" t="s">
        <v>153</v>
      </c>
      <c r="E41" s="581">
        <v>0.1</v>
      </c>
      <c r="F41" s="522">
        <f>SUM(F31,F37:F38)*E41</f>
        <v>2337790</v>
      </c>
      <c r="G41" s="75" t="s">
        <v>187</v>
      </c>
      <c r="H41" s="64"/>
      <c r="I41" s="157"/>
      <c r="J41" s="157"/>
      <c r="K41" s="157"/>
      <c r="L41" s="157"/>
      <c r="M41" s="157"/>
      <c r="N41" s="157"/>
      <c r="O41" s="64"/>
      <c r="P41" s="64"/>
      <c r="Q41" s="64"/>
      <c r="R41" s="64"/>
    </row>
    <row r="42" spans="1:18" ht="18" customHeight="1">
      <c r="A42" s="65"/>
      <c r="B42" s="177" t="s">
        <v>198</v>
      </c>
      <c r="C42" s="178">
        <v>1</v>
      </c>
      <c r="D42" s="179" t="s">
        <v>153</v>
      </c>
      <c r="E42" s="180"/>
      <c r="F42" s="181">
        <f>-9100000</f>
        <v>-9100000</v>
      </c>
      <c r="G42" s="75" t="s">
        <v>147</v>
      </c>
      <c r="H42" s="64"/>
      <c r="I42" s="182"/>
      <c r="J42" s="157"/>
      <c r="K42" s="157"/>
      <c r="L42" s="157"/>
      <c r="M42" s="157"/>
      <c r="N42" s="157"/>
      <c r="O42" s="64"/>
      <c r="P42" s="64"/>
      <c r="Q42" s="64"/>
      <c r="R42" s="64"/>
    </row>
    <row r="43" spans="1:18" ht="18" customHeight="1">
      <c r="B43" s="582" t="s">
        <v>156</v>
      </c>
      <c r="C43" s="809">
        <f>SUM(F29:F42)</f>
        <v>78609271</v>
      </c>
      <c r="D43" s="773"/>
      <c r="E43" s="773"/>
      <c r="F43" s="774"/>
      <c r="G43" s="75"/>
      <c r="H43" s="64"/>
      <c r="I43" s="156"/>
      <c r="J43" s="157"/>
      <c r="K43" s="157"/>
      <c r="L43" s="157"/>
      <c r="M43" s="157"/>
      <c r="N43" s="157"/>
      <c r="O43" s="64"/>
      <c r="P43" s="64"/>
      <c r="Q43" s="64"/>
      <c r="R43" s="64"/>
    </row>
    <row r="44" spans="1:18" ht="18" customHeight="1">
      <c r="A44" s="65" t="s">
        <v>199</v>
      </c>
      <c r="B44" s="111" t="s">
        <v>158</v>
      </c>
      <c r="C44" s="26"/>
      <c r="D44" s="26"/>
      <c r="E44" s="26"/>
      <c r="F44" s="112">
        <f>C43/$J$17</f>
        <v>37961.738983460098</v>
      </c>
      <c r="G44" s="75"/>
      <c r="H44" s="64"/>
      <c r="I44" s="64"/>
      <c r="J44" s="157"/>
      <c r="K44" s="157"/>
      <c r="L44" s="157"/>
      <c r="M44" s="157"/>
      <c r="N44" s="157"/>
      <c r="O44" s="64"/>
      <c r="P44" s="64"/>
      <c r="Q44" s="64"/>
      <c r="R44" s="64"/>
    </row>
    <row r="45" spans="1:18" ht="18" customHeight="1">
      <c r="A45" s="65"/>
      <c r="G45" s="75"/>
      <c r="H45" s="64"/>
      <c r="I45" s="64"/>
      <c r="J45" s="157"/>
      <c r="K45" s="157"/>
      <c r="L45" s="157"/>
      <c r="M45" s="157"/>
      <c r="N45" s="157"/>
      <c r="O45" s="64"/>
      <c r="P45" s="64"/>
      <c r="Q45" s="64"/>
      <c r="R45" s="64"/>
    </row>
    <row r="46" spans="1:18" ht="18" customHeight="1">
      <c r="A46" s="65"/>
      <c r="G46" s="75"/>
      <c r="H46" s="64"/>
      <c r="I46" s="157"/>
      <c r="J46" s="157"/>
      <c r="K46" s="157"/>
      <c r="L46" s="157"/>
      <c r="M46" s="157"/>
      <c r="N46" s="157"/>
      <c r="O46" s="64"/>
      <c r="P46" s="64"/>
      <c r="Q46" s="64"/>
      <c r="R46" s="64"/>
    </row>
    <row r="47" spans="1:18" ht="18" customHeight="1">
      <c r="A47" s="65"/>
      <c r="B47" s="804" t="str">
        <f>'Cash-flow PLAN'!C34</f>
        <v>D. Tenant improvements</v>
      </c>
      <c r="C47" s="798"/>
      <c r="D47" s="798"/>
      <c r="E47" s="798"/>
      <c r="F47" s="799"/>
      <c r="G47" s="75"/>
      <c r="H47" s="64"/>
      <c r="I47" s="64"/>
      <c r="J47" s="157"/>
      <c r="K47" s="157"/>
      <c r="L47" s="157"/>
      <c r="M47" s="157"/>
      <c r="N47" s="157"/>
      <c r="O47" s="64"/>
      <c r="P47" s="64"/>
      <c r="Q47" s="801" t="s">
        <v>200</v>
      </c>
      <c r="R47" s="799"/>
    </row>
    <row r="48" spans="1:18" ht="18" customHeight="1">
      <c r="B48" s="119"/>
      <c r="C48" s="120" t="s">
        <v>137</v>
      </c>
      <c r="D48" s="81" t="s">
        <v>163</v>
      </c>
      <c r="E48" s="120" t="s">
        <v>164</v>
      </c>
      <c r="F48" s="121"/>
      <c r="G48" s="75"/>
      <c r="H48" s="64"/>
      <c r="I48" s="157"/>
      <c r="J48" s="157"/>
      <c r="K48" s="157"/>
      <c r="L48" s="157"/>
      <c r="M48" s="157"/>
      <c r="N48" s="157"/>
      <c r="O48" s="64"/>
      <c r="P48" s="64"/>
      <c r="Q48" s="183" t="s">
        <v>201</v>
      </c>
      <c r="R48" s="184" t="s">
        <v>202</v>
      </c>
    </row>
    <row r="49" spans="1:18" ht="18" customHeight="1">
      <c r="A49" s="65"/>
      <c r="B49" s="125" t="str">
        <f>'Cash-flow PLAN'!C35</f>
        <v>Tenant improvement</v>
      </c>
      <c r="C49" s="126">
        <v>1</v>
      </c>
      <c r="D49" s="127" t="s">
        <v>138</v>
      </c>
      <c r="E49" s="89">
        <v>11000</v>
      </c>
      <c r="F49" s="90">
        <f>28000000-F31</f>
        <v>4622100</v>
      </c>
      <c r="G49" s="75" t="s">
        <v>187</v>
      </c>
      <c r="H49" s="64"/>
      <c r="I49" s="157"/>
      <c r="J49" s="157"/>
      <c r="K49" s="157"/>
      <c r="L49" s="157"/>
      <c r="M49" s="157"/>
      <c r="N49" s="157"/>
      <c r="O49" s="64"/>
      <c r="P49" s="64"/>
      <c r="Q49" s="185" t="e">
        <f>IF(($J$18/R49-$C$131+$J$23+#REF!+#REF!+$N$21)&gt;0,($J$18/R49-$C$131+$J$23+#REF!+#REF!+$N$21),0)</f>
        <v>#REF!</v>
      </c>
      <c r="R49" s="186">
        <f>N20</f>
        <v>7.0000000000000007E-2</v>
      </c>
    </row>
    <row r="50" spans="1:18" ht="18" customHeight="1">
      <c r="A50" s="65"/>
      <c r="B50" s="125" t="str">
        <f>'Cash-flow PLAN'!C36</f>
        <v>Tenant contribution</v>
      </c>
      <c r="C50" s="527">
        <v>1</v>
      </c>
      <c r="D50" s="577" t="s">
        <v>146</v>
      </c>
      <c r="E50" s="583">
        <v>0</v>
      </c>
      <c r="F50" s="522">
        <f>F49*E50</f>
        <v>0</v>
      </c>
      <c r="G50" s="75"/>
      <c r="H50" s="64"/>
      <c r="I50" s="187"/>
      <c r="J50" s="157"/>
      <c r="K50" s="157"/>
      <c r="L50" s="157"/>
      <c r="M50" s="157"/>
      <c r="N50" s="157"/>
      <c r="O50" s="64"/>
      <c r="P50" s="64"/>
      <c r="Q50" s="185" t="e">
        <f>IF(($J$18/R50-$C$131+$J$23+#REF!+#REF!+$N$21)&gt;0,($J$18/R50-$C$131+$J$23+#REF!+#REF!+$N$21),0)</f>
        <v>#REF!</v>
      </c>
      <c r="R50" s="188">
        <f t="shared" ref="R50:R52" si="1">R49+0.5%</f>
        <v>7.5000000000000011E-2</v>
      </c>
    </row>
    <row r="51" spans="1:18" ht="18" customHeight="1">
      <c r="A51" s="65"/>
      <c r="B51" s="107" t="s">
        <v>156</v>
      </c>
      <c r="C51" s="803">
        <f>SUM(F49:F50)</f>
        <v>4622100</v>
      </c>
      <c r="D51" s="798"/>
      <c r="E51" s="798"/>
      <c r="F51" s="799"/>
      <c r="G51" s="75"/>
      <c r="H51" s="64"/>
      <c r="I51" s="157"/>
      <c r="J51" s="157"/>
      <c r="K51" s="64"/>
      <c r="L51" s="64"/>
      <c r="M51" s="64"/>
      <c r="N51" s="64"/>
      <c r="O51" s="64"/>
      <c r="P51" s="64"/>
      <c r="Q51" s="185" t="e">
        <f>IF(($J$18/R51-$C$131+$J$23+#REF!+#REF!+$N$21)&gt;0,($J$18/R51-$C$131+$J$23+#REF!+#REF!+$N$21),0)</f>
        <v>#REF!</v>
      </c>
      <c r="R51" s="189">
        <f t="shared" si="1"/>
        <v>8.0000000000000016E-2</v>
      </c>
    </row>
    <row r="52" spans="1:18" ht="18" customHeight="1">
      <c r="A52" s="65" t="s">
        <v>203</v>
      </c>
      <c r="B52" s="111" t="s">
        <v>158</v>
      </c>
      <c r="C52" s="190"/>
      <c r="D52" s="190"/>
      <c r="E52" s="190"/>
      <c r="F52" s="112">
        <f>C51/$J$17</f>
        <v>2232.0898225280694</v>
      </c>
      <c r="G52" s="75"/>
      <c r="H52" s="64"/>
      <c r="I52" s="157"/>
      <c r="J52" s="157"/>
      <c r="K52" s="64"/>
      <c r="L52" s="64"/>
      <c r="M52" s="64"/>
      <c r="N52" s="64"/>
      <c r="O52" s="64"/>
      <c r="P52" s="64"/>
      <c r="Q52" s="185" t="e">
        <f>IF(($J$18/R52-$C$131+$J$23+#REF!+#REF!+$N$21)&gt;0,($J$18/R52-$C$131+$J$23+#REF!+#REF!+$N$21),0)</f>
        <v>#REF!</v>
      </c>
      <c r="R52" s="584">
        <f t="shared" si="1"/>
        <v>8.500000000000002E-2</v>
      </c>
    </row>
    <row r="53" spans="1:18" ht="18" customHeight="1">
      <c r="A53" s="65"/>
      <c r="B53" s="64"/>
      <c r="C53" s="73"/>
      <c r="D53" s="74"/>
      <c r="E53" s="76"/>
      <c r="F53" s="75"/>
      <c r="G53" s="75"/>
      <c r="H53" s="64"/>
      <c r="I53" s="64"/>
      <c r="J53" s="64"/>
      <c r="K53" s="64"/>
      <c r="L53" s="64"/>
      <c r="M53" s="64"/>
      <c r="N53" s="64"/>
      <c r="O53" s="64"/>
      <c r="P53" s="64"/>
      <c r="Q53" s="191" t="e">
        <f>$J$18/R53-$C$131+#REF!+$N$21+$J$23</f>
        <v>#REF!</v>
      </c>
      <c r="R53" s="192" t="e">
        <f>J18/($C$131-#REF!-$N$21-#REF!-$J$23)</f>
        <v>#REF!</v>
      </c>
    </row>
    <row r="54" spans="1:18" ht="18" customHeight="1">
      <c r="A54" s="65"/>
      <c r="B54" s="64"/>
      <c r="C54" s="73"/>
      <c r="D54" s="74"/>
      <c r="E54" s="76"/>
      <c r="F54" s="75"/>
      <c r="G54" s="75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73"/>
    </row>
    <row r="55" spans="1:18" ht="18" customHeight="1">
      <c r="B55" s="804" t="str">
        <f>'Cash-flow PLAN'!C37</f>
        <v>E. Soft costs</v>
      </c>
      <c r="C55" s="798"/>
      <c r="D55" s="798"/>
      <c r="E55" s="798"/>
      <c r="F55" s="799"/>
      <c r="G55" s="75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</row>
    <row r="56" spans="1:18" ht="18" customHeight="1">
      <c r="B56" s="119"/>
      <c r="C56" s="120" t="s">
        <v>137</v>
      </c>
      <c r="D56" s="81" t="s">
        <v>163</v>
      </c>
      <c r="E56" s="120" t="s">
        <v>164</v>
      </c>
      <c r="F56" s="121"/>
      <c r="G56" s="75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73"/>
    </row>
    <row r="57" spans="1:18" ht="18" customHeight="1">
      <c r="A57" s="65"/>
      <c r="B57" s="125" t="str">
        <f>'Cash-flow PLAN'!C38</f>
        <v>Project management (Interní)</v>
      </c>
      <c r="C57" s="126">
        <v>1</v>
      </c>
      <c r="D57" s="127" t="s">
        <v>153</v>
      </c>
      <c r="E57" s="174">
        <f>F57/C43</f>
        <v>8.0143218730523522E-3</v>
      </c>
      <c r="F57" s="193">
        <v>630000</v>
      </c>
      <c r="G57" s="75" t="s">
        <v>147</v>
      </c>
      <c r="H57" s="64"/>
      <c r="I57" s="64"/>
      <c r="J57" s="64"/>
      <c r="K57" s="64"/>
      <c r="L57" s="64"/>
      <c r="M57" s="64"/>
      <c r="N57" s="64"/>
      <c r="O57" s="64"/>
      <c r="P57" s="64"/>
      <c r="Q57" s="801" t="s">
        <v>204</v>
      </c>
      <c r="R57" s="799"/>
    </row>
    <row r="58" spans="1:18" ht="18" customHeight="1">
      <c r="A58" s="65"/>
      <c r="B58" s="125" t="str">
        <f>'Cash-flow PLAN'!C39</f>
        <v>Project management (Externí)</v>
      </c>
      <c r="C58" s="126">
        <v>1</v>
      </c>
      <c r="D58" s="127" t="s">
        <v>153</v>
      </c>
      <c r="E58" s="174">
        <f>F58/C43</f>
        <v>1.4788332027656127E-2</v>
      </c>
      <c r="F58" s="129">
        <f>SUM(F59:F61)</f>
        <v>1162500</v>
      </c>
      <c r="G58" s="75" t="s">
        <v>147</v>
      </c>
      <c r="H58" s="64"/>
      <c r="I58" s="64"/>
      <c r="J58" s="64"/>
      <c r="K58" s="64"/>
      <c r="L58" s="64"/>
      <c r="M58" s="64"/>
      <c r="N58" s="64"/>
      <c r="O58" s="64"/>
      <c r="P58" s="64"/>
      <c r="Q58" s="183" t="s">
        <v>201</v>
      </c>
      <c r="R58" s="184" t="s">
        <v>205</v>
      </c>
    </row>
    <row r="59" spans="1:18" ht="18" customHeight="1">
      <c r="A59" s="65"/>
      <c r="B59" s="194" t="s">
        <v>206</v>
      </c>
      <c r="C59" s="126">
        <v>1</v>
      </c>
      <c r="D59" s="127" t="s">
        <v>153</v>
      </c>
      <c r="E59" s="174">
        <v>0</v>
      </c>
      <c r="F59" s="811">
        <f>930000+232500</f>
        <v>1162500</v>
      </c>
      <c r="G59" s="75"/>
      <c r="H59" s="64"/>
      <c r="I59" s="64"/>
      <c r="J59" s="64"/>
      <c r="K59" s="64"/>
      <c r="L59" s="64"/>
      <c r="M59" s="64"/>
      <c r="N59" s="64"/>
      <c r="O59" s="64"/>
      <c r="P59" s="64"/>
      <c r="Q59" s="185" t="e">
        <f>$J$25-$C$14-$C$23-$C$43*(1+R59)-$C$51-$C$72-$C$103+$N$21+#REF!+#REF!</f>
        <v>#REF!</v>
      </c>
      <c r="R59" s="186">
        <v>0</v>
      </c>
    </row>
    <row r="60" spans="1:18" ht="18" customHeight="1">
      <c r="B60" s="194" t="s">
        <v>207</v>
      </c>
      <c r="C60" s="126">
        <v>1</v>
      </c>
      <c r="D60" s="127" t="s">
        <v>153</v>
      </c>
      <c r="E60" s="174">
        <v>0</v>
      </c>
      <c r="F60" s="812"/>
      <c r="G60" s="75"/>
      <c r="H60" s="64"/>
      <c r="I60" s="64"/>
      <c r="J60" s="64"/>
      <c r="K60" s="64"/>
      <c r="L60" s="64"/>
      <c r="M60" s="64"/>
      <c r="N60" s="64"/>
      <c r="O60" s="64"/>
      <c r="P60" s="64"/>
      <c r="Q60" s="185" t="e">
        <f>$J$25-$C$14-$C$23-$C$43*(1+R60)-$C$51-$C$72-$C$103+$N$21+#REF!+#REF!</f>
        <v>#REF!</v>
      </c>
      <c r="R60" s="188">
        <v>0.1</v>
      </c>
    </row>
    <row r="61" spans="1:18" ht="18" customHeight="1">
      <c r="A61" s="65"/>
      <c r="B61" s="194" t="s">
        <v>208</v>
      </c>
      <c r="C61" s="126">
        <v>1</v>
      </c>
      <c r="D61" s="127" t="s">
        <v>153</v>
      </c>
      <c r="E61" s="174">
        <v>0</v>
      </c>
      <c r="F61" s="813"/>
      <c r="G61" s="75"/>
      <c r="H61" s="64"/>
      <c r="I61" s="64"/>
      <c r="J61" s="64"/>
      <c r="K61" s="64"/>
      <c r="L61" s="64"/>
      <c r="M61" s="64"/>
      <c r="N61" s="64"/>
      <c r="O61" s="64"/>
      <c r="P61" s="64"/>
      <c r="Q61" s="185" t="e">
        <f>$J$25-$C$14-$C$23-$C$43*(1+R61)-$C$51-$C$72-$C$103+$N$21+#REF!+#REF!</f>
        <v>#REF!</v>
      </c>
      <c r="R61" s="189">
        <v>0.25</v>
      </c>
    </row>
    <row r="62" spans="1:18" ht="18" customHeight="1">
      <c r="A62" s="65"/>
      <c r="B62" s="125" t="str">
        <f>'Cash-flow PLAN'!C40</f>
        <v>Cost manager</v>
      </c>
      <c r="C62" s="126">
        <v>1</v>
      </c>
      <c r="D62" s="127" t="s">
        <v>153</v>
      </c>
      <c r="E62" s="174">
        <f>F62/C43</f>
        <v>1.0850628547363071E-2</v>
      </c>
      <c r="F62" s="129">
        <f>SUM(F63:F65)</f>
        <v>852960</v>
      </c>
      <c r="G62" s="75" t="s">
        <v>147</v>
      </c>
      <c r="H62" s="64"/>
      <c r="I62" s="64"/>
      <c r="J62" s="64"/>
      <c r="K62" s="64"/>
      <c r="L62" s="64"/>
      <c r="M62" s="64"/>
      <c r="N62" s="64"/>
      <c r="O62" s="64"/>
      <c r="P62" s="64"/>
      <c r="Q62" s="191" t="e">
        <f>$J$25-$C$14-$C$23-$C$43*(1+R62)-$C$51-$C$72-$C$103+$N$21+#REF!+#REF!</f>
        <v>#REF!</v>
      </c>
      <c r="R62" s="195" t="e">
        <f>($J$25-$C$14-$C$23-$C$51-$C$72-$C$103+$N$21+#REF!+#REF!)/$C$43-1</f>
        <v>#REF!</v>
      </c>
    </row>
    <row r="63" spans="1:18" ht="18" customHeight="1">
      <c r="A63" s="65"/>
      <c r="B63" s="194" t="str">
        <f>Params!F3</f>
        <v>cost management VŘ GP</v>
      </c>
      <c r="C63" s="126">
        <v>1</v>
      </c>
      <c r="D63" s="127" t="s">
        <v>153</v>
      </c>
      <c r="E63" s="174">
        <v>0</v>
      </c>
      <c r="F63" s="196"/>
      <c r="G63" s="75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</row>
    <row r="64" spans="1:18" ht="18" customHeight="1">
      <c r="A64" s="65"/>
      <c r="B64" s="194" t="s">
        <v>209</v>
      </c>
      <c r="C64" s="126">
        <v>1</v>
      </c>
      <c r="D64" s="127" t="s">
        <v>153</v>
      </c>
      <c r="E64" s="174">
        <v>0</v>
      </c>
      <c r="F64" s="196">
        <v>690960</v>
      </c>
      <c r="G64" s="75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</row>
    <row r="65" spans="1:18" ht="18" customHeight="1">
      <c r="A65" s="65"/>
      <c r="B65" s="194" t="str">
        <f>Params!H3</f>
        <v>realizace cost management controling/měsíc</v>
      </c>
      <c r="C65" s="126">
        <v>1</v>
      </c>
      <c r="D65" s="127" t="s">
        <v>153</v>
      </c>
      <c r="E65" s="174"/>
      <c r="F65" s="196">
        <f>IF(J17&lt;Params!B4,Params!H4*R12,
    IF(AND(J17&gt;=Params!B4, J17&lt;Params!B5),Params!H5*R12,
        IF(AND(J17&gt;=Params!B5, J17&lt;Params!B6),Params!H6*R12,
            IF(J17&gt;=Params!B6,Params!H7*R12, "False")
        )
    )
)</f>
        <v>162000</v>
      </c>
      <c r="G65" s="75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</row>
    <row r="66" spans="1:18" ht="18" customHeight="1">
      <c r="A66" s="65" t="s">
        <v>210</v>
      </c>
      <c r="B66" s="125" t="str">
        <f>'Cash-flow PLAN'!C41</f>
        <v>Koordinátor BOZP</v>
      </c>
      <c r="C66" s="126">
        <v>1</v>
      </c>
      <c r="D66" s="127" t="s">
        <v>153</v>
      </c>
      <c r="E66" s="174">
        <f>F66/C43</f>
        <v>1.6883504745896956E-3</v>
      </c>
      <c r="F66" s="129">
        <f>IF(J17&lt;Params!B4, Params!I4*(R12),
    IF(AND(J17&gt;=Params!B4, J17&lt;Params!B5),Params!I5*(R12+1),
        IF(AND(J17&gt;=Params!B5, J17&lt;Params!B6),Params!I6*(R12+1),
            IF(J17&gt;=Params!B6,Params!I7*(R12+1), "False")
        )
    )
)</f>
        <v>132720</v>
      </c>
      <c r="G66" s="75" t="s">
        <v>147</v>
      </c>
      <c r="H66" s="64"/>
      <c r="I66" s="64"/>
      <c r="J66" s="64"/>
      <c r="K66" s="64"/>
      <c r="L66" s="64"/>
      <c r="M66" s="64"/>
      <c r="N66" s="64"/>
      <c r="O66" s="64"/>
      <c r="P66" s="64"/>
      <c r="Q66" s="801" t="s">
        <v>211</v>
      </c>
      <c r="R66" s="799"/>
    </row>
    <row r="67" spans="1:18" ht="18" customHeight="1">
      <c r="A67" s="65"/>
      <c r="B67" s="125" t="str">
        <f>'Cash-flow PLAN'!C42</f>
        <v>Administrativní náklady</v>
      </c>
      <c r="C67" s="126">
        <v>1</v>
      </c>
      <c r="D67" s="127" t="s">
        <v>153</v>
      </c>
      <c r="E67" s="174">
        <f>F67/C43</f>
        <v>2.8861125885720307E-3</v>
      </c>
      <c r="F67" s="193">
        <f>-SUM('Cash-flow 04.02.2025'!H43:R43,'Cash-flow 04.02.2025'!H44:R44)/1.21</f>
        <v>226875.20661157026</v>
      </c>
      <c r="G67" s="75" t="s">
        <v>147</v>
      </c>
      <c r="H67" s="64"/>
      <c r="I67" s="64"/>
      <c r="J67" s="64"/>
      <c r="K67" s="64"/>
      <c r="L67" s="64"/>
      <c r="M67" s="64"/>
      <c r="N67" s="64"/>
      <c r="O67" s="64"/>
      <c r="P67" s="64"/>
      <c r="Q67" s="183" t="s">
        <v>201</v>
      </c>
      <c r="R67" s="184" t="s">
        <v>212</v>
      </c>
    </row>
    <row r="68" spans="1:18" ht="18" customHeight="1">
      <c r="A68" s="65"/>
      <c r="B68" s="125" t="str">
        <f>'Cash-flow PLAN'!C43</f>
        <v>Ostatní náklady</v>
      </c>
      <c r="C68" s="126">
        <v>1</v>
      </c>
      <c r="D68" s="173" t="s">
        <v>153</v>
      </c>
      <c r="E68" s="174">
        <v>2E-3</v>
      </c>
      <c r="F68" s="193">
        <f>-SUM('Cash-flow 04.02.2025'!H45:R45)/1.21</f>
        <v>188953.71900826448</v>
      </c>
      <c r="G68" s="75" t="s">
        <v>147</v>
      </c>
      <c r="H68" s="64"/>
      <c r="I68" s="64"/>
      <c r="J68" s="64"/>
      <c r="K68" s="73"/>
      <c r="L68" s="74"/>
      <c r="M68" s="76"/>
      <c r="N68" s="75"/>
      <c r="O68" s="64"/>
      <c r="P68" s="64"/>
      <c r="Q68" s="185" t="e">
        <f>$J$25-$C$14-$C$23-$C$43-$C$51-$C$72+$N$21+#REF!+#REF!-$F$98-$F$101-$D$124*($E$100/12*(SUM($R$12:$R$13)+R68))</f>
        <v>#REF!</v>
      </c>
      <c r="R68" s="197">
        <v>0</v>
      </c>
    </row>
    <row r="69" spans="1:18" ht="18" customHeight="1">
      <c r="A69" s="65"/>
      <c r="B69" s="125" t="str">
        <f>'Cash-flow PLAN'!C44</f>
        <v>Právní služby</v>
      </c>
      <c r="C69" s="126">
        <v>1</v>
      </c>
      <c r="D69" s="173" t="s">
        <v>213</v>
      </c>
      <c r="E69" s="174">
        <f>F69/C43</f>
        <v>1.2383425691808064E-3</v>
      </c>
      <c r="F69" s="193">
        <f>-SUM('Cash-flow 04.02.2025'!H46:Q46)/1.21</f>
        <v>97345.206611570247</v>
      </c>
      <c r="G69" s="75" t="s">
        <v>147</v>
      </c>
      <c r="H69" s="64"/>
      <c r="I69" s="64"/>
      <c r="J69" s="64"/>
      <c r="K69" s="73"/>
      <c r="L69" s="74"/>
      <c r="M69" s="76"/>
      <c r="N69" s="75"/>
      <c r="O69" s="64"/>
      <c r="P69" s="64"/>
      <c r="Q69" s="185" t="e">
        <f>$J$25-$C$14-$C$23-$C$43-$C$51-$C$72+$N$21+#REF!+#REF!-$F$98-$F$101-$D$124*($E$100/12*(SUM($R$12:$R$13)+R69))</f>
        <v>#REF!</v>
      </c>
      <c r="R69" s="197">
        <v>6</v>
      </c>
    </row>
    <row r="70" spans="1:18" ht="18" customHeight="1">
      <c r="A70" s="65"/>
      <c r="B70" s="125" t="str">
        <f>'Cash-flow PLAN'!C45</f>
        <v>Marketing</v>
      </c>
      <c r="C70" s="126">
        <v>1</v>
      </c>
      <c r="D70" s="173" t="s">
        <v>153</v>
      </c>
      <c r="E70" s="174">
        <v>0</v>
      </c>
      <c r="F70" s="193">
        <f>$C$43*E70</f>
        <v>0</v>
      </c>
      <c r="G70" s="75" t="s">
        <v>147</v>
      </c>
      <c r="H70" s="64"/>
      <c r="I70" s="64"/>
      <c r="J70" s="73"/>
      <c r="K70" s="73"/>
      <c r="L70" s="74"/>
      <c r="M70" s="76"/>
      <c r="N70" s="75"/>
      <c r="O70" s="64"/>
      <c r="P70" s="64"/>
      <c r="Q70" s="185" t="e">
        <f>$J$25-$C$14-$C$23-$C$43-$C$51-$C$72+$N$21+#REF!+#REF!-$F$98-$F$101-$D$124*($E$100/12*(SUM($R$12:$R$13)+R70))</f>
        <v>#REF!</v>
      </c>
      <c r="R70" s="197">
        <v>12</v>
      </c>
    </row>
    <row r="71" spans="1:18" ht="18" customHeight="1">
      <c r="A71" s="65"/>
      <c r="B71" s="125" t="str">
        <f>'Cash-flow PLAN'!C46</f>
        <v>Letting fee</v>
      </c>
      <c r="C71" s="527">
        <v>1</v>
      </c>
      <c r="D71" s="580" t="s">
        <v>214</v>
      </c>
      <c r="E71" s="586">
        <v>0</v>
      </c>
      <c r="F71" s="587">
        <f>-SUM('Cash-flow 04.02.2025'!H48:R48)/1.21</f>
        <v>972275.60000000009</v>
      </c>
      <c r="G71" s="75" t="s">
        <v>147</v>
      </c>
      <c r="H71" s="64"/>
      <c r="I71" s="64"/>
      <c r="J71" s="73"/>
      <c r="K71" s="73"/>
      <c r="L71" s="74"/>
      <c r="M71" s="76"/>
      <c r="N71" s="75"/>
      <c r="O71" s="64"/>
      <c r="P71" s="64"/>
      <c r="Q71" s="185" t="e">
        <f>$J$25-$C$14-$C$23-$C$43-$C$51-$C$72+$N$21+#REF!+#REF!-$F$98-$F$101-$D$124*($E$100/12*(SUM($R$12:$R$13)+R71))</f>
        <v>#REF!</v>
      </c>
      <c r="R71" s="588">
        <v>24</v>
      </c>
    </row>
    <row r="72" spans="1:18" ht="18" customHeight="1">
      <c r="A72" s="65"/>
      <c r="B72" s="107" t="s">
        <v>156</v>
      </c>
      <c r="C72" s="803">
        <f>F57+F58+F62+F66+SUM(F67:F71)</f>
        <v>4263629.7322314046</v>
      </c>
      <c r="D72" s="798"/>
      <c r="E72" s="798"/>
      <c r="F72" s="799"/>
      <c r="G72" s="64"/>
      <c r="H72" s="64"/>
      <c r="I72" s="717"/>
      <c r="J72" s="73"/>
      <c r="K72" s="73"/>
      <c r="L72" s="74"/>
      <c r="M72" s="76"/>
      <c r="N72" s="75"/>
      <c r="O72" s="64"/>
      <c r="P72" s="64"/>
      <c r="Q72" s="191" t="e">
        <f>$J$25-$C$14-$C$23-$C$43-$C$51-$C$72+$N$21+#REF!+#REF!-$F$98-$F$101-$D$124*($E$100/12*(SUM($R$12:$R$13)+R72))</f>
        <v>#REF!</v>
      </c>
      <c r="R72" s="198" t="e">
        <f>(($J$25-$C$14-$C$23-$C$43-$C$51-$C$72+$N$21+#REF!-$F$98-$F$101)/D124/E100*12)-SUM($R$12:$R$13)</f>
        <v>#REF!</v>
      </c>
    </row>
    <row r="73" spans="1:18" ht="18" customHeight="1">
      <c r="A73" s="65"/>
      <c r="B73" s="111" t="s">
        <v>158</v>
      </c>
      <c r="C73" s="190"/>
      <c r="D73" s="190"/>
      <c r="E73" s="190"/>
      <c r="F73" s="112">
        <f>C72/$J$17</f>
        <v>2058.9785016208643</v>
      </c>
      <c r="G73" s="64"/>
      <c r="H73" s="64"/>
      <c r="I73" s="64"/>
      <c r="J73" s="73"/>
      <c r="K73" s="73"/>
      <c r="L73" s="74"/>
      <c r="M73" s="76"/>
      <c r="N73" s="75"/>
      <c r="O73" s="64"/>
      <c r="P73" s="64"/>
      <c r="Q73" s="64"/>
      <c r="R73" s="64"/>
    </row>
    <row r="74" spans="1:18" ht="18" customHeight="1">
      <c r="A74" s="65"/>
      <c r="B74" s="64"/>
      <c r="C74" s="73"/>
      <c r="D74" s="74"/>
      <c r="E74" s="76"/>
      <c r="F74" s="75"/>
      <c r="G74" s="64"/>
      <c r="H74" s="64"/>
      <c r="I74" s="64"/>
      <c r="J74" s="73"/>
      <c r="K74" s="73"/>
      <c r="L74" s="74"/>
      <c r="M74" s="76"/>
      <c r="N74" s="75"/>
      <c r="O74" s="64"/>
      <c r="P74" s="64"/>
      <c r="Q74" s="64"/>
      <c r="R74" s="64"/>
    </row>
    <row r="75" spans="1:18" ht="18" customHeight="1">
      <c r="A75" s="65"/>
      <c r="B75" s="64"/>
      <c r="C75" s="73"/>
      <c r="D75" s="74"/>
      <c r="E75" s="76"/>
      <c r="F75" s="75"/>
      <c r="G75" s="64"/>
      <c r="H75" s="64"/>
      <c r="I75" s="64"/>
      <c r="J75" s="73"/>
      <c r="K75" s="73"/>
      <c r="L75" s="74"/>
      <c r="M75" s="76"/>
      <c r="N75" s="75"/>
      <c r="O75" s="64"/>
      <c r="P75" s="64"/>
      <c r="Q75" s="64"/>
      <c r="R75" s="64"/>
    </row>
    <row r="76" spans="1:18" ht="18" customHeight="1">
      <c r="A76" s="65"/>
      <c r="B76" s="804" t="s">
        <v>215</v>
      </c>
      <c r="C76" s="798"/>
      <c r="D76" s="798"/>
      <c r="E76" s="798"/>
      <c r="F76" s="799"/>
      <c r="G76" s="75"/>
      <c r="H76" s="64"/>
      <c r="I76" s="64"/>
      <c r="J76" s="73"/>
      <c r="K76" s="73"/>
      <c r="L76" s="74"/>
      <c r="M76" s="76"/>
      <c r="N76" s="75"/>
      <c r="O76" s="64"/>
      <c r="P76" s="64"/>
      <c r="Q76" s="64"/>
      <c r="R76" s="64"/>
    </row>
    <row r="77" spans="1:18" ht="18" customHeight="1">
      <c r="A77" s="65"/>
      <c r="B77" s="589"/>
      <c r="C77" s="199" t="s">
        <v>137</v>
      </c>
      <c r="D77" s="199" t="s">
        <v>163</v>
      </c>
      <c r="E77" s="200" t="s">
        <v>164</v>
      </c>
      <c r="F77" s="590"/>
      <c r="G77" s="75"/>
      <c r="H77" s="64"/>
      <c r="I77" s="64"/>
      <c r="J77" s="73"/>
      <c r="K77" s="73"/>
      <c r="L77" s="74"/>
      <c r="M77" s="76"/>
      <c r="N77" s="75"/>
      <c r="O77" s="64"/>
      <c r="P77" s="64"/>
      <c r="Q77" s="64"/>
      <c r="R77" s="64"/>
    </row>
    <row r="78" spans="1:18" ht="18" customHeight="1">
      <c r="A78" s="65"/>
      <c r="B78" s="201" t="s">
        <v>216</v>
      </c>
      <c r="C78" s="202">
        <v>1</v>
      </c>
      <c r="D78" s="203" t="s">
        <v>153</v>
      </c>
      <c r="E78" s="204">
        <v>2.5000000000000001E-2</v>
      </c>
      <c r="F78" s="205">
        <f>E78*SUM(F31:F38,F41,C51)</f>
        <v>757194.75</v>
      </c>
      <c r="G78" s="75" t="s">
        <v>147</v>
      </c>
      <c r="H78" s="64"/>
      <c r="I78" s="64"/>
      <c r="J78" s="73"/>
      <c r="K78" s="73"/>
      <c r="L78" s="74"/>
      <c r="M78" s="76"/>
      <c r="N78" s="75"/>
      <c r="O78" s="64"/>
      <c r="P78" s="64"/>
      <c r="Q78" s="64"/>
      <c r="R78" s="64"/>
    </row>
    <row r="79" spans="1:18" ht="18" customHeight="1">
      <c r="A79" s="65"/>
      <c r="B79" s="201" t="s">
        <v>217</v>
      </c>
      <c r="C79" s="202">
        <v>1</v>
      </c>
      <c r="D79" s="203" t="s">
        <v>153</v>
      </c>
      <c r="E79" s="204"/>
      <c r="F79" s="206">
        <f>F82</f>
        <v>919800</v>
      </c>
      <c r="G79" s="75" t="s">
        <v>147</v>
      </c>
      <c r="H79" s="64"/>
      <c r="I79" s="64"/>
      <c r="J79" s="73"/>
      <c r="K79" s="73"/>
      <c r="L79" s="74"/>
      <c r="M79" s="76"/>
      <c r="N79" s="75"/>
      <c r="O79" s="64"/>
      <c r="P79" s="64"/>
      <c r="Q79" s="64"/>
      <c r="R79" s="64"/>
    </row>
    <row r="80" spans="1:18" ht="18" customHeight="1">
      <c r="A80" s="65"/>
      <c r="B80" s="207" t="s">
        <v>206</v>
      </c>
      <c r="C80" s="202">
        <v>1</v>
      </c>
      <c r="D80" s="203" t="s">
        <v>153</v>
      </c>
      <c r="E80" s="591"/>
      <c r="F80" s="592"/>
      <c r="G80" s="75"/>
      <c r="H80" s="64"/>
      <c r="I80" s="64"/>
      <c r="J80" s="73"/>
      <c r="K80" s="73"/>
      <c r="L80" s="74"/>
      <c r="M80" s="76"/>
      <c r="N80" s="75"/>
      <c r="O80" s="64"/>
      <c r="P80" s="64"/>
      <c r="Q80" s="64"/>
      <c r="R80" s="64"/>
    </row>
    <row r="81" spans="2:11" ht="18" customHeight="1">
      <c r="B81" s="207" t="s">
        <v>207</v>
      </c>
      <c r="C81" s="202">
        <v>1</v>
      </c>
      <c r="D81" s="203" t="s">
        <v>153</v>
      </c>
      <c r="E81" s="591"/>
      <c r="F81" s="592"/>
      <c r="G81" s="75"/>
      <c r="H81" s="64"/>
      <c r="I81" s="64"/>
      <c r="J81" s="73"/>
      <c r="K81" s="73"/>
    </row>
    <row r="82" spans="2:11" ht="18" customHeight="1">
      <c r="B82" s="207" t="s">
        <v>208</v>
      </c>
      <c r="C82" s="202">
        <v>1</v>
      </c>
      <c r="D82" s="203" t="s">
        <v>153</v>
      </c>
      <c r="E82" s="591"/>
      <c r="F82" s="592">
        <v>919800</v>
      </c>
      <c r="G82" s="75"/>
      <c r="H82" s="64"/>
      <c r="I82" s="208"/>
      <c r="J82" s="73"/>
      <c r="K82" s="73"/>
    </row>
    <row r="83" spans="2:11" ht="18" customHeight="1">
      <c r="B83" s="201" t="s">
        <v>218</v>
      </c>
      <c r="C83" s="202">
        <v>1</v>
      </c>
      <c r="D83" s="203" t="s">
        <v>153</v>
      </c>
      <c r="E83" s="204"/>
      <c r="F83" s="206"/>
      <c r="G83" s="75"/>
      <c r="H83" s="64"/>
      <c r="I83" s="64"/>
      <c r="J83" s="73"/>
      <c r="K83" s="73"/>
    </row>
    <row r="84" spans="2:11" ht="18" customHeight="1">
      <c r="B84" s="207" t="s">
        <v>219</v>
      </c>
      <c r="C84" s="202">
        <v>1</v>
      </c>
      <c r="D84" s="203" t="s">
        <v>153</v>
      </c>
      <c r="E84" s="591"/>
      <c r="F84" s="592"/>
      <c r="G84" s="75"/>
      <c r="H84" s="64"/>
      <c r="I84" s="208"/>
      <c r="J84" s="73"/>
      <c r="K84" s="73"/>
    </row>
    <row r="85" spans="2:11" ht="18" customHeight="1">
      <c r="B85" s="207" t="s">
        <v>220</v>
      </c>
      <c r="C85" s="202">
        <v>1</v>
      </c>
      <c r="D85" s="203" t="s">
        <v>153</v>
      </c>
      <c r="E85" s="591"/>
      <c r="F85" s="592"/>
      <c r="G85" s="75"/>
      <c r="H85" s="64"/>
      <c r="I85" s="208"/>
      <c r="J85" s="73"/>
      <c r="K85" s="73"/>
    </row>
    <row r="86" spans="2:11" ht="18" customHeight="1">
      <c r="B86" s="207" t="s">
        <v>221</v>
      </c>
      <c r="C86" s="202">
        <v>1</v>
      </c>
      <c r="D86" s="203" t="s">
        <v>153</v>
      </c>
      <c r="E86" s="591"/>
      <c r="F86" s="592"/>
      <c r="G86" s="75"/>
      <c r="H86" s="64"/>
      <c r="I86" s="64"/>
      <c r="J86" s="73"/>
      <c r="K86" s="73"/>
    </row>
    <row r="87" spans="2:11" ht="18" customHeight="1">
      <c r="B87" s="201" t="s">
        <v>222</v>
      </c>
      <c r="C87" s="202">
        <v>1</v>
      </c>
      <c r="D87" s="203" t="s">
        <v>153</v>
      </c>
      <c r="E87" s="204"/>
      <c r="F87" s="206"/>
      <c r="G87" s="75" t="s">
        <v>147</v>
      </c>
      <c r="H87" s="64"/>
      <c r="I87" s="208"/>
      <c r="J87" s="73"/>
      <c r="K87" s="73"/>
    </row>
    <row r="88" spans="2:11" ht="18" customHeight="1">
      <c r="B88" s="201" t="s">
        <v>223</v>
      </c>
      <c r="C88" s="202">
        <v>1</v>
      </c>
      <c r="D88" s="203" t="s">
        <v>153</v>
      </c>
      <c r="E88" s="204"/>
      <c r="F88" s="205">
        <f>10000*11+3000*25</f>
        <v>185000</v>
      </c>
      <c r="G88" s="75" t="s">
        <v>187</v>
      </c>
      <c r="H88" s="64"/>
      <c r="I88" s="208"/>
      <c r="J88" s="73"/>
      <c r="K88" s="73"/>
    </row>
    <row r="89" spans="2:11" ht="18" customHeight="1">
      <c r="B89" s="201" t="s">
        <v>224</v>
      </c>
      <c r="C89" s="202">
        <v>1</v>
      </c>
      <c r="D89" s="209" t="s">
        <v>153</v>
      </c>
      <c r="E89" s="204"/>
      <c r="F89" s="205">
        <f>-SUM('Cash-flow 04.02.2025'!R45:AF45)/1.21</f>
        <v>148500</v>
      </c>
      <c r="G89" s="75" t="s">
        <v>187</v>
      </c>
      <c r="H89" s="64"/>
      <c r="I89" s="208"/>
      <c r="J89" s="73"/>
      <c r="K89" s="73"/>
    </row>
    <row r="90" spans="2:11" ht="18" customHeight="1">
      <c r="B90" s="201" t="s">
        <v>225</v>
      </c>
      <c r="C90" s="202">
        <v>1</v>
      </c>
      <c r="D90" s="209" t="s">
        <v>213</v>
      </c>
      <c r="E90" s="204"/>
      <c r="F90" s="205">
        <v>0</v>
      </c>
      <c r="G90" s="75"/>
      <c r="H90" s="64"/>
      <c r="I90" s="208"/>
      <c r="J90" s="73"/>
      <c r="K90" s="73"/>
    </row>
    <row r="91" spans="2:11" ht="18" customHeight="1">
      <c r="B91" s="201" t="s">
        <v>226</v>
      </c>
      <c r="C91" s="202">
        <v>1</v>
      </c>
      <c r="D91" s="209" t="s">
        <v>153</v>
      </c>
      <c r="E91" s="204"/>
      <c r="F91" s="205">
        <v>0</v>
      </c>
      <c r="G91" s="75" t="s">
        <v>147</v>
      </c>
      <c r="H91" s="64"/>
      <c r="I91" s="64"/>
      <c r="J91" s="73"/>
      <c r="K91" s="73"/>
    </row>
    <row r="92" spans="2:11" ht="18" customHeight="1">
      <c r="B92" s="201" t="s">
        <v>227</v>
      </c>
      <c r="C92" s="593">
        <v>1</v>
      </c>
      <c r="D92" s="594" t="s">
        <v>214</v>
      </c>
      <c r="E92" s="595">
        <v>2</v>
      </c>
      <c r="F92" s="596">
        <f>E92*SUM(N9:N14)</f>
        <v>757207.18249999988</v>
      </c>
      <c r="G92" s="75" t="s">
        <v>187</v>
      </c>
      <c r="H92" s="64"/>
      <c r="I92" s="208"/>
      <c r="J92" s="73"/>
      <c r="K92" s="73"/>
    </row>
    <row r="93" spans="2:11" ht="18" customHeight="1">
      <c r="B93" s="107" t="s">
        <v>156</v>
      </c>
      <c r="C93" s="810">
        <f>F78+F79+F83+F87+SUM(F88:F92)</f>
        <v>2767701.9325000001</v>
      </c>
      <c r="D93" s="798"/>
      <c r="E93" s="798"/>
      <c r="F93" s="799"/>
      <c r="G93" s="75"/>
      <c r="H93" s="64"/>
      <c r="I93" s="64"/>
      <c r="J93" s="73"/>
      <c r="K93" s="73"/>
    </row>
    <row r="94" spans="2:11" ht="18" customHeight="1">
      <c r="B94" s="64"/>
      <c r="C94" s="73"/>
      <c r="D94" s="74"/>
      <c r="E94" s="76"/>
      <c r="F94" s="75"/>
      <c r="G94" s="75"/>
      <c r="H94" s="64"/>
      <c r="I94" s="64"/>
      <c r="J94" s="73"/>
      <c r="K94" s="73"/>
    </row>
    <row r="95" spans="2:11" ht="18" customHeight="1">
      <c r="B95" s="64"/>
      <c r="C95" s="73"/>
      <c r="D95" s="74"/>
      <c r="E95" s="76"/>
      <c r="F95" s="75"/>
      <c r="G95" s="75"/>
      <c r="H95" s="64"/>
      <c r="I95" s="64"/>
      <c r="J95" s="73"/>
      <c r="K95" s="73"/>
    </row>
    <row r="96" spans="2:11" ht="18" customHeight="1">
      <c r="B96" s="804" t="s">
        <v>228</v>
      </c>
      <c r="C96" s="798"/>
      <c r="D96" s="798"/>
      <c r="E96" s="798"/>
      <c r="F96" s="799"/>
      <c r="G96" s="75"/>
      <c r="H96" s="64"/>
      <c r="I96" s="64"/>
      <c r="J96" s="73"/>
      <c r="K96" s="73"/>
    </row>
    <row r="97" spans="2:7" ht="18" customHeight="1">
      <c r="B97" s="119"/>
      <c r="C97" s="120" t="s">
        <v>137</v>
      </c>
      <c r="D97" s="81" t="s">
        <v>163</v>
      </c>
      <c r="E97" s="120" t="s">
        <v>164</v>
      </c>
      <c r="F97" s="121"/>
      <c r="G97" s="75"/>
    </row>
    <row r="98" spans="2:7" ht="18" customHeight="1">
      <c r="B98" s="125" t="s">
        <v>229</v>
      </c>
      <c r="C98" s="126">
        <v>1</v>
      </c>
      <c r="D98" s="127" t="s">
        <v>153</v>
      </c>
      <c r="E98" s="174"/>
      <c r="F98" s="90">
        <v>100000</v>
      </c>
      <c r="G98" s="75" t="s">
        <v>147</v>
      </c>
    </row>
    <row r="99" spans="2:7" ht="18" customHeight="1">
      <c r="B99" s="125" t="str">
        <f>'Cash-flow PLAN'!C49</f>
        <v>Poplatek za přístav</v>
      </c>
      <c r="C99" s="126">
        <v>1</v>
      </c>
      <c r="D99" s="127" t="s">
        <v>153</v>
      </c>
      <c r="E99" s="174">
        <v>5.0000000000000001E-3</v>
      </c>
      <c r="F99" s="90"/>
      <c r="G99" s="75"/>
    </row>
    <row r="100" spans="2:7" ht="18" customHeight="1">
      <c r="B100" s="125" t="s">
        <v>230</v>
      </c>
      <c r="C100" s="126">
        <v>1</v>
      </c>
      <c r="D100" s="127" t="s">
        <v>231</v>
      </c>
      <c r="E100" s="174"/>
      <c r="F100" s="90">
        <f>-SUM('Cash-flow 04.02.2025'!M62:R62)</f>
        <v>1031193.8549999999</v>
      </c>
      <c r="G100" s="75" t="s">
        <v>147</v>
      </c>
    </row>
    <row r="101" spans="2:7" ht="18" customHeight="1">
      <c r="B101" s="125" t="str">
        <f>'Cash-flow PLAN'!C51</f>
        <v>Bankovní poplatky</v>
      </c>
      <c r="C101" s="126">
        <v>1</v>
      </c>
      <c r="D101" s="580" t="s">
        <v>146</v>
      </c>
      <c r="E101" s="89">
        <v>2000</v>
      </c>
      <c r="F101" s="522">
        <f>-SUM('Cash-flow 04.02.2025'!H53:R53)</f>
        <v>24916.235000000001</v>
      </c>
      <c r="G101" s="75" t="s">
        <v>147</v>
      </c>
    </row>
    <row r="102" spans="2:7" ht="18" customHeight="1">
      <c r="B102" s="125" t="str">
        <f>'Cash-flow PLAN'!C52</f>
        <v>Daně</v>
      </c>
      <c r="C102" s="527">
        <v>1</v>
      </c>
      <c r="D102" s="580" t="s">
        <v>146</v>
      </c>
      <c r="E102" s="528">
        <v>0</v>
      </c>
      <c r="F102" s="522">
        <f>E102</f>
        <v>0</v>
      </c>
      <c r="G102" s="75"/>
    </row>
    <row r="103" spans="2:7" ht="18" customHeight="1">
      <c r="B103" s="107" t="s">
        <v>156</v>
      </c>
      <c r="C103" s="803">
        <f>SUM(F98:F102)</f>
        <v>1156110.0900000001</v>
      </c>
      <c r="D103" s="798"/>
      <c r="E103" s="798"/>
      <c r="F103" s="799"/>
      <c r="G103" s="75"/>
    </row>
    <row r="104" spans="2:7" ht="18" customHeight="1">
      <c r="B104" s="111" t="s">
        <v>158</v>
      </c>
      <c r="C104" s="190"/>
      <c r="D104" s="190"/>
      <c r="E104" s="190"/>
      <c r="F104" s="112">
        <f>C103/$J$17</f>
        <v>558.30500543281426</v>
      </c>
      <c r="G104" s="75"/>
    </row>
    <row r="105" spans="2:7" ht="18" customHeight="1">
      <c r="B105" s="64"/>
      <c r="C105" s="73"/>
      <c r="D105" s="74"/>
      <c r="E105" s="76"/>
      <c r="F105" s="75"/>
      <c r="G105" s="75"/>
    </row>
    <row r="106" spans="2:7" ht="18" customHeight="1">
      <c r="B106" s="64"/>
      <c r="C106" s="73"/>
      <c r="D106" s="74"/>
      <c r="E106" s="76"/>
      <c r="F106" s="75"/>
      <c r="G106" s="75"/>
    </row>
    <row r="107" spans="2:7" ht="18" customHeight="1">
      <c r="B107" s="804" t="s">
        <v>232</v>
      </c>
      <c r="C107" s="798"/>
      <c r="D107" s="798"/>
      <c r="E107" s="798"/>
      <c r="F107" s="799"/>
      <c r="G107" s="75"/>
    </row>
    <row r="108" spans="2:7" ht="18" customHeight="1">
      <c r="B108" s="119"/>
      <c r="C108" s="120" t="s">
        <v>137</v>
      </c>
      <c r="D108" s="81" t="s">
        <v>163</v>
      </c>
      <c r="E108" s="120" t="s">
        <v>164</v>
      </c>
      <c r="F108" s="121"/>
      <c r="G108" s="75"/>
    </row>
    <row r="109" spans="2:7" ht="18" customHeight="1">
      <c r="B109" s="125" t="s">
        <v>229</v>
      </c>
      <c r="C109" s="126">
        <v>1</v>
      </c>
      <c r="D109" s="127" t="s">
        <v>153</v>
      </c>
      <c r="E109" s="174"/>
      <c r="F109" s="90">
        <v>60000</v>
      </c>
      <c r="G109" s="75" t="s">
        <v>147</v>
      </c>
    </row>
    <row r="110" spans="2:7" ht="18" customHeight="1">
      <c r="B110" s="125" t="s">
        <v>233</v>
      </c>
      <c r="C110" s="126">
        <v>1</v>
      </c>
      <c r="D110" s="127" t="s">
        <v>153</v>
      </c>
      <c r="E110" s="174"/>
      <c r="F110" s="90">
        <v>80000</v>
      </c>
      <c r="G110" s="75" t="s">
        <v>187</v>
      </c>
    </row>
    <row r="111" spans="2:7" ht="18" customHeight="1">
      <c r="B111" s="125" t="s">
        <v>230</v>
      </c>
      <c r="C111" s="126">
        <v>1</v>
      </c>
      <c r="D111" s="127" t="s">
        <v>231</v>
      </c>
      <c r="E111" s="174">
        <v>5.8799999999999998E-2</v>
      </c>
      <c r="F111" s="90">
        <f>-SUM('Cash-flow'!V61:AB61)</f>
        <v>538303.52999999991</v>
      </c>
      <c r="G111" s="731" t="s">
        <v>234</v>
      </c>
    </row>
    <row r="112" spans="2:7" ht="18" customHeight="1">
      <c r="B112" s="125" t="s">
        <v>235</v>
      </c>
      <c r="C112" s="126">
        <v>1</v>
      </c>
      <c r="D112" s="127" t="s">
        <v>231</v>
      </c>
      <c r="E112" s="214"/>
      <c r="F112" s="522">
        <v>0</v>
      </c>
      <c r="G112" s="75"/>
    </row>
    <row r="113" spans="2:7" ht="18" customHeight="1">
      <c r="B113" s="125" t="s">
        <v>236</v>
      </c>
      <c r="C113" s="126">
        <v>1</v>
      </c>
      <c r="D113" s="580" t="s">
        <v>146</v>
      </c>
      <c r="E113" s="89"/>
      <c r="F113" s="522">
        <f>-SUM('Cash-flow 04.02.2025'!S53:AF53)</f>
        <v>18063.780000000002</v>
      </c>
      <c r="G113" s="731" t="s">
        <v>234</v>
      </c>
    </row>
    <row r="114" spans="2:7" ht="18" customHeight="1">
      <c r="B114" s="125" t="s">
        <v>237</v>
      </c>
      <c r="C114" s="527">
        <v>1</v>
      </c>
      <c r="D114" s="580" t="s">
        <v>146</v>
      </c>
      <c r="E114" s="528"/>
      <c r="F114" s="522">
        <v>0</v>
      </c>
      <c r="G114" s="75"/>
    </row>
    <row r="115" spans="2:7" ht="18" customHeight="1">
      <c r="B115" s="107" t="s">
        <v>156</v>
      </c>
      <c r="C115" s="803">
        <f>SUM(F109:F114)</f>
        <v>696367.30999999994</v>
      </c>
      <c r="D115" s="798"/>
      <c r="E115" s="798"/>
      <c r="F115" s="799"/>
      <c r="G115" s="75"/>
    </row>
    <row r="116" spans="2:7" ht="18" customHeight="1">
      <c r="B116" s="64"/>
      <c r="C116" s="73"/>
      <c r="D116" s="74"/>
      <c r="E116" s="76"/>
      <c r="F116" s="75"/>
      <c r="G116" s="75"/>
    </row>
    <row r="117" spans="2:7" ht="18" customHeight="1">
      <c r="B117" s="64"/>
      <c r="C117" s="73"/>
      <c r="D117" s="74"/>
      <c r="E117" s="76"/>
      <c r="F117" s="75"/>
      <c r="G117" s="75"/>
    </row>
    <row r="118" spans="2:7" ht="18" customHeight="1">
      <c r="B118" s="64"/>
      <c r="C118" s="73"/>
      <c r="D118" s="74"/>
      <c r="E118" s="76"/>
      <c r="F118" s="75"/>
      <c r="G118" s="75"/>
    </row>
    <row r="119" spans="2:7" ht="18" customHeight="1">
      <c r="B119" s="64"/>
      <c r="C119" s="73"/>
      <c r="D119" s="74"/>
      <c r="E119" s="76"/>
      <c r="F119" s="75"/>
      <c r="G119" s="75"/>
    </row>
    <row r="120" spans="2:7" ht="18" customHeight="1">
      <c r="B120" s="64"/>
      <c r="C120" s="73"/>
      <c r="D120" s="74"/>
      <c r="E120" s="76"/>
      <c r="F120" s="75"/>
      <c r="G120" s="75"/>
    </row>
    <row r="121" spans="2:7" ht="18" customHeight="1">
      <c r="B121" s="64"/>
      <c r="C121" s="73"/>
      <c r="D121" s="74"/>
      <c r="E121" s="76"/>
      <c r="F121" s="75"/>
      <c r="G121" s="75"/>
    </row>
    <row r="122" spans="2:7" ht="18" customHeight="1">
      <c r="B122" s="64"/>
      <c r="C122" s="73"/>
      <c r="D122" s="74"/>
      <c r="E122" s="76"/>
      <c r="F122" s="75"/>
      <c r="G122" s="75"/>
    </row>
    <row r="123" spans="2:7" ht="18" customHeight="1">
      <c r="B123" s="215" t="s">
        <v>238</v>
      </c>
      <c r="C123" s="216"/>
      <c r="D123" s="217"/>
      <c r="E123" s="218"/>
      <c r="F123" s="219"/>
      <c r="G123" s="75"/>
    </row>
    <row r="124" spans="2:7" ht="18" customHeight="1">
      <c r="B124" s="597" t="s">
        <v>239</v>
      </c>
      <c r="C124" s="220"/>
      <c r="D124" s="598">
        <f>(C14+C23+C43+C51+C72+C93)*C126</f>
        <v>72433419.932075426</v>
      </c>
      <c r="E124" s="75"/>
      <c r="F124" s="64"/>
      <c r="G124" s="75"/>
    </row>
    <row r="125" spans="2:7" ht="18" customHeight="1">
      <c r="B125" s="597" t="s">
        <v>240</v>
      </c>
      <c r="C125" s="220"/>
      <c r="D125" s="598">
        <f>(F98+F100)</f>
        <v>1131193.855</v>
      </c>
      <c r="E125" s="75"/>
      <c r="F125" s="64"/>
      <c r="G125" s="75"/>
    </row>
    <row r="126" spans="2:7" ht="18" customHeight="1">
      <c r="B126" s="599" t="s">
        <v>241</v>
      </c>
      <c r="C126" s="221">
        <v>0.65</v>
      </c>
      <c r="D126" s="600">
        <f>SUM(D124:D125)</f>
        <v>73564613.78707543</v>
      </c>
      <c r="E126" s="75"/>
      <c r="F126" s="64"/>
      <c r="G126" s="75"/>
    </row>
    <row r="127" spans="2:7" ht="18" customHeight="1">
      <c r="B127" s="599" t="s">
        <v>242</v>
      </c>
      <c r="C127" s="221">
        <f>100%-C126</f>
        <v>0.35</v>
      </c>
      <c r="D127" s="601">
        <f>C131-D126</f>
        <v>39723894.277655989</v>
      </c>
      <c r="E127" s="75"/>
      <c r="F127" s="64"/>
      <c r="G127" s="75"/>
    </row>
    <row r="128" spans="2:7" ht="18" customHeight="1">
      <c r="B128" s="222" t="s">
        <v>243</v>
      </c>
      <c r="C128" s="223">
        <v>1</v>
      </c>
      <c r="D128" s="602">
        <f>C131</f>
        <v>113288508.06473142</v>
      </c>
      <c r="E128" s="75"/>
      <c r="F128" s="64"/>
    </row>
    <row r="129" spans="2:6" ht="18" customHeight="1">
      <c r="B129" s="64"/>
      <c r="C129" s="73"/>
      <c r="D129" s="74"/>
      <c r="E129" s="76"/>
      <c r="F129" s="75"/>
    </row>
    <row r="130" spans="2:6" ht="18" customHeight="1">
      <c r="B130" s="64"/>
      <c r="C130" s="73"/>
      <c r="D130" s="74"/>
      <c r="E130" s="76"/>
      <c r="F130" s="75"/>
    </row>
    <row r="131" spans="2:6" ht="18" customHeight="1">
      <c r="B131" s="224" t="s">
        <v>244</v>
      </c>
      <c r="C131" s="814">
        <f>C14+C23+C43+C51+C72+C93+C103+C115</f>
        <v>113288508.06473142</v>
      </c>
      <c r="D131" s="798"/>
      <c r="E131" s="798"/>
      <c r="F131" s="799"/>
    </row>
    <row r="132" spans="2:6" ht="18" customHeight="1">
      <c r="B132" s="64"/>
      <c r="C132" s="73"/>
      <c r="D132" s="74"/>
      <c r="E132" s="76"/>
      <c r="F132" s="75"/>
    </row>
    <row r="133" spans="2:6" ht="18" customHeight="1">
      <c r="B133" s="225" t="s">
        <v>245</v>
      </c>
      <c r="C133" s="815">
        <f>C131/$J$17</f>
        <v>54708.92578279919</v>
      </c>
      <c r="D133" s="798"/>
      <c r="E133" s="798"/>
      <c r="F133" s="799"/>
    </row>
  </sheetData>
  <mergeCells count="36">
    <mergeCell ref="C103:F103"/>
    <mergeCell ref="B107:F107"/>
    <mergeCell ref="C115:F115"/>
    <mergeCell ref="C131:F131"/>
    <mergeCell ref="C133:F133"/>
    <mergeCell ref="C43:F43"/>
    <mergeCell ref="Q47:R47"/>
    <mergeCell ref="C72:F72"/>
    <mergeCell ref="C93:F93"/>
    <mergeCell ref="B96:F96"/>
    <mergeCell ref="B47:F47"/>
    <mergeCell ref="C51:F51"/>
    <mergeCell ref="B55:F55"/>
    <mergeCell ref="Q57:R57"/>
    <mergeCell ref="F59:F61"/>
    <mergeCell ref="Q66:R66"/>
    <mergeCell ref="B76:F76"/>
    <mergeCell ref="Q35:R35"/>
    <mergeCell ref="Q27:R27"/>
    <mergeCell ref="C23:F23"/>
    <mergeCell ref="J23:N23"/>
    <mergeCell ref="J24:N24"/>
    <mergeCell ref="J25:N25"/>
    <mergeCell ref="B27:F27"/>
    <mergeCell ref="C14:F14"/>
    <mergeCell ref="B17:F17"/>
    <mergeCell ref="Q17:R17"/>
    <mergeCell ref="J18:N18"/>
    <mergeCell ref="J22:N22"/>
    <mergeCell ref="B1:N1"/>
    <mergeCell ref="B4:F4"/>
    <mergeCell ref="I4:N4"/>
    <mergeCell ref="Q4:R4"/>
    <mergeCell ref="B6:F6"/>
    <mergeCell ref="I6:N6"/>
    <mergeCell ref="Q6:R6"/>
  </mergeCells>
  <conditionalFormatting sqref="B2">
    <cfRule type="notContainsBlanks" dxfId="42" priority="4">
      <formula>LEN(TRIM(B2))&gt;0</formula>
    </cfRule>
  </conditionalFormatting>
  <conditionalFormatting sqref="J26:L29 I28:I29 M28:M29 I31:M42">
    <cfRule type="cellIs" dxfId="41" priority="1" operator="lessThan">
      <formula>0</formula>
    </cfRule>
  </conditionalFormatting>
  <conditionalFormatting sqref="J22:N22">
    <cfRule type="notContainsBlanks" dxfId="40" priority="5">
      <formula>LEN(TRIM(J22))&gt;0</formula>
    </cfRule>
  </conditionalFormatting>
  <conditionalFormatting sqref="R16 R20:R26 U22:U24 R28:R34">
    <cfRule type="cellIs" dxfId="39" priority="2" operator="lessThan">
      <formula>0</formula>
    </cfRule>
  </conditionalFormatting>
  <conditionalFormatting sqref="R36:R42">
    <cfRule type="cellIs" dxfId="38" priority="3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00"/>
    <outlinePr summaryBelow="0" summaryRight="0"/>
  </sheetPr>
  <dimension ref="A1:CG200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5" sqref="D5"/>
    </sheetView>
  </sheetViews>
  <sheetFormatPr baseColWidth="10" defaultColWidth="12.6640625" defaultRowHeight="15" customHeight="1" outlineLevelRow="2" outlineLevelCol="2"/>
  <cols>
    <col min="1" max="1" width="2.33203125" customWidth="1"/>
    <col min="3" max="3" width="40.1640625" customWidth="1"/>
    <col min="4" max="4" width="12.6640625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1" width="9.1640625" customWidth="1" outlineLevel="2"/>
    <col min="22" max="26" width="12.6640625" customWidth="1" outlineLevel="2"/>
    <col min="27" max="28" width="13.1640625" customWidth="1" outlineLevel="2"/>
    <col min="29" max="29" width="10.6640625" customWidth="1" outlineLevel="1"/>
    <col min="30" max="32" width="10.6640625" customWidth="1" outlineLevel="2"/>
    <col min="33" max="33" width="6.5" customWidth="1" outlineLevel="2"/>
    <col min="34" max="34" width="9.6640625" customWidth="1" outlineLevel="2"/>
    <col min="35" max="40" width="6.5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2.6640625" collapsed="1"/>
    <col min="80" max="82" width="12.6640625" hidden="1" outlineLevel="1"/>
  </cols>
  <sheetData>
    <row r="1" spans="1:81" ht="26">
      <c r="A1" s="226"/>
      <c r="B1" s="227" t="s">
        <v>246</v>
      </c>
      <c r="C1" s="228">
        <v>45688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6"/>
      <c r="CB1" s="226"/>
      <c r="CC1" s="226"/>
    </row>
    <row r="2" spans="1:81">
      <c r="A2" s="603"/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  <c r="CA2" s="226"/>
      <c r="CB2" s="226"/>
      <c r="CC2" s="226"/>
    </row>
    <row r="3" spans="1:81">
      <c r="A3" s="603"/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  <c r="CA3" s="226"/>
      <c r="CB3" s="226" t="s">
        <v>249</v>
      </c>
      <c r="CC3" s="226" t="s">
        <v>250</v>
      </c>
    </row>
    <row r="4" spans="1:81">
      <c r="A4" s="603"/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231">
        <v>45597</v>
      </c>
      <c r="P4" s="231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  <c r="CA4" s="226"/>
      <c r="CB4" s="226" t="s">
        <v>116</v>
      </c>
      <c r="CC4" s="226"/>
    </row>
    <row r="5" spans="1:81">
      <c r="A5" s="603"/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5" si="0">SUM(E5:BX5)</f>
        <v>16365002</v>
      </c>
      <c r="BZ5" s="775">
        <f>SUM(BY5:BY8)</f>
        <v>41190002</v>
      </c>
      <c r="CA5" s="226"/>
      <c r="CB5" s="237"/>
      <c r="CC5" s="775"/>
    </row>
    <row r="6" spans="1:81">
      <c r="A6" s="603"/>
      <c r="B6" s="787"/>
      <c r="C6" s="232" t="s">
        <v>254</v>
      </c>
      <c r="D6" s="233" t="s">
        <v>253</v>
      </c>
      <c r="E6" s="235"/>
      <c r="F6" s="235"/>
      <c r="G6" s="235"/>
      <c r="H6" s="235"/>
      <c r="I6" s="235"/>
      <c r="J6" s="235"/>
      <c r="K6" s="235">
        <v>885000</v>
      </c>
      <c r="L6" s="235">
        <f>1640000+300000</f>
        <v>1940000</v>
      </c>
      <c r="M6" s="235">
        <f>4260000</f>
        <v>4260000</v>
      </c>
      <c r="N6" s="235"/>
      <c r="O6" s="235">
        <f>50000+270000</f>
        <v>320000</v>
      </c>
      <c r="P6" s="235">
        <v>320000</v>
      </c>
      <c r="Q6" s="235"/>
      <c r="R6" s="235">
        <v>1500000</v>
      </c>
      <c r="S6" s="235">
        <v>2300000</v>
      </c>
      <c r="T6" s="235">
        <v>7300000</v>
      </c>
      <c r="U6" s="235">
        <v>5000000</v>
      </c>
      <c r="V6" s="235">
        <v>1000000</v>
      </c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24825000</v>
      </c>
      <c r="BZ6" s="771"/>
      <c r="CA6" s="226"/>
      <c r="CB6" s="237"/>
      <c r="CC6" s="771"/>
    </row>
    <row r="7" spans="1:81">
      <c r="A7" s="603"/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0</v>
      </c>
      <c r="BZ7" s="771"/>
      <c r="CA7" s="226"/>
      <c r="CB7" s="237"/>
      <c r="CC7" s="771"/>
    </row>
    <row r="8" spans="1:81">
      <c r="A8" s="603"/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  <c r="CA8" s="226"/>
      <c r="CB8" s="241"/>
      <c r="CC8" s="774"/>
    </row>
    <row r="9" spans="1:81">
      <c r="A9" s="603"/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>
        <f t="shared" ref="U9:Y9" si="1">-U61</f>
        <v>9800</v>
      </c>
      <c r="V9" s="234">
        <f t="shared" si="1"/>
        <v>29400</v>
      </c>
      <c r="W9" s="234">
        <f t="shared" si="1"/>
        <v>58800</v>
      </c>
      <c r="X9" s="234">
        <f t="shared" si="1"/>
        <v>88690</v>
      </c>
      <c r="Y9" s="234">
        <f t="shared" si="1"/>
        <v>119560</v>
      </c>
      <c r="Z9" s="234"/>
      <c r="AA9" s="234"/>
      <c r="AB9" s="234"/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306250</v>
      </c>
      <c r="BZ9" s="775">
        <f>SUM(BY9:BY11)</f>
        <v>76028681.330000013</v>
      </c>
      <c r="CA9" s="226"/>
      <c r="CB9" s="237"/>
      <c r="CC9" s="775"/>
    </row>
    <row r="10" spans="1:81">
      <c r="A10" s="603"/>
      <c r="B10" s="787"/>
      <c r="C10" s="236" t="s">
        <v>259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>
        <v>2000000</v>
      </c>
      <c r="V10" s="235">
        <v>4000000</v>
      </c>
      <c r="W10" s="235">
        <v>6000000</v>
      </c>
      <c r="X10" s="235">
        <f>24400000/4</f>
        <v>6100000</v>
      </c>
      <c r="Y10" s="235">
        <v>6300000</v>
      </c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24400000</v>
      </c>
      <c r="BZ10" s="771"/>
      <c r="CA10" s="226"/>
      <c r="CB10" s="237"/>
      <c r="CC10" s="771"/>
    </row>
    <row r="11" spans="1:81">
      <c r="A11" s="603"/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/>
      <c r="L11" s="240"/>
      <c r="M11" s="240">
        <f>6449487.53+48944.52</f>
        <v>6498432.0499999998</v>
      </c>
      <c r="N11" s="240">
        <f>19937831.95</f>
        <v>19937831.949999999</v>
      </c>
      <c r="O11" s="240">
        <f>133478.48+9278006.75</f>
        <v>9411485.2300000004</v>
      </c>
      <c r="P11" s="240">
        <f>186701+7000000+5138503.39+219819.11</f>
        <v>12545023.5</v>
      </c>
      <c r="Q11" s="240">
        <f>2929658.6</f>
        <v>2929658.6</v>
      </c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51322431.330000006</v>
      </c>
      <c r="BZ11" s="776"/>
      <c r="CA11" s="244">
        <f>BY11+BY9</f>
        <v>51628681.330000006</v>
      </c>
      <c r="CB11" s="241"/>
      <c r="CC11" s="776"/>
    </row>
    <row r="12" spans="1:81">
      <c r="A12" s="603"/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>
        <f>SUM(Rentroll!$P$2:$P$4)*3</f>
        <v>1840038.1541999993</v>
      </c>
      <c r="T12" s="234">
        <f>SUM(Rentroll!$P$2:$P$4)</f>
        <v>613346.05139999976</v>
      </c>
      <c r="U12" s="234">
        <f>SUM(Rentroll!$P$2:$P$4)</f>
        <v>613346.05139999976</v>
      </c>
      <c r="V12" s="234">
        <f>SUM(Rentroll!$P$2:$P$4)</f>
        <v>613346.05139999976</v>
      </c>
      <c r="W12" s="234">
        <f>SUM(Rentroll!$P$2:$P$4)</f>
        <v>613346.05139999976</v>
      </c>
      <c r="X12" s="234">
        <f>SUM(Rentroll!$P$2:$P$4)</f>
        <v>613346.05139999976</v>
      </c>
      <c r="Y12" s="234">
        <f>SUM(Rentroll!$P$2:$P$4)</f>
        <v>613346.05139999976</v>
      </c>
      <c r="Z12" s="234">
        <f>SUM(Rentroll!$P$2:$P$4)</f>
        <v>613346.05139999976</v>
      </c>
      <c r="AA12" s="234">
        <f>SUM(Rentroll!$P$2:$P$10)</f>
        <v>1045797.2378791663</v>
      </c>
      <c r="AB12" s="234">
        <f>SUM(Rentroll!$P$2:$P$10)</f>
        <v>1045797.2378791663</v>
      </c>
      <c r="AC12" s="234">
        <f>SUM(Rentroll!$P$2:$P$10)</f>
        <v>1045797.2378791663</v>
      </c>
      <c r="AD12" s="234">
        <f>SUM(Rentroll!$P$2:$P$10)</f>
        <v>1045797.2378791663</v>
      </c>
      <c r="AE12" s="234">
        <f>SUM(Rentroll!$P$2:$P$10)</f>
        <v>1045797.2378791663</v>
      </c>
      <c r="AF12" s="234">
        <f>SUM(Businessplan_prodej!N8:N16)*1.21</f>
        <v>1045143.9588791665</v>
      </c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12407590.662274998</v>
      </c>
      <c r="BZ12" s="775">
        <f>SUM(BY12:BY15)</f>
        <v>156346900.40171671</v>
      </c>
      <c r="CA12" s="226">
        <f>CA11+SUM(Q97:AE97)</f>
        <v>43848681.330000006</v>
      </c>
      <c r="CB12" s="237"/>
      <c r="CC12" s="775"/>
    </row>
    <row r="13" spans="1:81">
      <c r="A13" s="603"/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>
        <f>Businessplan_prodej!$J$25</f>
        <v>134227900.78571424</v>
      </c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  <c r="CA13" s="226"/>
      <c r="CB13" s="237"/>
      <c r="CC13" s="771"/>
    </row>
    <row r="14" spans="1:81">
      <c r="A14" s="603"/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>
        <v>6227</v>
      </c>
      <c r="J14" s="235">
        <v>14588</v>
      </c>
      <c r="K14" s="235">
        <f>457468</f>
        <v>457468</v>
      </c>
      <c r="L14" s="235">
        <v>57517</v>
      </c>
      <c r="M14" s="235">
        <f>60362</f>
        <v>60362</v>
      </c>
      <c r="N14" s="235">
        <v>56101</v>
      </c>
      <c r="O14" s="235">
        <f>59696</f>
        <v>59696</v>
      </c>
      <c r="P14" s="235">
        <f>60211</f>
        <v>60211</v>
      </c>
      <c r="Q14" s="235">
        <f>49860-602</f>
        <v>49258</v>
      </c>
      <c r="R14" s="235">
        <f>IF(P12&gt;0,-(SUM(Rentroll!$K$2:$K$4)+Rentroll!$N$2),0)-(SUM(P23,P37)-SUM(P23,P37)/1.21)</f>
        <v>72438.165371900832</v>
      </c>
      <c r="S14" s="235">
        <f>IF(Q12&gt;0,-(SUM(Rentroll!$K$2:$K$4)+Rentroll!$N$2),0)-(SUM(Q23,Q37)-SUM(Q23,Q37)/1.21)</f>
        <v>59416.00619008264</v>
      </c>
      <c r="T14" s="235">
        <f>IF(R12&gt;0,-(SUM(Rentroll!$K$2:$K$4)+Rentroll!$N$2),0)-(SUM(R23,R37)-SUM(R23,R37)/1.21)</f>
        <v>198344.01524535124</v>
      </c>
      <c r="U14" s="235">
        <f>IF(S12&gt;0,-(SUM(Rentroll!$K$2:$K$4)+Rentroll!$N$2),0)-(SUM(S23,S37)-SUM(S23,S37)/1.21)</f>
        <v>27594.440817768613</v>
      </c>
      <c r="V14" s="235">
        <f>IF(T12&gt;0,-(SUM(Rentroll!$K$2:$K$4)+Rentroll!$N$2),0)-(SUM(T23,T37)-SUM(T23,T37)/1.21)</f>
        <v>38769.311324690047</v>
      </c>
      <c r="W14" s="235">
        <f>IF(U12&gt;0,-(SUM(Rentroll!$K$2:$K$4)+Rentroll!$N$2),0)-(SUM(U23,U37)-SUM(U23,U37)/1.21)</f>
        <v>-52640.812022417362</v>
      </c>
      <c r="X14" s="235">
        <f>IF(V12&gt;0,-(SUM(Rentroll!$K$2:$K$4)+Rentroll!$N$2),0)-(SUM(V23,V37)-SUM(V23,V37)/1.21)</f>
        <v>-52640.812022417362</v>
      </c>
      <c r="Y14" s="235">
        <f>IF(W12&gt;0,-(SUM(Rentroll!$K$2:$K$4)+Rentroll!$N$2),0)-(SUM(W23,W37)-SUM(W23,W37)/1.21)</f>
        <v>-52640.812022417362</v>
      </c>
      <c r="Z14" s="235">
        <f>IF(X12&gt;0,-(SUM(Rentroll!$K$2:$K$4)+Rentroll!$N$2),0)-(SUM(X23,X37)-SUM(X23,X37)/1.21)</f>
        <v>-52640.812022417362</v>
      </c>
      <c r="AA14" s="235">
        <f>IF(Y12&gt;0,-(SUM(Rentroll!$K$2:$K$4)+Rentroll!$N$2),0)-(SUM(Y23,Y37)-SUM(Y23,Y37)/1.21)</f>
        <v>-52640.812022417362</v>
      </c>
      <c r="AB14" s="235">
        <f>IF(Z12&gt;0,-(SUM(Rentroll!$K$2:$K$4)+Rentroll!$N$2),0)-(SUM(Z23,Z37)-SUM(Z23,Z37)/1.21)</f>
        <v>-18853.796700309918</v>
      </c>
      <c r="AC14" s="235">
        <f>IF(AA12&gt;0,-(SUM(Rentroll!$K$2:$K$4)+Rentroll!$N$2),0)-(SUM(AA23,AA37)-SUM(AA23,AA37)/1.21)</f>
        <v>-103471.17420991734</v>
      </c>
      <c r="AD14" s="235">
        <f>IF(AB12&gt;0,-(SUM(Rentroll!$K$2:$K$4)+Rentroll!$N$2),0)-(SUM(AB23,AB37)-SUM(AB23,AB37)/1.21)</f>
        <v>-105206.71139999999</v>
      </c>
      <c r="AE14" s="235">
        <f>IF(AC12&gt;0,-(SUM(Rentroll!$K$2:$K$4)+Rentroll!$N$2),0)-(SUM(AC23,AC37)-SUM(AC23,AC37)/1.21)</f>
        <v>-105206.71139999999</v>
      </c>
      <c r="AF14" s="235">
        <f>IF(AD12&gt;0,-(SUM(Rentroll!$K$2:$K$4)+Rentroll!$N$2),0)-(SUM(AD23,AD37)-SUM(AD23,AD37)/1.21)</f>
        <v>-105206.71139999999</v>
      </c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516840.77372747968</v>
      </c>
      <c r="BZ14" s="771"/>
      <c r="CA14" s="226"/>
      <c r="CB14" s="237"/>
      <c r="CC14" s="771"/>
    </row>
    <row r="15" spans="1:81">
      <c r="A15" s="603"/>
      <c r="B15" s="768"/>
      <c r="C15" s="238" t="s">
        <v>265</v>
      </c>
      <c r="D15" s="239" t="s">
        <v>264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>
        <f>17343.33+17343.33+1835.52</f>
        <v>36522.18</v>
      </c>
      <c r="Q15" s="240">
        <f>9100000+2904+5142</f>
        <v>9108046</v>
      </c>
      <c r="R15" s="240"/>
      <c r="S15" s="240"/>
      <c r="T15" s="240"/>
      <c r="U15" s="240"/>
      <c r="V15" s="240"/>
      <c r="W15" s="240"/>
      <c r="X15" s="240"/>
      <c r="Y15" s="240"/>
      <c r="Z15" s="240"/>
      <c r="AA15" s="240">
        <f>-Businessplan_prodej!F36</f>
        <v>50000</v>
      </c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38"/>
      <c r="BY15" s="241">
        <f t="shared" si="0"/>
        <v>9194568.1799999997</v>
      </c>
      <c r="BZ15" s="776"/>
      <c r="CA15" s="226"/>
      <c r="CB15" s="241"/>
      <c r="CC15" s="776"/>
    </row>
    <row r="16" spans="1:81" ht="16">
      <c r="A16" s="603"/>
      <c r="B16" s="788" t="s">
        <v>266</v>
      </c>
      <c r="C16" s="774"/>
      <c r="D16" s="246"/>
      <c r="E16" s="247">
        <f t="shared" ref="E16:BX16" si="2">SUM(E5:E15)</f>
        <v>0</v>
      </c>
      <c r="F16" s="247">
        <f t="shared" si="2"/>
        <v>0</v>
      </c>
      <c r="G16" s="247">
        <f t="shared" si="2"/>
        <v>0</v>
      </c>
      <c r="H16" s="247">
        <f t="shared" si="2"/>
        <v>16365002</v>
      </c>
      <c r="I16" s="247">
        <f t="shared" si="2"/>
        <v>6227</v>
      </c>
      <c r="J16" s="247">
        <f t="shared" si="2"/>
        <v>14588</v>
      </c>
      <c r="K16" s="247">
        <f t="shared" si="2"/>
        <v>1342468</v>
      </c>
      <c r="L16" s="247">
        <f t="shared" si="2"/>
        <v>1997517</v>
      </c>
      <c r="M16" s="247">
        <f t="shared" si="2"/>
        <v>10818794.050000001</v>
      </c>
      <c r="N16" s="247">
        <f t="shared" si="2"/>
        <v>19993932.949999999</v>
      </c>
      <c r="O16" s="247">
        <f t="shared" si="2"/>
        <v>9791181.2300000004</v>
      </c>
      <c r="P16" s="247">
        <f t="shared" si="2"/>
        <v>12961756.68</v>
      </c>
      <c r="Q16" s="247">
        <f t="shared" si="2"/>
        <v>12086962.6</v>
      </c>
      <c r="R16" s="247">
        <f t="shared" si="2"/>
        <v>1572438.1653719009</v>
      </c>
      <c r="S16" s="247">
        <f t="shared" si="2"/>
        <v>4199454.1603900818</v>
      </c>
      <c r="T16" s="247">
        <f t="shared" si="2"/>
        <v>8111690.0666453512</v>
      </c>
      <c r="U16" s="247">
        <f t="shared" si="2"/>
        <v>7650740.4922177689</v>
      </c>
      <c r="V16" s="247">
        <f t="shared" si="2"/>
        <v>5681515.3627246907</v>
      </c>
      <c r="W16" s="247">
        <f t="shared" si="2"/>
        <v>6619505.2393775824</v>
      </c>
      <c r="X16" s="247">
        <f t="shared" si="2"/>
        <v>6749395.2393775824</v>
      </c>
      <c r="Y16" s="247">
        <f t="shared" si="2"/>
        <v>6980265.2393775824</v>
      </c>
      <c r="Z16" s="247">
        <f t="shared" si="2"/>
        <v>560705.23937758245</v>
      </c>
      <c r="AA16" s="247">
        <f t="shared" si="2"/>
        <v>1043156.4258567489</v>
      </c>
      <c r="AB16" s="247">
        <f t="shared" si="2"/>
        <v>1026943.4411788563</v>
      </c>
      <c r="AC16" s="247">
        <f t="shared" si="2"/>
        <v>942326.06366924895</v>
      </c>
      <c r="AD16" s="247">
        <f t="shared" si="2"/>
        <v>940590.52647916623</v>
      </c>
      <c r="AE16" s="247">
        <f t="shared" si="2"/>
        <v>940590.52647916623</v>
      </c>
      <c r="AF16" s="247">
        <f t="shared" si="2"/>
        <v>135167838.03319341</v>
      </c>
      <c r="AG16" s="247">
        <f t="shared" si="2"/>
        <v>0</v>
      </c>
      <c r="AH16" s="247">
        <f t="shared" si="2"/>
        <v>0</v>
      </c>
      <c r="AI16" s="247">
        <f t="shared" si="2"/>
        <v>0</v>
      </c>
      <c r="AJ16" s="247">
        <f t="shared" si="2"/>
        <v>0</v>
      </c>
      <c r="AK16" s="247">
        <f t="shared" si="2"/>
        <v>0</v>
      </c>
      <c r="AL16" s="247">
        <f t="shared" si="2"/>
        <v>0</v>
      </c>
      <c r="AM16" s="247">
        <f t="shared" si="2"/>
        <v>0</v>
      </c>
      <c r="AN16" s="247">
        <f t="shared" si="2"/>
        <v>0</v>
      </c>
      <c r="AO16" s="247">
        <f t="shared" si="2"/>
        <v>0</v>
      </c>
      <c r="AP16" s="247">
        <f t="shared" si="2"/>
        <v>0</v>
      </c>
      <c r="AQ16" s="247">
        <f t="shared" si="2"/>
        <v>0</v>
      </c>
      <c r="AR16" s="247">
        <f t="shared" si="2"/>
        <v>0</v>
      </c>
      <c r="AS16" s="247">
        <f t="shared" si="2"/>
        <v>0</v>
      </c>
      <c r="AT16" s="247">
        <f t="shared" si="2"/>
        <v>0</v>
      </c>
      <c r="AU16" s="247">
        <f t="shared" si="2"/>
        <v>0</v>
      </c>
      <c r="AV16" s="247">
        <f t="shared" si="2"/>
        <v>0</v>
      </c>
      <c r="AW16" s="247">
        <f t="shared" si="2"/>
        <v>0</v>
      </c>
      <c r="AX16" s="247">
        <f t="shared" si="2"/>
        <v>0</v>
      </c>
      <c r="AY16" s="247">
        <f t="shared" si="2"/>
        <v>0</v>
      </c>
      <c r="AZ16" s="247">
        <f t="shared" si="2"/>
        <v>0</v>
      </c>
      <c r="BA16" s="247">
        <f t="shared" si="2"/>
        <v>0</v>
      </c>
      <c r="BB16" s="247">
        <f t="shared" si="2"/>
        <v>0</v>
      </c>
      <c r="BC16" s="247">
        <f t="shared" si="2"/>
        <v>0</v>
      </c>
      <c r="BD16" s="247">
        <f t="shared" si="2"/>
        <v>0</v>
      </c>
      <c r="BE16" s="247">
        <f t="shared" si="2"/>
        <v>0</v>
      </c>
      <c r="BF16" s="247">
        <f t="shared" si="2"/>
        <v>0</v>
      </c>
      <c r="BG16" s="247">
        <f t="shared" si="2"/>
        <v>0</v>
      </c>
      <c r="BH16" s="247">
        <f t="shared" si="2"/>
        <v>0</v>
      </c>
      <c r="BI16" s="247">
        <f t="shared" si="2"/>
        <v>0</v>
      </c>
      <c r="BJ16" s="247">
        <f t="shared" si="2"/>
        <v>0</v>
      </c>
      <c r="BK16" s="247">
        <f t="shared" si="2"/>
        <v>0</v>
      </c>
      <c r="BL16" s="247">
        <f t="shared" si="2"/>
        <v>0</v>
      </c>
      <c r="BM16" s="247">
        <f t="shared" si="2"/>
        <v>0</v>
      </c>
      <c r="BN16" s="247">
        <f t="shared" si="2"/>
        <v>0</v>
      </c>
      <c r="BO16" s="247">
        <f t="shared" si="2"/>
        <v>0</v>
      </c>
      <c r="BP16" s="247">
        <f t="shared" si="2"/>
        <v>0</v>
      </c>
      <c r="BQ16" s="247">
        <f t="shared" si="2"/>
        <v>0</v>
      </c>
      <c r="BR16" s="247">
        <f t="shared" si="2"/>
        <v>0</v>
      </c>
      <c r="BS16" s="247">
        <f t="shared" si="2"/>
        <v>0</v>
      </c>
      <c r="BT16" s="247">
        <f t="shared" si="2"/>
        <v>0</v>
      </c>
      <c r="BU16" s="247">
        <f t="shared" si="2"/>
        <v>0</v>
      </c>
      <c r="BV16" s="247">
        <f t="shared" si="2"/>
        <v>0</v>
      </c>
      <c r="BW16" s="247">
        <f t="shared" si="2"/>
        <v>0</v>
      </c>
      <c r="BX16" s="247">
        <f t="shared" si="2"/>
        <v>0</v>
      </c>
      <c r="BY16" s="778">
        <f>BZ5+BZ9+BZ12</f>
        <v>273565583.73171675</v>
      </c>
      <c r="BZ16" s="774"/>
      <c r="CA16" s="226"/>
      <c r="CB16" s="778">
        <f>CC5+CC9+CC12</f>
        <v>0</v>
      </c>
      <c r="CC16" s="774"/>
    </row>
    <row r="17" spans="1:85" ht="16" collapsed="1">
      <c r="A17" s="603"/>
      <c r="B17" s="789" t="s">
        <v>267</v>
      </c>
      <c r="C17" s="248" t="s">
        <v>268</v>
      </c>
      <c r="D17" s="249"/>
      <c r="E17" s="250">
        <f t="shared" ref="E17:BY17" si="3">SUM(E18:E22)</f>
        <v>0</v>
      </c>
      <c r="F17" s="250">
        <f t="shared" si="3"/>
        <v>0</v>
      </c>
      <c r="G17" s="250">
        <f t="shared" si="3"/>
        <v>0</v>
      </c>
      <c r="H17" s="250">
        <f t="shared" si="3"/>
        <v>-10620712</v>
      </c>
      <c r="I17" s="250">
        <f t="shared" si="3"/>
        <v>0</v>
      </c>
      <c r="J17" s="250">
        <f t="shared" si="3"/>
        <v>-808333</v>
      </c>
      <c r="K17" s="250">
        <f t="shared" si="3"/>
        <v>0</v>
      </c>
      <c r="L17" s="250">
        <f t="shared" si="3"/>
        <v>0</v>
      </c>
      <c r="M17" s="250">
        <f t="shared" si="3"/>
        <v>0</v>
      </c>
      <c r="N17" s="250">
        <f t="shared" si="3"/>
        <v>0</v>
      </c>
      <c r="O17" s="250">
        <f t="shared" si="3"/>
        <v>0</v>
      </c>
      <c r="P17" s="250">
        <f t="shared" si="3"/>
        <v>0</v>
      </c>
      <c r="Q17" s="250">
        <f t="shared" si="3"/>
        <v>0</v>
      </c>
      <c r="R17" s="250">
        <f t="shared" si="3"/>
        <v>0</v>
      </c>
      <c r="S17" s="250">
        <f t="shared" si="3"/>
        <v>0</v>
      </c>
      <c r="T17" s="250">
        <f t="shared" si="3"/>
        <v>0</v>
      </c>
      <c r="U17" s="250">
        <f t="shared" si="3"/>
        <v>0</v>
      </c>
      <c r="V17" s="250">
        <f t="shared" si="3"/>
        <v>0</v>
      </c>
      <c r="W17" s="250">
        <f t="shared" si="3"/>
        <v>0</v>
      </c>
      <c r="X17" s="250">
        <f t="shared" si="3"/>
        <v>0</v>
      </c>
      <c r="Y17" s="250">
        <f t="shared" si="3"/>
        <v>0</v>
      </c>
      <c r="Z17" s="250">
        <f t="shared" si="3"/>
        <v>0</v>
      </c>
      <c r="AA17" s="250">
        <f t="shared" si="3"/>
        <v>0</v>
      </c>
      <c r="AB17" s="250">
        <f t="shared" si="3"/>
        <v>0</v>
      </c>
      <c r="AC17" s="250">
        <f t="shared" si="3"/>
        <v>0</v>
      </c>
      <c r="AD17" s="250">
        <f t="shared" si="3"/>
        <v>0</v>
      </c>
      <c r="AE17" s="250">
        <f t="shared" si="3"/>
        <v>0</v>
      </c>
      <c r="AF17" s="250">
        <f t="shared" si="3"/>
        <v>0</v>
      </c>
      <c r="AG17" s="250">
        <f t="shared" si="3"/>
        <v>0</v>
      </c>
      <c r="AH17" s="250">
        <f t="shared" si="3"/>
        <v>0</v>
      </c>
      <c r="AI17" s="250">
        <f t="shared" si="3"/>
        <v>0</v>
      </c>
      <c r="AJ17" s="250">
        <f t="shared" si="3"/>
        <v>0</v>
      </c>
      <c r="AK17" s="250">
        <f t="shared" si="3"/>
        <v>0</v>
      </c>
      <c r="AL17" s="250">
        <f t="shared" si="3"/>
        <v>0</v>
      </c>
      <c r="AM17" s="250">
        <f t="shared" si="3"/>
        <v>0</v>
      </c>
      <c r="AN17" s="250">
        <f t="shared" si="3"/>
        <v>0</v>
      </c>
      <c r="AO17" s="250">
        <f t="shared" si="3"/>
        <v>0</v>
      </c>
      <c r="AP17" s="250">
        <f t="shared" si="3"/>
        <v>0</v>
      </c>
      <c r="AQ17" s="250">
        <f t="shared" si="3"/>
        <v>0</v>
      </c>
      <c r="AR17" s="250">
        <f t="shared" si="3"/>
        <v>0</v>
      </c>
      <c r="AS17" s="250">
        <f t="shared" si="3"/>
        <v>0</v>
      </c>
      <c r="AT17" s="250">
        <f t="shared" si="3"/>
        <v>0</v>
      </c>
      <c r="AU17" s="250">
        <f t="shared" si="3"/>
        <v>0</v>
      </c>
      <c r="AV17" s="250">
        <f t="shared" si="3"/>
        <v>0</v>
      </c>
      <c r="AW17" s="250">
        <f t="shared" si="3"/>
        <v>0</v>
      </c>
      <c r="AX17" s="250">
        <f t="shared" si="3"/>
        <v>0</v>
      </c>
      <c r="AY17" s="250">
        <f t="shared" si="3"/>
        <v>0</v>
      </c>
      <c r="AZ17" s="250">
        <f t="shared" si="3"/>
        <v>0</v>
      </c>
      <c r="BA17" s="250">
        <f t="shared" si="3"/>
        <v>0</v>
      </c>
      <c r="BB17" s="250">
        <f t="shared" si="3"/>
        <v>0</v>
      </c>
      <c r="BC17" s="250">
        <f t="shared" si="3"/>
        <v>0</v>
      </c>
      <c r="BD17" s="250">
        <f t="shared" si="3"/>
        <v>0</v>
      </c>
      <c r="BE17" s="250">
        <f t="shared" si="3"/>
        <v>0</v>
      </c>
      <c r="BF17" s="250">
        <f t="shared" si="3"/>
        <v>0</v>
      </c>
      <c r="BG17" s="250">
        <f t="shared" si="3"/>
        <v>0</v>
      </c>
      <c r="BH17" s="250">
        <f t="shared" si="3"/>
        <v>0</v>
      </c>
      <c r="BI17" s="250">
        <f t="shared" si="3"/>
        <v>0</v>
      </c>
      <c r="BJ17" s="250">
        <f t="shared" si="3"/>
        <v>0</v>
      </c>
      <c r="BK17" s="250">
        <f t="shared" si="3"/>
        <v>0</v>
      </c>
      <c r="BL17" s="250">
        <f t="shared" si="3"/>
        <v>0</v>
      </c>
      <c r="BM17" s="250">
        <f t="shared" si="3"/>
        <v>0</v>
      </c>
      <c r="BN17" s="250">
        <f t="shared" si="3"/>
        <v>0</v>
      </c>
      <c r="BO17" s="250">
        <f t="shared" si="3"/>
        <v>0</v>
      </c>
      <c r="BP17" s="250">
        <f t="shared" si="3"/>
        <v>0</v>
      </c>
      <c r="BQ17" s="250">
        <f t="shared" si="3"/>
        <v>0</v>
      </c>
      <c r="BR17" s="250">
        <f t="shared" si="3"/>
        <v>0</v>
      </c>
      <c r="BS17" s="250">
        <f t="shared" si="3"/>
        <v>0</v>
      </c>
      <c r="BT17" s="250">
        <f t="shared" si="3"/>
        <v>0</v>
      </c>
      <c r="BU17" s="250">
        <f t="shared" si="3"/>
        <v>0</v>
      </c>
      <c r="BV17" s="250">
        <f t="shared" si="3"/>
        <v>0</v>
      </c>
      <c r="BW17" s="250">
        <f t="shared" si="3"/>
        <v>0</v>
      </c>
      <c r="BX17" s="250">
        <f t="shared" si="3"/>
        <v>0</v>
      </c>
      <c r="BY17" s="251">
        <f t="shared" si="3"/>
        <v>-11429045</v>
      </c>
      <c r="BZ17" s="777">
        <f>BY17+BY23+BY26+BY34+BY37+BY49+BY55+BY63+BY87</f>
        <v>-126765508.17060289</v>
      </c>
      <c r="CA17" s="226"/>
      <c r="CB17" s="252"/>
      <c r="CC17" s="777"/>
      <c r="CD17" s="226"/>
      <c r="CE17" s="226"/>
      <c r="CF17" s="226"/>
      <c r="CG17" s="226"/>
    </row>
    <row r="18" spans="1:85" ht="16" hidden="1" outlineLevel="1">
      <c r="A18" s="603"/>
      <c r="B18" s="787"/>
      <c r="C18" s="253" t="s">
        <v>269</v>
      </c>
      <c r="D18" s="254" t="s">
        <v>270</v>
      </c>
      <c r="E18" s="255"/>
      <c r="F18" s="255"/>
      <c r="G18" s="255"/>
      <c r="H18" s="256">
        <f>-8458812-2161900</f>
        <v>-10620712</v>
      </c>
      <c r="I18" s="256"/>
      <c r="J18" s="256">
        <f>-657296-151037</f>
        <v>-808333</v>
      </c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7">
        <f t="shared" ref="BY18:BY22" si="4">SUM(E18:BX18)</f>
        <v>-11429045</v>
      </c>
      <c r="BZ18" s="771"/>
      <c r="CA18" s="226"/>
      <c r="CB18" s="252"/>
      <c r="CC18" s="771"/>
      <c r="CD18" s="226"/>
      <c r="CE18" s="226"/>
      <c r="CF18" s="226"/>
      <c r="CG18" s="226"/>
    </row>
    <row r="19" spans="1:85" ht="16" hidden="1" outlineLevel="1">
      <c r="A19" s="603"/>
      <c r="B19" s="787"/>
      <c r="C19" s="253" t="s">
        <v>271</v>
      </c>
      <c r="D19" s="254" t="s">
        <v>270</v>
      </c>
      <c r="E19" s="255"/>
      <c r="F19" s="255"/>
      <c r="G19" s="255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si="4"/>
        <v>0</v>
      </c>
      <c r="BZ19" s="771"/>
      <c r="CA19" s="226"/>
      <c r="CB19" s="252"/>
      <c r="CC19" s="771"/>
      <c r="CD19" s="226"/>
      <c r="CE19" s="226"/>
      <c r="CF19" s="226"/>
      <c r="CG19" s="226"/>
    </row>
    <row r="20" spans="1:85" ht="16" hidden="1" outlineLevel="1">
      <c r="A20" s="603"/>
      <c r="B20" s="787"/>
      <c r="C20" s="253" t="s">
        <v>272</v>
      </c>
      <c r="D20" s="254" t="s">
        <v>270</v>
      </c>
      <c r="E20" s="255"/>
      <c r="F20" s="255"/>
      <c r="G20" s="255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4"/>
        <v>0</v>
      </c>
      <c r="BZ20" s="771"/>
      <c r="CA20" s="226"/>
      <c r="CB20" s="252"/>
      <c r="CC20" s="771"/>
      <c r="CD20" s="226"/>
      <c r="CE20" s="226"/>
      <c r="CF20" s="226"/>
      <c r="CG20" s="226"/>
    </row>
    <row r="21" spans="1:85" ht="16" hidden="1" outlineLevel="1">
      <c r="A21" s="603"/>
      <c r="B21" s="787"/>
      <c r="C21" s="253" t="s">
        <v>273</v>
      </c>
      <c r="D21" s="254" t="s">
        <v>270</v>
      </c>
      <c r="E21" s="255"/>
      <c r="F21" s="255"/>
      <c r="G21" s="255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4"/>
        <v>0</v>
      </c>
      <c r="BZ21" s="771"/>
      <c r="CA21" s="226"/>
      <c r="CB21" s="252"/>
      <c r="CC21" s="771"/>
      <c r="CD21" s="226"/>
      <c r="CE21" s="226"/>
      <c r="CF21" s="226"/>
      <c r="CG21" s="226"/>
    </row>
    <row r="22" spans="1:85" ht="16" hidden="1" outlineLevel="1">
      <c r="A22" s="603"/>
      <c r="B22" s="787"/>
      <c r="C22" s="253" t="s">
        <v>274</v>
      </c>
      <c r="D22" s="258" t="s">
        <v>270</v>
      </c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4"/>
        <v>0</v>
      </c>
      <c r="BZ22" s="771"/>
      <c r="CA22" s="226"/>
      <c r="CB22" s="252"/>
      <c r="CC22" s="771"/>
      <c r="CD22" s="226"/>
      <c r="CE22" s="226"/>
      <c r="CF22" s="226"/>
      <c r="CG22" s="226"/>
    </row>
    <row r="23" spans="1:85" ht="16">
      <c r="A23" s="603"/>
      <c r="B23" s="787"/>
      <c r="C23" s="248" t="s">
        <v>275</v>
      </c>
      <c r="D23" s="249"/>
      <c r="E23" s="250">
        <f t="shared" ref="E23:BY23" si="5">SUM(E24:E25)</f>
        <v>0</v>
      </c>
      <c r="F23" s="250">
        <f t="shared" si="5"/>
        <v>0</v>
      </c>
      <c r="G23" s="250">
        <f t="shared" si="5"/>
        <v>0</v>
      </c>
      <c r="H23" s="250">
        <f t="shared" si="5"/>
        <v>0</v>
      </c>
      <c r="I23" s="250">
        <f t="shared" si="5"/>
        <v>-366025</v>
      </c>
      <c r="J23" s="250">
        <f t="shared" si="5"/>
        <v>0</v>
      </c>
      <c r="K23" s="250">
        <f t="shared" si="5"/>
        <v>0</v>
      </c>
      <c r="L23" s="250">
        <f t="shared" si="5"/>
        <v>-15913.92</v>
      </c>
      <c r="M23" s="250">
        <f t="shared" si="5"/>
        <v>0</v>
      </c>
      <c r="N23" s="250">
        <f t="shared" si="5"/>
        <v>0</v>
      </c>
      <c r="O23" s="250">
        <f t="shared" si="5"/>
        <v>0</v>
      </c>
      <c r="P23" s="250">
        <f t="shared" si="5"/>
        <v>0</v>
      </c>
      <c r="Q23" s="250">
        <f t="shared" si="5"/>
        <v>-36051</v>
      </c>
      <c r="R23" s="250">
        <f t="shared" si="5"/>
        <v>-393250</v>
      </c>
      <c r="S23" s="250">
        <f t="shared" si="5"/>
        <v>0</v>
      </c>
      <c r="T23" s="250">
        <f t="shared" si="5"/>
        <v>-497249.5</v>
      </c>
      <c r="U23" s="250">
        <f t="shared" si="5"/>
        <v>0</v>
      </c>
      <c r="V23" s="250">
        <f t="shared" si="5"/>
        <v>0</v>
      </c>
      <c r="W23" s="250">
        <f t="shared" si="5"/>
        <v>0</v>
      </c>
      <c r="X23" s="250">
        <f t="shared" si="5"/>
        <v>0</v>
      </c>
      <c r="Y23" s="250">
        <f t="shared" si="5"/>
        <v>0</v>
      </c>
      <c r="Z23" s="250">
        <f t="shared" si="5"/>
        <v>0</v>
      </c>
      <c r="AA23" s="250">
        <f t="shared" si="5"/>
        <v>0</v>
      </c>
      <c r="AB23" s="250">
        <f t="shared" si="5"/>
        <v>0</v>
      </c>
      <c r="AC23" s="250">
        <f t="shared" si="5"/>
        <v>0</v>
      </c>
      <c r="AD23" s="250">
        <f t="shared" si="5"/>
        <v>0</v>
      </c>
      <c r="AE23" s="250">
        <f t="shared" si="5"/>
        <v>0</v>
      </c>
      <c r="AF23" s="250">
        <f t="shared" si="5"/>
        <v>0</v>
      </c>
      <c r="AG23" s="250">
        <f t="shared" si="5"/>
        <v>0</v>
      </c>
      <c r="AH23" s="250">
        <f t="shared" si="5"/>
        <v>0</v>
      </c>
      <c r="AI23" s="250">
        <f t="shared" si="5"/>
        <v>0</v>
      </c>
      <c r="AJ23" s="250">
        <f t="shared" si="5"/>
        <v>0</v>
      </c>
      <c r="AK23" s="250">
        <f t="shared" si="5"/>
        <v>0</v>
      </c>
      <c r="AL23" s="250">
        <f t="shared" si="5"/>
        <v>0</v>
      </c>
      <c r="AM23" s="250">
        <f t="shared" si="5"/>
        <v>0</v>
      </c>
      <c r="AN23" s="250">
        <f t="shared" si="5"/>
        <v>0</v>
      </c>
      <c r="AO23" s="250">
        <f t="shared" si="5"/>
        <v>0</v>
      </c>
      <c r="AP23" s="250">
        <f t="shared" si="5"/>
        <v>0</v>
      </c>
      <c r="AQ23" s="250">
        <f t="shared" si="5"/>
        <v>0</v>
      </c>
      <c r="AR23" s="250">
        <f t="shared" si="5"/>
        <v>0</v>
      </c>
      <c r="AS23" s="250">
        <f t="shared" si="5"/>
        <v>0</v>
      </c>
      <c r="AT23" s="250">
        <f t="shared" si="5"/>
        <v>0</v>
      </c>
      <c r="AU23" s="250">
        <f t="shared" si="5"/>
        <v>0</v>
      </c>
      <c r="AV23" s="250">
        <f t="shared" si="5"/>
        <v>0</v>
      </c>
      <c r="AW23" s="250">
        <f t="shared" si="5"/>
        <v>0</v>
      </c>
      <c r="AX23" s="250">
        <f t="shared" si="5"/>
        <v>0</v>
      </c>
      <c r="AY23" s="250">
        <f t="shared" si="5"/>
        <v>0</v>
      </c>
      <c r="AZ23" s="250">
        <f t="shared" si="5"/>
        <v>0</v>
      </c>
      <c r="BA23" s="250">
        <f t="shared" si="5"/>
        <v>0</v>
      </c>
      <c r="BB23" s="250">
        <f t="shared" si="5"/>
        <v>0</v>
      </c>
      <c r="BC23" s="250">
        <f t="shared" si="5"/>
        <v>0</v>
      </c>
      <c r="BD23" s="250">
        <f t="shared" si="5"/>
        <v>0</v>
      </c>
      <c r="BE23" s="250">
        <f t="shared" si="5"/>
        <v>0</v>
      </c>
      <c r="BF23" s="250">
        <f t="shared" si="5"/>
        <v>0</v>
      </c>
      <c r="BG23" s="250">
        <f t="shared" si="5"/>
        <v>0</v>
      </c>
      <c r="BH23" s="250">
        <f t="shared" si="5"/>
        <v>0</v>
      </c>
      <c r="BI23" s="250">
        <f t="shared" si="5"/>
        <v>0</v>
      </c>
      <c r="BJ23" s="250">
        <f t="shared" si="5"/>
        <v>0</v>
      </c>
      <c r="BK23" s="250">
        <f t="shared" si="5"/>
        <v>0</v>
      </c>
      <c r="BL23" s="250">
        <f t="shared" si="5"/>
        <v>0</v>
      </c>
      <c r="BM23" s="250">
        <f t="shared" si="5"/>
        <v>0</v>
      </c>
      <c r="BN23" s="250">
        <f t="shared" si="5"/>
        <v>0</v>
      </c>
      <c r="BO23" s="250">
        <f t="shared" si="5"/>
        <v>0</v>
      </c>
      <c r="BP23" s="250">
        <f t="shared" si="5"/>
        <v>0</v>
      </c>
      <c r="BQ23" s="250">
        <f t="shared" si="5"/>
        <v>0</v>
      </c>
      <c r="BR23" s="250">
        <f t="shared" si="5"/>
        <v>0</v>
      </c>
      <c r="BS23" s="250">
        <f t="shared" si="5"/>
        <v>0</v>
      </c>
      <c r="BT23" s="250">
        <f t="shared" si="5"/>
        <v>0</v>
      </c>
      <c r="BU23" s="250">
        <f t="shared" si="5"/>
        <v>0</v>
      </c>
      <c r="BV23" s="250">
        <f t="shared" si="5"/>
        <v>0</v>
      </c>
      <c r="BW23" s="250">
        <f t="shared" si="5"/>
        <v>0</v>
      </c>
      <c r="BX23" s="250">
        <f t="shared" si="5"/>
        <v>0</v>
      </c>
      <c r="BY23" s="251">
        <f t="shared" si="5"/>
        <v>-1308489.42</v>
      </c>
      <c r="BZ23" s="771"/>
      <c r="CA23" s="226"/>
      <c r="CB23" s="252"/>
      <c r="CC23" s="771"/>
      <c r="CD23" s="226"/>
      <c r="CE23" s="226"/>
      <c r="CF23" s="226"/>
      <c r="CG23" s="226">
        <f>BY5</f>
        <v>16365002</v>
      </c>
    </row>
    <row r="24" spans="1:85" ht="16" outlineLevel="1">
      <c r="A24" s="603"/>
      <c r="B24" s="787"/>
      <c r="C24" s="253" t="s">
        <v>276</v>
      </c>
      <c r="D24" s="258" t="s">
        <v>270</v>
      </c>
      <c r="E24" s="259"/>
      <c r="F24" s="259"/>
      <c r="G24" s="259"/>
      <c r="H24" s="260"/>
      <c r="I24" s="260">
        <f>-302500*1.21</f>
        <v>-366025</v>
      </c>
      <c r="J24" s="260"/>
      <c r="K24" s="260"/>
      <c r="L24" s="260">
        <f>-15913.92</f>
        <v>-15913.92</v>
      </c>
      <c r="M24" s="260"/>
      <c r="N24" s="260"/>
      <c r="O24" s="260"/>
      <c r="P24" s="260"/>
      <c r="Q24" s="260">
        <f>-36051</f>
        <v>-36051</v>
      </c>
      <c r="R24" s="260">
        <f>-Businessplan_prodej!$F$21*0.5*1.21</f>
        <v>-393250</v>
      </c>
      <c r="S24" s="260"/>
      <c r="T24" s="260">
        <f>-Businessplan_prodej!$F$21*0.5*1.21</f>
        <v>-393250</v>
      </c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61">
        <f t="shared" ref="BY24:BY25" si="6">SUM(E24:BX24)</f>
        <v>-1204489.92</v>
      </c>
      <c r="BZ24" s="771"/>
      <c r="CA24" s="226"/>
      <c r="CB24" s="252"/>
      <c r="CC24" s="771"/>
      <c r="CD24" s="226"/>
      <c r="CE24" s="226"/>
      <c r="CF24" s="226"/>
      <c r="CG24" s="242">
        <f>0.11</f>
        <v>0.11</v>
      </c>
    </row>
    <row r="25" spans="1:85" ht="16" outlineLevel="1">
      <c r="A25" s="603"/>
      <c r="B25" s="787"/>
      <c r="C25" s="253" t="s">
        <v>277</v>
      </c>
      <c r="D25" s="258" t="s">
        <v>270</v>
      </c>
      <c r="E25" s="259"/>
      <c r="F25" s="259"/>
      <c r="G25" s="259"/>
      <c r="H25" s="260"/>
      <c r="I25" s="260"/>
      <c r="J25" s="260"/>
      <c r="K25" s="260"/>
      <c r="L25" s="260"/>
      <c r="M25" s="260"/>
      <c r="N25" s="260"/>
      <c r="O25" s="260"/>
      <c r="P25" s="260"/>
      <c r="Q25" s="260"/>
      <c r="R25" s="260"/>
      <c r="S25" s="260"/>
      <c r="T25" s="260">
        <f>-Businessplan_prodej!$F$22*1.21</f>
        <v>-103999.5</v>
      </c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1">
        <f t="shared" si="6"/>
        <v>-103999.5</v>
      </c>
      <c r="BZ25" s="771"/>
      <c r="CA25" s="226"/>
      <c r="CB25" s="252"/>
      <c r="CC25" s="771"/>
      <c r="CD25" s="226"/>
      <c r="CE25" s="226"/>
      <c r="CF25" s="226"/>
      <c r="CG25" s="262">
        <v>45590</v>
      </c>
    </row>
    <row r="26" spans="1:85" ht="16">
      <c r="A26" s="603"/>
      <c r="B26" s="787"/>
      <c r="C26" s="248" t="s">
        <v>278</v>
      </c>
      <c r="D26" s="249"/>
      <c r="E26" s="250">
        <f t="shared" ref="E26:BX26" si="7">SUM(E27:E33)</f>
        <v>0</v>
      </c>
      <c r="F26" s="250">
        <f t="shared" si="7"/>
        <v>0</v>
      </c>
      <c r="G26" s="250">
        <f t="shared" si="7"/>
        <v>0</v>
      </c>
      <c r="H26" s="250">
        <f t="shared" si="7"/>
        <v>-2420</v>
      </c>
      <c r="I26" s="250">
        <f t="shared" si="7"/>
        <v>-1081909</v>
      </c>
      <c r="J26" s="250">
        <f t="shared" si="7"/>
        <v>0</v>
      </c>
      <c r="K26" s="250">
        <f t="shared" si="7"/>
        <v>0</v>
      </c>
      <c r="L26" s="250">
        <f t="shared" si="7"/>
        <v>-4688041</v>
      </c>
      <c r="M26" s="250">
        <f t="shared" si="7"/>
        <v>-10044501.530000001</v>
      </c>
      <c r="N26" s="250">
        <f t="shared" si="7"/>
        <v>-19919080.57</v>
      </c>
      <c r="O26" s="250">
        <f t="shared" si="7"/>
        <v>-9000862.4199999999</v>
      </c>
      <c r="P26" s="250">
        <f t="shared" si="7"/>
        <v>-12065344.113</v>
      </c>
      <c r="Q26" s="250">
        <f t="shared" si="7"/>
        <v>-2929659.3669999987</v>
      </c>
      <c r="R26" s="250">
        <f t="shared" si="7"/>
        <v>-1500000</v>
      </c>
      <c r="S26" s="250">
        <f t="shared" si="7"/>
        <v>0</v>
      </c>
      <c r="T26" s="250">
        <f t="shared" si="7"/>
        <v>0</v>
      </c>
      <c r="U26" s="250">
        <f t="shared" si="7"/>
        <v>-6011638</v>
      </c>
      <c r="V26" s="250">
        <f t="shared" si="7"/>
        <v>-5143138</v>
      </c>
      <c r="W26" s="250">
        <f t="shared" si="7"/>
        <v>-5143138</v>
      </c>
      <c r="X26" s="250">
        <f t="shared" si="7"/>
        <v>-5143138</v>
      </c>
      <c r="Y26" s="250">
        <f t="shared" si="7"/>
        <v>-5143138</v>
      </c>
      <c r="Z26" s="250">
        <f t="shared" si="7"/>
        <v>0</v>
      </c>
      <c r="AA26" s="250">
        <f t="shared" si="7"/>
        <v>0</v>
      </c>
      <c r="AB26" s="250">
        <f t="shared" si="7"/>
        <v>0</v>
      </c>
      <c r="AC26" s="250">
        <f t="shared" si="7"/>
        <v>0</v>
      </c>
      <c r="AD26" s="250">
        <f t="shared" si="7"/>
        <v>0</v>
      </c>
      <c r="AE26" s="250">
        <f t="shared" si="7"/>
        <v>0</v>
      </c>
      <c r="AF26" s="250">
        <f t="shared" si="7"/>
        <v>0</v>
      </c>
      <c r="AG26" s="250">
        <f t="shared" si="7"/>
        <v>0</v>
      </c>
      <c r="AH26" s="250">
        <f t="shared" si="7"/>
        <v>0</v>
      </c>
      <c r="AI26" s="250">
        <f t="shared" si="7"/>
        <v>0</v>
      </c>
      <c r="AJ26" s="250">
        <f t="shared" si="7"/>
        <v>0</v>
      </c>
      <c r="AK26" s="250">
        <f t="shared" si="7"/>
        <v>0</v>
      </c>
      <c r="AL26" s="250">
        <f t="shared" si="7"/>
        <v>0</v>
      </c>
      <c r="AM26" s="250">
        <f t="shared" si="7"/>
        <v>0</v>
      </c>
      <c r="AN26" s="250">
        <f t="shared" si="7"/>
        <v>0</v>
      </c>
      <c r="AO26" s="250">
        <f t="shared" si="7"/>
        <v>0</v>
      </c>
      <c r="AP26" s="250">
        <f t="shared" si="7"/>
        <v>0</v>
      </c>
      <c r="AQ26" s="250">
        <f t="shared" si="7"/>
        <v>0</v>
      </c>
      <c r="AR26" s="250">
        <f t="shared" si="7"/>
        <v>0</v>
      </c>
      <c r="AS26" s="250">
        <f t="shared" si="7"/>
        <v>0</v>
      </c>
      <c r="AT26" s="250">
        <f t="shared" si="7"/>
        <v>0</v>
      </c>
      <c r="AU26" s="250">
        <f t="shared" si="7"/>
        <v>0</v>
      </c>
      <c r="AV26" s="250">
        <f t="shared" si="7"/>
        <v>0</v>
      </c>
      <c r="AW26" s="250">
        <f t="shared" si="7"/>
        <v>0</v>
      </c>
      <c r="AX26" s="250">
        <f t="shared" si="7"/>
        <v>0</v>
      </c>
      <c r="AY26" s="250">
        <f t="shared" si="7"/>
        <v>0</v>
      </c>
      <c r="AZ26" s="250">
        <f t="shared" si="7"/>
        <v>0</v>
      </c>
      <c r="BA26" s="250">
        <f t="shared" si="7"/>
        <v>0</v>
      </c>
      <c r="BB26" s="250">
        <f t="shared" si="7"/>
        <v>0</v>
      </c>
      <c r="BC26" s="250">
        <f t="shared" si="7"/>
        <v>0</v>
      </c>
      <c r="BD26" s="250">
        <f t="shared" si="7"/>
        <v>0</v>
      </c>
      <c r="BE26" s="250">
        <f t="shared" si="7"/>
        <v>0</v>
      </c>
      <c r="BF26" s="250">
        <f t="shared" si="7"/>
        <v>0</v>
      </c>
      <c r="BG26" s="250">
        <f t="shared" si="7"/>
        <v>0</v>
      </c>
      <c r="BH26" s="250">
        <f t="shared" si="7"/>
        <v>0</v>
      </c>
      <c r="BI26" s="250">
        <f t="shared" si="7"/>
        <v>0</v>
      </c>
      <c r="BJ26" s="250">
        <f t="shared" si="7"/>
        <v>0</v>
      </c>
      <c r="BK26" s="250">
        <f t="shared" si="7"/>
        <v>0</v>
      </c>
      <c r="BL26" s="250">
        <f t="shared" si="7"/>
        <v>0</v>
      </c>
      <c r="BM26" s="250">
        <f t="shared" si="7"/>
        <v>0</v>
      </c>
      <c r="BN26" s="250">
        <f t="shared" si="7"/>
        <v>0</v>
      </c>
      <c r="BO26" s="250">
        <f t="shared" si="7"/>
        <v>0</v>
      </c>
      <c r="BP26" s="250">
        <f t="shared" si="7"/>
        <v>0</v>
      </c>
      <c r="BQ26" s="250">
        <f t="shared" si="7"/>
        <v>0</v>
      </c>
      <c r="BR26" s="250">
        <f t="shared" si="7"/>
        <v>0</v>
      </c>
      <c r="BS26" s="250">
        <f t="shared" si="7"/>
        <v>0</v>
      </c>
      <c r="BT26" s="250">
        <f t="shared" si="7"/>
        <v>0</v>
      </c>
      <c r="BU26" s="250">
        <f t="shared" si="7"/>
        <v>0</v>
      </c>
      <c r="BV26" s="250">
        <f t="shared" si="7"/>
        <v>0</v>
      </c>
      <c r="BW26" s="250">
        <f t="shared" si="7"/>
        <v>0</v>
      </c>
      <c r="BX26" s="250">
        <f t="shared" si="7"/>
        <v>0</v>
      </c>
      <c r="BY26" s="252">
        <f>SUM(BY27:BY33)</f>
        <v>-87816008</v>
      </c>
      <c r="BZ26" s="771"/>
      <c r="CA26" s="226"/>
      <c r="CB26" s="252"/>
      <c r="CC26" s="771"/>
      <c r="CD26" s="226"/>
      <c r="CE26" s="242"/>
      <c r="CF26" s="226"/>
      <c r="CG26" s="262">
        <v>46142</v>
      </c>
    </row>
    <row r="27" spans="1:85" ht="16" outlineLevel="1">
      <c r="A27" s="603"/>
      <c r="B27" s="787"/>
      <c r="C27" s="253" t="s">
        <v>279</v>
      </c>
      <c r="D27" s="254" t="s">
        <v>270</v>
      </c>
      <c r="E27" s="255"/>
      <c r="F27" s="255"/>
      <c r="G27" s="255"/>
      <c r="H27" s="256"/>
      <c r="I27" s="256"/>
      <c r="J27" s="256"/>
      <c r="K27" s="256"/>
      <c r="L27" s="256">
        <f>-4688041</f>
        <v>-4688041</v>
      </c>
      <c r="M27" s="256">
        <f>-3615000-6429501.53</f>
        <v>-10044501.530000001</v>
      </c>
      <c r="N27" s="256">
        <f>-19909473.57</f>
        <v>-19909473.57</v>
      </c>
      <c r="O27" s="256">
        <f>-8977222.42</f>
        <v>-8977222.4199999999</v>
      </c>
      <c r="P27" s="256">
        <f>-10127350.57*0.9-2929658.6</f>
        <v>-12044274.113</v>
      </c>
      <c r="Q27" s="256">
        <f>-(58593172+SUM($L$27:P27))</f>
        <v>-2929659.3669999987</v>
      </c>
      <c r="R27" s="256">
        <f>-1500000</f>
        <v>-1500000</v>
      </c>
      <c r="S27" s="256"/>
      <c r="T27" s="256"/>
      <c r="U27" s="263">
        <f>-(Businessplan_prodej!$F$31)/5</f>
        <v>-4675580</v>
      </c>
      <c r="V27" s="263">
        <f>-(Businessplan_prodej!$F$31)/5</f>
        <v>-4675580</v>
      </c>
      <c r="W27" s="263">
        <f>-(Businessplan_prodej!$F$31)/5</f>
        <v>-4675580</v>
      </c>
      <c r="X27" s="263">
        <f>-(Businessplan_prodej!$F$31)/5</f>
        <v>-4675580</v>
      </c>
      <c r="Y27" s="263">
        <f>-(Businessplan_prodej!$F$31)/5</f>
        <v>-4675580</v>
      </c>
      <c r="Z27" s="256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64"/>
      <c r="BY27" s="265">
        <f t="shared" ref="BY27:BY33" si="8">SUM(E27:BX27)</f>
        <v>-83471072</v>
      </c>
      <c r="BZ27" s="771"/>
      <c r="CA27" s="226"/>
      <c r="CB27" s="252"/>
      <c r="CC27" s="771"/>
      <c r="CD27" s="226"/>
      <c r="CE27" s="226"/>
      <c r="CF27" s="226"/>
      <c r="CG27" s="226">
        <f>CG26-CG25</f>
        <v>552</v>
      </c>
    </row>
    <row r="28" spans="1:85" ht="16" outlineLevel="1">
      <c r="A28" s="603"/>
      <c r="B28" s="787"/>
      <c r="C28" s="253" t="s">
        <v>280</v>
      </c>
      <c r="D28" s="254" t="s">
        <v>270</v>
      </c>
      <c r="E28" s="255"/>
      <c r="F28" s="255"/>
      <c r="G28" s="255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66">
        <f t="shared" si="8"/>
        <v>0</v>
      </c>
      <c r="BZ28" s="771"/>
      <c r="CA28" s="226"/>
      <c r="CB28" s="252"/>
      <c r="CC28" s="771"/>
      <c r="CD28" s="226"/>
      <c r="CE28" s="226"/>
      <c r="CF28" s="226"/>
      <c r="CG28" s="226"/>
    </row>
    <row r="29" spans="1:85" ht="16" outlineLevel="1">
      <c r="A29" s="603"/>
      <c r="B29" s="787"/>
      <c r="C29" s="253" t="s">
        <v>281</v>
      </c>
      <c r="D29" s="254" t="s">
        <v>270</v>
      </c>
      <c r="E29" s="255"/>
      <c r="F29" s="255"/>
      <c r="G29" s="255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66">
        <f t="shared" si="8"/>
        <v>0</v>
      </c>
      <c r="BZ29" s="771"/>
      <c r="CA29" s="226"/>
      <c r="CB29" s="252"/>
      <c r="CC29" s="771"/>
      <c r="CD29" s="226"/>
      <c r="CE29" s="226"/>
      <c r="CF29" s="226"/>
      <c r="CG29" s="226"/>
    </row>
    <row r="30" spans="1:85" ht="16" outlineLevel="1">
      <c r="A30" s="603"/>
      <c r="B30" s="787"/>
      <c r="C30" s="253" t="s">
        <v>282</v>
      </c>
      <c r="D30" s="254" t="s">
        <v>270</v>
      </c>
      <c r="E30" s="255"/>
      <c r="F30" s="255"/>
      <c r="G30" s="255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6">
        <f>-Businessplan_prodej!$F$37*0.5</f>
        <v>0</v>
      </c>
      <c r="V30" s="256">
        <f>-Businessplan_prodej!$F$37*0.3</f>
        <v>0</v>
      </c>
      <c r="W30" s="256">
        <f>-Businessplan_prodej!$F$37*0.2</f>
        <v>0</v>
      </c>
      <c r="X30" s="256"/>
      <c r="Y30" s="256"/>
      <c r="Z30" s="255"/>
      <c r="AA30" s="255"/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66">
        <f t="shared" si="8"/>
        <v>0</v>
      </c>
      <c r="BZ30" s="771"/>
      <c r="CA30" s="226"/>
      <c r="CB30" s="252"/>
      <c r="CC30" s="771"/>
      <c r="CD30" s="226"/>
      <c r="CE30" s="226"/>
      <c r="CF30" s="226"/>
      <c r="CG30" s="226"/>
    </row>
    <row r="31" spans="1:85" ht="16" outlineLevel="1">
      <c r="A31" s="603"/>
      <c r="B31" s="787"/>
      <c r="C31" s="253" t="s">
        <v>283</v>
      </c>
      <c r="D31" s="254" t="s">
        <v>270</v>
      </c>
      <c r="E31" s="255"/>
      <c r="F31" s="255"/>
      <c r="G31" s="255"/>
      <c r="H31" s="256">
        <f>-2420</f>
        <v>-2420</v>
      </c>
      <c r="I31" s="256"/>
      <c r="J31" s="256"/>
      <c r="K31" s="256"/>
      <c r="L31" s="256"/>
      <c r="M31" s="256"/>
      <c r="N31" s="256">
        <f>-500-9107</f>
        <v>-9607</v>
      </c>
      <c r="O31" s="256">
        <f>-18750-2420-2470</f>
        <v>-23640</v>
      </c>
      <c r="P31" s="256">
        <f>-500-20570</f>
        <v>-21070</v>
      </c>
      <c r="Q31" s="256"/>
      <c r="R31" s="256"/>
      <c r="S31" s="256"/>
      <c r="T31" s="256">
        <f>-Businessplan_prodej!$F$38/6</f>
        <v>0</v>
      </c>
      <c r="U31" s="256">
        <f>-Businessplan_prodej!$F$38/6</f>
        <v>0</v>
      </c>
      <c r="V31" s="256">
        <f>-Businessplan_prodej!$F$38/6</f>
        <v>0</v>
      </c>
      <c r="W31" s="256">
        <f>-Businessplan_prodej!$F$38/6</f>
        <v>0</v>
      </c>
      <c r="X31" s="256">
        <f>-Businessplan_prodej!$F$38/6</f>
        <v>0</v>
      </c>
      <c r="Y31" s="256">
        <f>-Businessplan_prodej!$F$38/6</f>
        <v>0</v>
      </c>
      <c r="Z31" s="256"/>
      <c r="AA31" s="255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66">
        <f t="shared" si="8"/>
        <v>-56737</v>
      </c>
      <c r="BZ31" s="771"/>
      <c r="CA31" s="226"/>
      <c r="CB31" s="252"/>
      <c r="CC31" s="771"/>
      <c r="CD31" s="226"/>
      <c r="CE31" s="226"/>
      <c r="CF31" s="226"/>
      <c r="CG31" s="226"/>
    </row>
    <row r="32" spans="1:85" ht="16" outlineLevel="1">
      <c r="A32" s="603"/>
      <c r="B32" s="787"/>
      <c r="C32" s="267" t="s">
        <v>284</v>
      </c>
      <c r="D32" s="254" t="s">
        <v>270</v>
      </c>
      <c r="E32" s="255"/>
      <c r="F32" s="255"/>
      <c r="G32" s="255"/>
      <c r="H32" s="256"/>
      <c r="I32" s="256">
        <f>-1081909</f>
        <v>-1081909</v>
      </c>
      <c r="J32" s="256"/>
      <c r="K32" s="256"/>
      <c r="L32" s="256"/>
      <c r="M32" s="256"/>
      <c r="N32" s="256"/>
      <c r="O32" s="256"/>
      <c r="P32" s="256"/>
      <c r="Q32" s="256"/>
      <c r="R32" s="256"/>
      <c r="S32" s="256"/>
      <c r="T32" s="256"/>
      <c r="U32" s="256">
        <f>-868500</f>
        <v>-868500</v>
      </c>
      <c r="V32" s="256"/>
      <c r="W32" s="256"/>
      <c r="X32" s="256"/>
      <c r="Y32" s="256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66">
        <f t="shared" si="8"/>
        <v>-1950409</v>
      </c>
      <c r="BZ32" s="771"/>
      <c r="CA32" s="226"/>
      <c r="CB32" s="252"/>
      <c r="CC32" s="771"/>
      <c r="CD32" s="226"/>
      <c r="CE32" s="226"/>
      <c r="CF32" s="226"/>
      <c r="CG32" s="226"/>
    </row>
    <row r="33" spans="1:81" ht="16" outlineLevel="1">
      <c r="A33" s="603"/>
      <c r="B33" s="787"/>
      <c r="C33" s="253" t="s">
        <v>285</v>
      </c>
      <c r="D33" s="258" t="s">
        <v>270</v>
      </c>
      <c r="E33" s="255"/>
      <c r="F33" s="255"/>
      <c r="G33" s="255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63">
        <f>-Businessplan_prodej!$F$41/5</f>
        <v>-467558</v>
      </c>
      <c r="V33" s="263">
        <f>-Businessplan_prodej!$F$41/5</f>
        <v>-467558</v>
      </c>
      <c r="W33" s="263">
        <f>-Businessplan_prodej!$F$41/5</f>
        <v>-467558</v>
      </c>
      <c r="X33" s="263">
        <f>-Businessplan_prodej!$F$41/5</f>
        <v>-467558</v>
      </c>
      <c r="Y33" s="263">
        <f>-Businessplan_prodej!$F$41/5</f>
        <v>-467558</v>
      </c>
      <c r="Z33" s="256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68">
        <f t="shared" si="8"/>
        <v>-2337790</v>
      </c>
      <c r="BZ33" s="771"/>
      <c r="CA33" s="226"/>
      <c r="CB33" s="252"/>
      <c r="CC33" s="771"/>
    </row>
    <row r="34" spans="1:81" ht="16">
      <c r="A34" s="603"/>
      <c r="B34" s="787"/>
      <c r="C34" s="248" t="s">
        <v>286</v>
      </c>
      <c r="D34" s="249"/>
      <c r="E34" s="250">
        <f t="shared" ref="E34:BX34" si="9">SUM(E35:E36)</f>
        <v>0</v>
      </c>
      <c r="F34" s="250">
        <f t="shared" si="9"/>
        <v>0</v>
      </c>
      <c r="G34" s="250">
        <f t="shared" si="9"/>
        <v>0</v>
      </c>
      <c r="H34" s="250">
        <f t="shared" si="9"/>
        <v>0</v>
      </c>
      <c r="I34" s="250">
        <f t="shared" si="9"/>
        <v>0</v>
      </c>
      <c r="J34" s="250">
        <f t="shared" si="9"/>
        <v>0</v>
      </c>
      <c r="K34" s="250">
        <f t="shared" si="9"/>
        <v>0</v>
      </c>
      <c r="L34" s="250">
        <f t="shared" si="9"/>
        <v>0</v>
      </c>
      <c r="M34" s="250">
        <f t="shared" si="9"/>
        <v>0</v>
      </c>
      <c r="N34" s="250">
        <f t="shared" si="9"/>
        <v>0</v>
      </c>
      <c r="O34" s="250">
        <f t="shared" si="9"/>
        <v>0</v>
      </c>
      <c r="P34" s="250">
        <f t="shared" si="9"/>
        <v>0</v>
      </c>
      <c r="Q34" s="250">
        <f t="shared" si="9"/>
        <v>0</v>
      </c>
      <c r="R34" s="250">
        <f t="shared" si="9"/>
        <v>0</v>
      </c>
      <c r="S34" s="250">
        <f t="shared" si="9"/>
        <v>0</v>
      </c>
      <c r="T34" s="250">
        <f t="shared" si="9"/>
        <v>0</v>
      </c>
      <c r="U34" s="250">
        <f t="shared" si="9"/>
        <v>-924420</v>
      </c>
      <c r="V34" s="250">
        <f t="shared" si="9"/>
        <v>-924420</v>
      </c>
      <c r="W34" s="250">
        <f t="shared" si="9"/>
        <v>-924420</v>
      </c>
      <c r="X34" s="250">
        <f t="shared" si="9"/>
        <v>-924420</v>
      </c>
      <c r="Y34" s="250">
        <f t="shared" si="9"/>
        <v>-924420</v>
      </c>
      <c r="Z34" s="250">
        <f t="shared" si="9"/>
        <v>0</v>
      </c>
      <c r="AA34" s="250">
        <f t="shared" si="9"/>
        <v>0</v>
      </c>
      <c r="AB34" s="250">
        <f t="shared" si="9"/>
        <v>0</v>
      </c>
      <c r="AC34" s="250">
        <f t="shared" si="9"/>
        <v>0</v>
      </c>
      <c r="AD34" s="250">
        <f t="shared" si="9"/>
        <v>0</v>
      </c>
      <c r="AE34" s="250">
        <f t="shared" si="9"/>
        <v>0</v>
      </c>
      <c r="AF34" s="250">
        <f t="shared" si="9"/>
        <v>0</v>
      </c>
      <c r="AG34" s="250">
        <f t="shared" si="9"/>
        <v>0</v>
      </c>
      <c r="AH34" s="250">
        <f t="shared" si="9"/>
        <v>0</v>
      </c>
      <c r="AI34" s="250">
        <f t="shared" si="9"/>
        <v>0</v>
      </c>
      <c r="AJ34" s="250">
        <f t="shared" si="9"/>
        <v>0</v>
      </c>
      <c r="AK34" s="250">
        <f t="shared" si="9"/>
        <v>0</v>
      </c>
      <c r="AL34" s="250">
        <f t="shared" si="9"/>
        <v>0</v>
      </c>
      <c r="AM34" s="250">
        <f t="shared" si="9"/>
        <v>0</v>
      </c>
      <c r="AN34" s="250">
        <f t="shared" si="9"/>
        <v>0</v>
      </c>
      <c r="AO34" s="250">
        <f t="shared" si="9"/>
        <v>0</v>
      </c>
      <c r="AP34" s="250">
        <f t="shared" si="9"/>
        <v>0</v>
      </c>
      <c r="AQ34" s="250">
        <f t="shared" si="9"/>
        <v>0</v>
      </c>
      <c r="AR34" s="250">
        <f t="shared" si="9"/>
        <v>0</v>
      </c>
      <c r="AS34" s="250">
        <f t="shared" si="9"/>
        <v>0</v>
      </c>
      <c r="AT34" s="250">
        <f t="shared" si="9"/>
        <v>0</v>
      </c>
      <c r="AU34" s="250">
        <f t="shared" si="9"/>
        <v>0</v>
      </c>
      <c r="AV34" s="250">
        <f t="shared" si="9"/>
        <v>0</v>
      </c>
      <c r="AW34" s="250">
        <f t="shared" si="9"/>
        <v>0</v>
      </c>
      <c r="AX34" s="250">
        <f t="shared" si="9"/>
        <v>0</v>
      </c>
      <c r="AY34" s="250">
        <f t="shared" si="9"/>
        <v>0</v>
      </c>
      <c r="AZ34" s="250">
        <f t="shared" si="9"/>
        <v>0</v>
      </c>
      <c r="BA34" s="250">
        <f t="shared" si="9"/>
        <v>0</v>
      </c>
      <c r="BB34" s="250">
        <f t="shared" si="9"/>
        <v>0</v>
      </c>
      <c r="BC34" s="250">
        <f t="shared" si="9"/>
        <v>0</v>
      </c>
      <c r="BD34" s="250">
        <f t="shared" si="9"/>
        <v>0</v>
      </c>
      <c r="BE34" s="250">
        <f t="shared" si="9"/>
        <v>0</v>
      </c>
      <c r="BF34" s="250">
        <f t="shared" si="9"/>
        <v>0</v>
      </c>
      <c r="BG34" s="250">
        <f t="shared" si="9"/>
        <v>0</v>
      </c>
      <c r="BH34" s="250">
        <f t="shared" si="9"/>
        <v>0</v>
      </c>
      <c r="BI34" s="250">
        <f t="shared" si="9"/>
        <v>0</v>
      </c>
      <c r="BJ34" s="250">
        <f t="shared" si="9"/>
        <v>0</v>
      </c>
      <c r="BK34" s="250">
        <f t="shared" si="9"/>
        <v>0</v>
      </c>
      <c r="BL34" s="250">
        <f t="shared" si="9"/>
        <v>0</v>
      </c>
      <c r="BM34" s="250">
        <f t="shared" si="9"/>
        <v>0</v>
      </c>
      <c r="BN34" s="250">
        <f t="shared" si="9"/>
        <v>0</v>
      </c>
      <c r="BO34" s="250">
        <f t="shared" si="9"/>
        <v>0</v>
      </c>
      <c r="BP34" s="250">
        <f t="shared" si="9"/>
        <v>0</v>
      </c>
      <c r="BQ34" s="250">
        <f t="shared" si="9"/>
        <v>0</v>
      </c>
      <c r="BR34" s="250">
        <f t="shared" si="9"/>
        <v>0</v>
      </c>
      <c r="BS34" s="250">
        <f t="shared" si="9"/>
        <v>0</v>
      </c>
      <c r="BT34" s="250">
        <f t="shared" si="9"/>
        <v>0</v>
      </c>
      <c r="BU34" s="250">
        <f t="shared" si="9"/>
        <v>0</v>
      </c>
      <c r="BV34" s="250">
        <f t="shared" si="9"/>
        <v>0</v>
      </c>
      <c r="BW34" s="250">
        <f t="shared" si="9"/>
        <v>0</v>
      </c>
      <c r="BX34" s="250">
        <f t="shared" si="9"/>
        <v>0</v>
      </c>
      <c r="BY34" s="252">
        <f>SUM(BY35:BY36)</f>
        <v>-4622100</v>
      </c>
      <c r="BZ34" s="771"/>
      <c r="CA34" s="226"/>
      <c r="CB34" s="252"/>
      <c r="CC34" s="771"/>
    </row>
    <row r="35" spans="1:81" ht="16" outlineLevel="1">
      <c r="A35" s="603"/>
      <c r="B35" s="787"/>
      <c r="C35" s="253" t="s">
        <v>287</v>
      </c>
      <c r="D35" s="254" t="s">
        <v>270</v>
      </c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69">
        <f>-Businessplan_prodej!$C$51/5</f>
        <v>-924420</v>
      </c>
      <c r="V35" s="269">
        <f>-Businessplan_prodej!$C$51/5</f>
        <v>-924420</v>
      </c>
      <c r="W35" s="269">
        <f>-Businessplan_prodej!$C$51/5</f>
        <v>-924420</v>
      </c>
      <c r="X35" s="269">
        <f>-Businessplan_prodej!$C$51/5</f>
        <v>-924420</v>
      </c>
      <c r="Y35" s="269">
        <f>-Businessplan_prodej!$C$51/5</f>
        <v>-924420</v>
      </c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64"/>
      <c r="BY35" s="265">
        <f t="shared" ref="BY35:BY36" si="10">SUM(E35:BX35)</f>
        <v>-4622100</v>
      </c>
      <c r="BZ35" s="771"/>
      <c r="CA35" s="226"/>
      <c r="CB35" s="252"/>
      <c r="CC35" s="771"/>
    </row>
    <row r="36" spans="1:81" ht="16" outlineLevel="1">
      <c r="A36" s="603"/>
      <c r="B36" s="787"/>
      <c r="C36" s="253" t="s">
        <v>288</v>
      </c>
      <c r="D36" s="258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70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68">
        <f t="shared" si="10"/>
        <v>0</v>
      </c>
      <c r="BZ36" s="771"/>
      <c r="CA36" s="226"/>
      <c r="CB36" s="252"/>
      <c r="CC36" s="771"/>
    </row>
    <row r="37" spans="1:81" ht="16">
      <c r="A37" s="603"/>
      <c r="B37" s="787"/>
      <c r="C37" s="248" t="s">
        <v>289</v>
      </c>
      <c r="D37" s="249"/>
      <c r="E37" s="250">
        <f t="shared" ref="E37:G37" si="11">SUM(E38:E48)</f>
        <v>0</v>
      </c>
      <c r="F37" s="250">
        <f t="shared" si="11"/>
        <v>0</v>
      </c>
      <c r="G37" s="250">
        <f t="shared" si="11"/>
        <v>0</v>
      </c>
      <c r="H37" s="250">
        <f t="shared" ref="H37:BM37" si="12">SUM(H38:H41,H42,H45,H46:H48)</f>
        <v>-113225.2</v>
      </c>
      <c r="I37" s="250">
        <f t="shared" si="12"/>
        <v>-414970</v>
      </c>
      <c r="J37" s="250">
        <f t="shared" si="12"/>
        <v>-1007845.81</v>
      </c>
      <c r="K37" s="250">
        <f t="shared" si="12"/>
        <v>-901583.60700000008</v>
      </c>
      <c r="L37" s="250">
        <f t="shared" si="12"/>
        <v>-332396.81</v>
      </c>
      <c r="M37" s="250">
        <f t="shared" si="12"/>
        <v>-666968.62</v>
      </c>
      <c r="N37" s="250">
        <f t="shared" si="12"/>
        <v>-25339</v>
      </c>
      <c r="O37" s="250">
        <f t="shared" si="12"/>
        <v>-744252.62</v>
      </c>
      <c r="P37" s="250">
        <f t="shared" si="12"/>
        <v>-417381.81</v>
      </c>
      <c r="Q37" s="250">
        <f t="shared" si="12"/>
        <v>-306298.36900000001</v>
      </c>
      <c r="R37" s="250">
        <f t="shared" si="12"/>
        <v>-749589.32593749999</v>
      </c>
      <c r="S37" s="250">
        <f t="shared" si="12"/>
        <v>-769422.59134999989</v>
      </c>
      <c r="T37" s="250">
        <f t="shared" si="12"/>
        <v>-336561.63093749998</v>
      </c>
      <c r="U37" s="250">
        <f t="shared" si="12"/>
        <v>-307114.7059375</v>
      </c>
      <c r="V37" s="250">
        <f t="shared" si="12"/>
        <v>-307114.7059375</v>
      </c>
      <c r="W37" s="250">
        <f t="shared" si="12"/>
        <v>-307114.7059375</v>
      </c>
      <c r="X37" s="250">
        <f t="shared" si="12"/>
        <v>-307114.7059375</v>
      </c>
      <c r="Y37" s="250">
        <f t="shared" si="12"/>
        <v>-307114.7059375</v>
      </c>
      <c r="Z37" s="250">
        <f t="shared" si="12"/>
        <v>-501792.2704124999</v>
      </c>
      <c r="AA37" s="250">
        <f t="shared" si="12"/>
        <v>-14235</v>
      </c>
      <c r="AB37" s="250">
        <f t="shared" si="12"/>
        <v>-4235</v>
      </c>
      <c r="AC37" s="250">
        <f t="shared" si="12"/>
        <v>-4235</v>
      </c>
      <c r="AD37" s="250">
        <f t="shared" si="12"/>
        <v>-4235</v>
      </c>
      <c r="AE37" s="250">
        <f t="shared" si="12"/>
        <v>-4235</v>
      </c>
      <c r="AF37" s="250">
        <f t="shared" si="12"/>
        <v>-4235</v>
      </c>
      <c r="AG37" s="250">
        <f t="shared" si="12"/>
        <v>0</v>
      </c>
      <c r="AH37" s="250">
        <f t="shared" si="12"/>
        <v>0</v>
      </c>
      <c r="AI37" s="250">
        <f t="shared" si="12"/>
        <v>0</v>
      </c>
      <c r="AJ37" s="250">
        <f t="shared" si="12"/>
        <v>0</v>
      </c>
      <c r="AK37" s="250">
        <f t="shared" si="12"/>
        <v>0</v>
      </c>
      <c r="AL37" s="250">
        <f t="shared" si="12"/>
        <v>0</v>
      </c>
      <c r="AM37" s="250">
        <f t="shared" si="12"/>
        <v>0</v>
      </c>
      <c r="AN37" s="250">
        <f t="shared" si="12"/>
        <v>0</v>
      </c>
      <c r="AO37" s="250">
        <f t="shared" si="12"/>
        <v>0</v>
      </c>
      <c r="AP37" s="250">
        <f t="shared" si="12"/>
        <v>0</v>
      </c>
      <c r="AQ37" s="250">
        <f t="shared" si="12"/>
        <v>0</v>
      </c>
      <c r="AR37" s="250">
        <f t="shared" si="12"/>
        <v>0</v>
      </c>
      <c r="AS37" s="250">
        <f t="shared" si="12"/>
        <v>0</v>
      </c>
      <c r="AT37" s="250">
        <f t="shared" si="12"/>
        <v>0</v>
      </c>
      <c r="AU37" s="250">
        <f t="shared" si="12"/>
        <v>0</v>
      </c>
      <c r="AV37" s="250">
        <f t="shared" si="12"/>
        <v>0</v>
      </c>
      <c r="AW37" s="250">
        <f t="shared" si="12"/>
        <v>0</v>
      </c>
      <c r="AX37" s="250">
        <f t="shared" si="12"/>
        <v>0</v>
      </c>
      <c r="AY37" s="250">
        <f t="shared" si="12"/>
        <v>0</v>
      </c>
      <c r="AZ37" s="250">
        <f t="shared" si="12"/>
        <v>0</v>
      </c>
      <c r="BA37" s="250">
        <f t="shared" si="12"/>
        <v>0</v>
      </c>
      <c r="BB37" s="250">
        <f t="shared" si="12"/>
        <v>0</v>
      </c>
      <c r="BC37" s="250">
        <f t="shared" si="12"/>
        <v>0</v>
      </c>
      <c r="BD37" s="250">
        <f t="shared" si="12"/>
        <v>0</v>
      </c>
      <c r="BE37" s="250">
        <f t="shared" si="12"/>
        <v>0</v>
      </c>
      <c r="BF37" s="250">
        <f t="shared" si="12"/>
        <v>0</v>
      </c>
      <c r="BG37" s="250">
        <f t="shared" si="12"/>
        <v>0</v>
      </c>
      <c r="BH37" s="250">
        <f t="shared" si="12"/>
        <v>0</v>
      </c>
      <c r="BI37" s="250">
        <f t="shared" si="12"/>
        <v>0</v>
      </c>
      <c r="BJ37" s="250">
        <f t="shared" si="12"/>
        <v>0</v>
      </c>
      <c r="BK37" s="250">
        <f t="shared" si="12"/>
        <v>0</v>
      </c>
      <c r="BL37" s="250">
        <f t="shared" si="12"/>
        <v>0</v>
      </c>
      <c r="BM37" s="250">
        <f t="shared" si="12"/>
        <v>0</v>
      </c>
      <c r="BN37" s="250">
        <f t="shared" ref="BN37:BX37" si="13">SUM(BN38:BN48)</f>
        <v>0</v>
      </c>
      <c r="BO37" s="250">
        <f t="shared" si="13"/>
        <v>0</v>
      </c>
      <c r="BP37" s="250">
        <f t="shared" si="13"/>
        <v>0</v>
      </c>
      <c r="BQ37" s="250">
        <f t="shared" si="13"/>
        <v>0</v>
      </c>
      <c r="BR37" s="250">
        <f t="shared" si="13"/>
        <v>0</v>
      </c>
      <c r="BS37" s="250">
        <f t="shared" si="13"/>
        <v>0</v>
      </c>
      <c r="BT37" s="250">
        <f t="shared" si="13"/>
        <v>0</v>
      </c>
      <c r="BU37" s="250">
        <f t="shared" si="13"/>
        <v>0</v>
      </c>
      <c r="BV37" s="250">
        <f t="shared" si="13"/>
        <v>0</v>
      </c>
      <c r="BW37" s="250">
        <f t="shared" si="13"/>
        <v>0</v>
      </c>
      <c r="BX37" s="250">
        <f t="shared" si="13"/>
        <v>0</v>
      </c>
      <c r="BY37" s="252">
        <f>SUM(BY38:BY48)</f>
        <v>-9373130.1943250019</v>
      </c>
      <c r="BZ37" s="771"/>
      <c r="CA37" s="226"/>
      <c r="CB37" s="252"/>
      <c r="CC37" s="771"/>
    </row>
    <row r="38" spans="1:81" ht="16" outlineLevel="1">
      <c r="A38" s="603"/>
      <c r="B38" s="787"/>
      <c r="C38" s="267" t="s">
        <v>216</v>
      </c>
      <c r="D38" s="254" t="s">
        <v>270</v>
      </c>
      <c r="E38" s="259"/>
      <c r="F38" s="259"/>
      <c r="G38" s="259"/>
      <c r="H38" s="260"/>
      <c r="I38" s="260">
        <f>-400000</f>
        <v>-400000</v>
      </c>
      <c r="J38" s="260">
        <f>-661353-(23520+28160+192281+20000)*1.21</f>
        <v>-980745.81</v>
      </c>
      <c r="K38" s="260"/>
      <c r="L38" s="260">
        <f>-(23520+28160+192281+20000)*1.21</f>
        <v>-319392.81</v>
      </c>
      <c r="M38" s="260">
        <f>-(23520+28160+192281+20000)*1.21-(23520+28160+192281+20000)*1.21</f>
        <v>-638785.62</v>
      </c>
      <c r="N38" s="260"/>
      <c r="O38" s="260">
        <f>-(23520+28160+192281+20000)*1.21*2</f>
        <v>-638785.62</v>
      </c>
      <c r="P38" s="260">
        <f>-(23520+28160+192281+20000)*1.21</f>
        <v>-319392.81</v>
      </c>
      <c r="Q38" s="260"/>
      <c r="R38" s="260">
        <f>-Businessplan_prodej!$F$78/8*1.21-(23520+28160+192281+20000)*1.21</f>
        <v>-433918.51593749999</v>
      </c>
      <c r="S38" s="260">
        <f>-Businessplan_prodej!$F$78/8*1.21</f>
        <v>-114525.7059375</v>
      </c>
      <c r="T38" s="260">
        <f>-Businessplan_prodej!$F$78/8*1.21</f>
        <v>-114525.7059375</v>
      </c>
      <c r="U38" s="260">
        <f>-Businessplan_prodej!$F$78/8*1.21</f>
        <v>-114525.7059375</v>
      </c>
      <c r="V38" s="260">
        <f>-Businessplan_prodej!$F$78/8*1.21</f>
        <v>-114525.7059375</v>
      </c>
      <c r="W38" s="260">
        <f>-Businessplan_prodej!$F$78/8*1.21</f>
        <v>-114525.7059375</v>
      </c>
      <c r="X38" s="260">
        <f>-Businessplan_prodej!$F$78/8*1.21</f>
        <v>-114525.7059375</v>
      </c>
      <c r="Y38" s="260">
        <f>-Businessplan_prodej!$F$78/8*1.21</f>
        <v>-114525.7059375</v>
      </c>
      <c r="Z38" s="260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71"/>
      <c r="BY38" s="265">
        <f t="shared" ref="BY38:BY48" si="14">SUM(E38:BX38)</f>
        <v>-4532701.1275000013</v>
      </c>
      <c r="BZ38" s="771"/>
      <c r="CA38" s="226"/>
      <c r="CB38" s="252"/>
      <c r="CC38" s="771"/>
    </row>
    <row r="39" spans="1:81" ht="16" outlineLevel="1">
      <c r="A39" s="603"/>
      <c r="B39" s="787"/>
      <c r="C39" s="267" t="s">
        <v>217</v>
      </c>
      <c r="D39" s="254" t="s">
        <v>270</v>
      </c>
      <c r="E39" s="259"/>
      <c r="F39" s="259"/>
      <c r="G39" s="259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>
        <f>-100000*1.21</f>
        <v>-121000</v>
      </c>
      <c r="S39" s="260">
        <f>-Businessplan_prodej!$F$82/7*1.21</f>
        <v>-158994</v>
      </c>
      <c r="T39" s="260">
        <f>-Businessplan_prodej!$F$82/7*1.21</f>
        <v>-158994</v>
      </c>
      <c r="U39" s="260">
        <f>-Businessplan_prodej!$F$82/7*1.21</f>
        <v>-158994</v>
      </c>
      <c r="V39" s="260">
        <f>-Businessplan_prodej!$F$82/7*1.21</f>
        <v>-158994</v>
      </c>
      <c r="W39" s="260">
        <f>-Businessplan_prodej!$F$82/7*1.21</f>
        <v>-158994</v>
      </c>
      <c r="X39" s="260">
        <f>-Businessplan_prodej!$F$82/7*1.21</f>
        <v>-158994</v>
      </c>
      <c r="Y39" s="260">
        <f>-Businessplan_prodej!$F$82/7*1.21</f>
        <v>-158994</v>
      </c>
      <c r="Z39" s="260"/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66">
        <f t="shared" si="14"/>
        <v>-1233958</v>
      </c>
      <c r="BZ39" s="771"/>
      <c r="CA39" s="226"/>
      <c r="CB39" s="252"/>
      <c r="CC39" s="771"/>
    </row>
    <row r="40" spans="1:81" ht="16" outlineLevel="1">
      <c r="A40" s="603"/>
      <c r="B40" s="787"/>
      <c r="C40" s="267" t="s">
        <v>218</v>
      </c>
      <c r="D40" s="254" t="s">
        <v>270</v>
      </c>
      <c r="E40" s="259"/>
      <c r="F40" s="259"/>
      <c r="G40" s="259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72"/>
      <c r="T40" s="260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66">
        <f t="shared" si="14"/>
        <v>0</v>
      </c>
      <c r="BZ40" s="771"/>
      <c r="CA40" s="226"/>
      <c r="CB40" s="252"/>
      <c r="CC40" s="771"/>
    </row>
    <row r="41" spans="1:81" ht="16" outlineLevel="1">
      <c r="A41" s="603"/>
      <c r="B41" s="787"/>
      <c r="C41" s="267" t="s">
        <v>222</v>
      </c>
      <c r="D41" s="254" t="s">
        <v>270</v>
      </c>
      <c r="E41" s="259"/>
      <c r="F41" s="259"/>
      <c r="G41" s="259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72"/>
      <c r="S41" s="272">
        <f>-Businessplan_prodej!$F$87/9*1.21</f>
        <v>0</v>
      </c>
      <c r="T41" s="272">
        <f>-Businessplan_prodej!$F$87/9*1.21</f>
        <v>0</v>
      </c>
      <c r="U41" s="272">
        <f>-Businessplan_prodej!$F$87/9*1.21</f>
        <v>0</v>
      </c>
      <c r="V41" s="272">
        <f>-Businessplan_prodej!$F$87/9*1.21</f>
        <v>0</v>
      </c>
      <c r="W41" s="272">
        <f>-Businessplan_prodej!$F$87/9*1.21</f>
        <v>0</v>
      </c>
      <c r="X41" s="272">
        <f>-Businessplan_prodej!$F$87/9*1.21</f>
        <v>0</v>
      </c>
      <c r="Y41" s="272">
        <f>-Businessplan_prodej!$F$87/9*1.21</f>
        <v>0</v>
      </c>
      <c r="Z41" s="272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66">
        <f t="shared" si="14"/>
        <v>0</v>
      </c>
      <c r="BZ41" s="771"/>
      <c r="CA41" s="226"/>
      <c r="CB41" s="252"/>
      <c r="CC41" s="771"/>
    </row>
    <row r="42" spans="1:81" ht="16" outlineLevel="1">
      <c r="A42" s="603"/>
      <c r="B42" s="787"/>
      <c r="C42" s="253" t="s">
        <v>223</v>
      </c>
      <c r="D42" s="273" t="s">
        <v>270</v>
      </c>
      <c r="E42" s="274"/>
      <c r="F42" s="275"/>
      <c r="G42" s="275"/>
      <c r="H42" s="275">
        <f t="shared" ref="H42:AA42" si="15">SUM(H43:H44)</f>
        <v>-36364</v>
      </c>
      <c r="I42" s="275">
        <f t="shared" si="15"/>
        <v>-8194</v>
      </c>
      <c r="J42" s="275">
        <f t="shared" si="15"/>
        <v>-27000</v>
      </c>
      <c r="K42" s="275">
        <f t="shared" si="15"/>
        <v>-7113</v>
      </c>
      <c r="L42" s="275">
        <f t="shared" si="15"/>
        <v>-5262</v>
      </c>
      <c r="M42" s="275">
        <f t="shared" si="15"/>
        <v>-3613</v>
      </c>
      <c r="N42" s="275">
        <f t="shared" si="15"/>
        <v>-3999</v>
      </c>
      <c r="O42" s="275">
        <f t="shared" si="15"/>
        <v>-6441</v>
      </c>
      <c r="P42" s="275">
        <f t="shared" si="15"/>
        <v>-8402</v>
      </c>
      <c r="Q42" s="275">
        <f t="shared" si="15"/>
        <v>-8131</v>
      </c>
      <c r="R42" s="275">
        <f t="shared" si="15"/>
        <v>-160000</v>
      </c>
      <c r="S42" s="275">
        <f t="shared" si="15"/>
        <v>-10000</v>
      </c>
      <c r="T42" s="275">
        <f t="shared" si="15"/>
        <v>-10000</v>
      </c>
      <c r="U42" s="275">
        <f t="shared" si="15"/>
        <v>-10000</v>
      </c>
      <c r="V42" s="275">
        <f t="shared" si="15"/>
        <v>-10000</v>
      </c>
      <c r="W42" s="275">
        <f t="shared" si="15"/>
        <v>-10000</v>
      </c>
      <c r="X42" s="275">
        <f t="shared" si="15"/>
        <v>-10000</v>
      </c>
      <c r="Y42" s="275">
        <f t="shared" si="15"/>
        <v>-10000</v>
      </c>
      <c r="Z42" s="275">
        <f t="shared" si="15"/>
        <v>-10000</v>
      </c>
      <c r="AA42" s="275">
        <f t="shared" si="15"/>
        <v>-10000</v>
      </c>
      <c r="AB42" s="275"/>
      <c r="AC42" s="275"/>
      <c r="AD42" s="275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6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64"/>
      <c r="BY42" s="266">
        <f t="shared" si="14"/>
        <v>-364519</v>
      </c>
      <c r="BZ42" s="771"/>
      <c r="CA42" s="226"/>
      <c r="CB42" s="252"/>
      <c r="CC42" s="771"/>
    </row>
    <row r="43" spans="1:81" ht="16" outlineLevel="2">
      <c r="A43" s="603"/>
      <c r="B43" s="787"/>
      <c r="C43" s="277" t="s">
        <v>290</v>
      </c>
      <c r="D43" s="254" t="s">
        <v>270</v>
      </c>
      <c r="E43" s="255"/>
      <c r="F43" s="255"/>
      <c r="G43" s="255"/>
      <c r="H43" s="278">
        <f>-11364</f>
        <v>-11364</v>
      </c>
      <c r="I43" s="278">
        <f>-8194</f>
        <v>-8194</v>
      </c>
      <c r="J43" s="278"/>
      <c r="K43" s="278">
        <f>-3219-3894</f>
        <v>-7113</v>
      </c>
      <c r="L43" s="278">
        <f>-5262</f>
        <v>-5262</v>
      </c>
      <c r="M43" s="278">
        <f>-3613</f>
        <v>-3613</v>
      </c>
      <c r="N43" s="278">
        <f>-3999</f>
        <v>-3999</v>
      </c>
      <c r="O43" s="278">
        <f>-6441</f>
        <v>-6441</v>
      </c>
      <c r="P43" s="278">
        <f>-8402</f>
        <v>-8402</v>
      </c>
      <c r="Q43" s="278">
        <f>-8131</f>
        <v>-8131</v>
      </c>
      <c r="R43" s="278">
        <f>-(Businessplan_prodej!$F$88-3000*25)/11</f>
        <v>-10000</v>
      </c>
      <c r="S43" s="278">
        <f>-(Businessplan_prodej!$F$88-3000*25)/11</f>
        <v>-10000</v>
      </c>
      <c r="T43" s="278">
        <f>-(Businessplan_prodej!$F$88-3000*25)/11</f>
        <v>-10000</v>
      </c>
      <c r="U43" s="278">
        <f>-(Businessplan_prodej!$F$88-3000*25)/11</f>
        <v>-10000</v>
      </c>
      <c r="V43" s="278">
        <f>-(Businessplan_prodej!$F$88-3000*25)/11</f>
        <v>-10000</v>
      </c>
      <c r="W43" s="278">
        <f>-(Businessplan_prodej!$F$88-3000*25)/11</f>
        <v>-10000</v>
      </c>
      <c r="X43" s="278">
        <f>-(Businessplan_prodej!$F$88-3000*25)/11</f>
        <v>-10000</v>
      </c>
      <c r="Y43" s="278">
        <f>-(Businessplan_prodej!$F$88-3000*25)/11</f>
        <v>-10000</v>
      </c>
      <c r="Z43" s="278">
        <f>-(Businessplan_prodej!$F$88-3000*25)/11</f>
        <v>-10000</v>
      </c>
      <c r="AA43" s="278">
        <f>-(Businessplan_prodej!$F$88-3000*25)/11</f>
        <v>-10000</v>
      </c>
      <c r="AB43" s="278">
        <f>-(Businessplan_prodej!$F$88-3000*25)/11</f>
        <v>-10000</v>
      </c>
      <c r="AC43" s="278">
        <f>-(Businessplan_prodej!$F$88-3000*25)/11</f>
        <v>-10000</v>
      </c>
      <c r="AD43" s="278">
        <f>-(Businessplan_prodej!$F$88-3000*25)/11</f>
        <v>-10000</v>
      </c>
      <c r="AE43" s="278">
        <f>-(Businessplan_prodej!$F$88-3000*25)/11</f>
        <v>-10000</v>
      </c>
      <c r="AF43" s="278">
        <f>-(Businessplan_prodej!$F$88-3000*25)/11</f>
        <v>-10000</v>
      </c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66">
        <f t="shared" si="14"/>
        <v>-212519</v>
      </c>
      <c r="BZ43" s="771"/>
      <c r="CA43" s="226"/>
      <c r="CB43" s="252"/>
      <c r="CC43" s="771"/>
    </row>
    <row r="44" spans="1:81" ht="16" outlineLevel="2">
      <c r="A44" s="603"/>
      <c r="B44" s="787"/>
      <c r="C44" s="277" t="s">
        <v>291</v>
      </c>
      <c r="D44" s="254" t="s">
        <v>270</v>
      </c>
      <c r="E44" s="255"/>
      <c r="F44" s="255"/>
      <c r="G44" s="255"/>
      <c r="H44" s="278">
        <f>-25000</f>
        <v>-25000</v>
      </c>
      <c r="I44" s="278"/>
      <c r="J44" s="278">
        <f>-27000</f>
        <v>-27000</v>
      </c>
      <c r="K44" s="278"/>
      <c r="L44" s="278"/>
      <c r="M44" s="278"/>
      <c r="N44" s="278"/>
      <c r="O44" s="278"/>
      <c r="P44" s="278"/>
      <c r="Q44" s="278"/>
      <c r="R44" s="278">
        <f>-3000*25*2</f>
        <v>-150000</v>
      </c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>
        <f>-50000*2</f>
        <v>-100000</v>
      </c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278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66">
        <f t="shared" si="14"/>
        <v>-302000</v>
      </c>
      <c r="BZ44" s="771"/>
      <c r="CA44" s="226"/>
      <c r="CB44" s="252"/>
      <c r="CC44" s="771"/>
    </row>
    <row r="45" spans="1:81" ht="16" outlineLevel="1">
      <c r="A45" s="603"/>
      <c r="B45" s="787"/>
      <c r="C45" s="253" t="s">
        <v>224</v>
      </c>
      <c r="D45" s="254" t="s">
        <v>270</v>
      </c>
      <c r="E45" s="255"/>
      <c r="F45" s="255"/>
      <c r="G45" s="255"/>
      <c r="H45" s="256">
        <f>-1000</f>
        <v>-1000</v>
      </c>
      <c r="I45" s="256"/>
      <c r="J45" s="256">
        <f>-100</f>
        <v>-100</v>
      </c>
      <c r="K45" s="256">
        <f>-7230</f>
        <v>-7230</v>
      </c>
      <c r="L45" s="256">
        <f>-1000-6742</f>
        <v>-7742</v>
      </c>
      <c r="M45" s="256">
        <f>-2000-20570-2000</f>
        <v>-24570</v>
      </c>
      <c r="N45" s="256">
        <f>-19360-1980</f>
        <v>-21340</v>
      </c>
      <c r="O45" s="256">
        <f>-7865-7000-19360-21780-43021</f>
        <v>-99026</v>
      </c>
      <c r="P45" s="256">
        <f>-7230-33957-13068-5082</f>
        <v>-59337</v>
      </c>
      <c r="Q45" s="256">
        <f>-4054</f>
        <v>-4054</v>
      </c>
      <c r="R45" s="256">
        <f t="shared" ref="R45:S45" si="16">-3500*1.21</f>
        <v>-4235</v>
      </c>
      <c r="S45" s="256">
        <f t="shared" si="16"/>
        <v>-4235</v>
      </c>
      <c r="T45" s="256">
        <f t="shared" ref="T45:Y45" si="17">-3500*1.21-19360</f>
        <v>-23595</v>
      </c>
      <c r="U45" s="256">
        <f t="shared" si="17"/>
        <v>-23595</v>
      </c>
      <c r="V45" s="256">
        <f t="shared" si="17"/>
        <v>-23595</v>
      </c>
      <c r="W45" s="256">
        <f t="shared" si="17"/>
        <v>-23595</v>
      </c>
      <c r="X45" s="256">
        <f t="shared" si="17"/>
        <v>-23595</v>
      </c>
      <c r="Y45" s="256">
        <f t="shared" si="17"/>
        <v>-23595</v>
      </c>
      <c r="Z45" s="256">
        <f t="shared" ref="Z45:AF45" si="18">-3500*1.21</f>
        <v>-4235</v>
      </c>
      <c r="AA45" s="256">
        <f t="shared" si="18"/>
        <v>-4235</v>
      </c>
      <c r="AB45" s="256">
        <f t="shared" si="18"/>
        <v>-4235</v>
      </c>
      <c r="AC45" s="256">
        <f t="shared" si="18"/>
        <v>-4235</v>
      </c>
      <c r="AD45" s="256">
        <f t="shared" si="18"/>
        <v>-4235</v>
      </c>
      <c r="AE45" s="256">
        <f t="shared" si="18"/>
        <v>-4235</v>
      </c>
      <c r="AF45" s="256">
        <f t="shared" si="18"/>
        <v>-4235</v>
      </c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66">
        <f t="shared" si="14"/>
        <v>-404084</v>
      </c>
      <c r="BZ45" s="771"/>
      <c r="CA45" s="226"/>
      <c r="CB45" s="252"/>
      <c r="CC45" s="771"/>
    </row>
    <row r="46" spans="1:81" ht="14.25" customHeight="1" outlineLevel="1">
      <c r="A46" s="603"/>
      <c r="B46" s="787"/>
      <c r="C46" s="253" t="s">
        <v>225</v>
      </c>
      <c r="D46" s="254" t="s">
        <v>270</v>
      </c>
      <c r="E46" s="255"/>
      <c r="F46" s="255"/>
      <c r="G46" s="255"/>
      <c r="H46" s="256">
        <f>-10188.2-65673</f>
        <v>-75861.2</v>
      </c>
      <c r="I46" s="256">
        <f>-6776</f>
        <v>-6776</v>
      </c>
      <c r="J46" s="256"/>
      <c r="K46" s="256">
        <f>-4900.5</f>
        <v>-4900.5</v>
      </c>
      <c r="L46" s="256"/>
      <c r="M46" s="256"/>
      <c r="N46" s="256"/>
      <c r="O46" s="256"/>
      <c r="P46" s="256">
        <f>-30250</f>
        <v>-30250</v>
      </c>
      <c r="Q46" s="256"/>
      <c r="R46" s="256">
        <f>-Businessplan_prodej!$F$69*0.3*1.21-$K$46</f>
        <v>-30435.809999999998</v>
      </c>
      <c r="S46" s="256">
        <f>-Businessplan_prodej!$F$69*0.2*1.21</f>
        <v>-23557.54</v>
      </c>
      <c r="T46" s="256">
        <f>-Businessplan_prodej!$F$69*0.25*1.21</f>
        <v>-29446.924999999999</v>
      </c>
      <c r="U46" s="255"/>
      <c r="V46" s="255"/>
      <c r="W46" s="255"/>
      <c r="X46" s="255"/>
      <c r="Y46" s="255"/>
      <c r="Z46" s="256">
        <f>-Businessplan_prodej!$F$69*0.25*1.21</f>
        <v>-29446.924999999999</v>
      </c>
      <c r="AA46" s="255"/>
      <c r="AB46" s="255"/>
      <c r="AC46" s="255"/>
      <c r="AD46" s="255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66">
        <f t="shared" si="14"/>
        <v>-230674.9</v>
      </c>
      <c r="BZ46" s="771"/>
      <c r="CA46" s="226"/>
      <c r="CB46" s="252"/>
      <c r="CC46" s="771"/>
    </row>
    <row r="47" spans="1:81" ht="14.25" customHeight="1" outlineLevel="1">
      <c r="A47" s="603"/>
      <c r="B47" s="787"/>
      <c r="C47" s="253" t="s">
        <v>226</v>
      </c>
      <c r="D47" s="254" t="s">
        <v>270</v>
      </c>
      <c r="E47" s="255"/>
      <c r="F47" s="255"/>
      <c r="G47" s="255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>
        <f>-Businessplan_prodej!$F$91*0.2*1.21</f>
        <v>0</v>
      </c>
      <c r="T47" s="256"/>
      <c r="U47" s="255"/>
      <c r="V47" s="255"/>
      <c r="W47" s="256">
        <f>-Businessplan_prodej!$F$91*0.3*1.21</f>
        <v>0</v>
      </c>
      <c r="X47" s="255"/>
      <c r="Y47" s="256">
        <f>-Businessplan_prodej!$F$91*0.5*1.21</f>
        <v>0</v>
      </c>
      <c r="Z47" s="256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5"/>
      <c r="BS47" s="255"/>
      <c r="BT47" s="255"/>
      <c r="BU47" s="255"/>
      <c r="BV47" s="255"/>
      <c r="BW47" s="255"/>
      <c r="BX47" s="264"/>
      <c r="BY47" s="266">
        <f t="shared" si="14"/>
        <v>0</v>
      </c>
      <c r="BZ47" s="771"/>
      <c r="CA47" s="226"/>
      <c r="CB47" s="252"/>
      <c r="CC47" s="771"/>
    </row>
    <row r="48" spans="1:81" ht="14.25" customHeight="1" outlineLevel="1">
      <c r="A48" s="603"/>
      <c r="B48" s="787"/>
      <c r="C48" s="253" t="s">
        <v>227</v>
      </c>
      <c r="D48" s="258" t="s">
        <v>270</v>
      </c>
      <c r="E48" s="255"/>
      <c r="F48" s="255"/>
      <c r="G48" s="255"/>
      <c r="H48" s="256"/>
      <c r="I48" s="256"/>
      <c r="J48" s="256"/>
      <c r="K48" s="256">
        <f>-((17529*2*25.2+44407*2)*1.21)*75%</f>
        <v>-882340.10700000008</v>
      </c>
      <c r="L48" s="256"/>
      <c r="M48" s="256"/>
      <c r="N48" s="256"/>
      <c r="O48" s="256"/>
      <c r="P48" s="256"/>
      <c r="Q48" s="256">
        <f>-((17529*2*25.2+44407*2)*1.21)*25%</f>
        <v>-294113.36900000001</v>
      </c>
      <c r="R48" s="256"/>
      <c r="S48" s="256">
        <f>-Businessplan_prodej!$F$92*0.5*1.21</f>
        <v>-458110.34541249991</v>
      </c>
      <c r="T48" s="256"/>
      <c r="U48" s="255"/>
      <c r="V48" s="255"/>
      <c r="W48" s="255"/>
      <c r="X48" s="255"/>
      <c r="Y48" s="255"/>
      <c r="Z48" s="256">
        <f>-Businessplan_prodej!$F$92*0.5*1.21</f>
        <v>-458110.34541249991</v>
      </c>
      <c r="AA48" s="255"/>
      <c r="AB48" s="255"/>
      <c r="AC48" s="255"/>
      <c r="AD48" s="255"/>
      <c r="AE48" s="255"/>
      <c r="AF48" s="255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66">
        <f t="shared" si="14"/>
        <v>-2092674.166825</v>
      </c>
      <c r="BZ48" s="771"/>
      <c r="CA48" s="226"/>
      <c r="CB48" s="252"/>
      <c r="CC48" s="771"/>
    </row>
    <row r="49" spans="1:81" ht="16" collapsed="1">
      <c r="A49" s="603"/>
      <c r="B49" s="787"/>
      <c r="C49" s="248" t="s">
        <v>292</v>
      </c>
      <c r="D49" s="249"/>
      <c r="E49" s="250">
        <f t="shared" ref="E49:BX49" si="19">SUM(E50:E54)</f>
        <v>0</v>
      </c>
      <c r="F49" s="250">
        <f t="shared" si="19"/>
        <v>0</v>
      </c>
      <c r="G49" s="250">
        <f t="shared" si="19"/>
        <v>0</v>
      </c>
      <c r="H49" s="250">
        <f t="shared" si="19"/>
        <v>-1442.155</v>
      </c>
      <c r="I49" s="250">
        <f t="shared" si="19"/>
        <v>-4792.1949999999997</v>
      </c>
      <c r="J49" s="250">
        <f t="shared" si="19"/>
        <v>-1444.855</v>
      </c>
      <c r="K49" s="250">
        <f t="shared" si="19"/>
        <v>-1290.27</v>
      </c>
      <c r="L49" s="250">
        <f t="shared" si="19"/>
        <v>-1842.35</v>
      </c>
      <c r="M49" s="250">
        <f t="shared" si="19"/>
        <v>-1088.2900000000002</v>
      </c>
      <c r="N49" s="250">
        <f t="shared" si="19"/>
        <v>-1844.5900000000001</v>
      </c>
      <c r="O49" s="250">
        <f t="shared" si="19"/>
        <v>-3360</v>
      </c>
      <c r="P49" s="250">
        <f t="shared" si="19"/>
        <v>-11871.31</v>
      </c>
      <c r="Q49" s="250">
        <f t="shared" si="19"/>
        <v>-1369.95</v>
      </c>
      <c r="R49" s="250">
        <f t="shared" si="19"/>
        <v>-1290.27</v>
      </c>
      <c r="S49" s="250">
        <f t="shared" si="19"/>
        <v>-1290.27</v>
      </c>
      <c r="T49" s="250">
        <f t="shared" si="19"/>
        <v>-1290.27</v>
      </c>
      <c r="U49" s="250">
        <f t="shared" si="19"/>
        <v>-41290.269999999997</v>
      </c>
      <c r="V49" s="250">
        <f t="shared" si="19"/>
        <v>-1290.27</v>
      </c>
      <c r="W49" s="250">
        <f t="shared" si="19"/>
        <v>-1290.27</v>
      </c>
      <c r="X49" s="250">
        <f t="shared" si="19"/>
        <v>-1290.27</v>
      </c>
      <c r="Y49" s="250">
        <f t="shared" si="19"/>
        <v>-1290.27</v>
      </c>
      <c r="Z49" s="250">
        <f t="shared" si="19"/>
        <v>-1290.27</v>
      </c>
      <c r="AA49" s="250">
        <f t="shared" si="19"/>
        <v>-41290.269999999997</v>
      </c>
      <c r="AB49" s="250">
        <f t="shared" si="19"/>
        <v>-1290.27</v>
      </c>
      <c r="AC49" s="250">
        <f t="shared" si="19"/>
        <v>-1290.27</v>
      </c>
      <c r="AD49" s="250">
        <f t="shared" si="19"/>
        <v>-1290.27</v>
      </c>
      <c r="AE49" s="250">
        <f t="shared" si="19"/>
        <v>-1290.27</v>
      </c>
      <c r="AF49" s="250">
        <f t="shared" si="19"/>
        <v>-1290.27</v>
      </c>
      <c r="AG49" s="250">
        <f t="shared" si="19"/>
        <v>0</v>
      </c>
      <c r="AH49" s="250">
        <f t="shared" si="19"/>
        <v>0</v>
      </c>
      <c r="AI49" s="250">
        <f t="shared" si="19"/>
        <v>0</v>
      </c>
      <c r="AJ49" s="250">
        <f t="shared" si="19"/>
        <v>0</v>
      </c>
      <c r="AK49" s="250">
        <f t="shared" si="19"/>
        <v>0</v>
      </c>
      <c r="AL49" s="250">
        <f t="shared" si="19"/>
        <v>0</v>
      </c>
      <c r="AM49" s="250">
        <f t="shared" si="19"/>
        <v>0</v>
      </c>
      <c r="AN49" s="250">
        <f t="shared" si="19"/>
        <v>0</v>
      </c>
      <c r="AO49" s="250">
        <f t="shared" si="19"/>
        <v>0</v>
      </c>
      <c r="AP49" s="250">
        <f t="shared" si="19"/>
        <v>0</v>
      </c>
      <c r="AQ49" s="250">
        <f t="shared" si="19"/>
        <v>0</v>
      </c>
      <c r="AR49" s="250">
        <f t="shared" si="19"/>
        <v>0</v>
      </c>
      <c r="AS49" s="250">
        <f t="shared" si="19"/>
        <v>0</v>
      </c>
      <c r="AT49" s="250">
        <f t="shared" si="19"/>
        <v>0</v>
      </c>
      <c r="AU49" s="250">
        <f t="shared" si="19"/>
        <v>0</v>
      </c>
      <c r="AV49" s="250">
        <f t="shared" si="19"/>
        <v>0</v>
      </c>
      <c r="AW49" s="250">
        <f t="shared" si="19"/>
        <v>0</v>
      </c>
      <c r="AX49" s="250">
        <f t="shared" si="19"/>
        <v>0</v>
      </c>
      <c r="AY49" s="250">
        <f t="shared" si="19"/>
        <v>0</v>
      </c>
      <c r="AZ49" s="250">
        <f t="shared" si="19"/>
        <v>0</v>
      </c>
      <c r="BA49" s="250">
        <f t="shared" si="19"/>
        <v>0</v>
      </c>
      <c r="BB49" s="250">
        <f t="shared" si="19"/>
        <v>0</v>
      </c>
      <c r="BC49" s="250">
        <f t="shared" si="19"/>
        <v>0</v>
      </c>
      <c r="BD49" s="250">
        <f t="shared" si="19"/>
        <v>0</v>
      </c>
      <c r="BE49" s="250">
        <f t="shared" si="19"/>
        <v>0</v>
      </c>
      <c r="BF49" s="250">
        <f t="shared" si="19"/>
        <v>0</v>
      </c>
      <c r="BG49" s="250">
        <f t="shared" si="19"/>
        <v>0</v>
      </c>
      <c r="BH49" s="250">
        <f t="shared" si="19"/>
        <v>0</v>
      </c>
      <c r="BI49" s="250">
        <f t="shared" si="19"/>
        <v>0</v>
      </c>
      <c r="BJ49" s="250">
        <f t="shared" si="19"/>
        <v>0</v>
      </c>
      <c r="BK49" s="250">
        <f t="shared" si="19"/>
        <v>0</v>
      </c>
      <c r="BL49" s="250">
        <f t="shared" si="19"/>
        <v>0</v>
      </c>
      <c r="BM49" s="250">
        <f t="shared" si="19"/>
        <v>0</v>
      </c>
      <c r="BN49" s="250">
        <f t="shared" si="19"/>
        <v>0</v>
      </c>
      <c r="BO49" s="250">
        <f t="shared" si="19"/>
        <v>0</v>
      </c>
      <c r="BP49" s="250">
        <f t="shared" si="19"/>
        <v>0</v>
      </c>
      <c r="BQ49" s="250">
        <f t="shared" si="19"/>
        <v>0</v>
      </c>
      <c r="BR49" s="250">
        <f t="shared" si="19"/>
        <v>0</v>
      </c>
      <c r="BS49" s="250">
        <f t="shared" si="19"/>
        <v>0</v>
      </c>
      <c r="BT49" s="250">
        <f t="shared" si="19"/>
        <v>0</v>
      </c>
      <c r="BU49" s="250">
        <f t="shared" si="19"/>
        <v>0</v>
      </c>
      <c r="BV49" s="250">
        <f t="shared" si="19"/>
        <v>0</v>
      </c>
      <c r="BW49" s="250">
        <f t="shared" si="19"/>
        <v>0</v>
      </c>
      <c r="BX49" s="250">
        <f t="shared" si="19"/>
        <v>0</v>
      </c>
      <c r="BY49" s="252">
        <f>SUM(BY50:BY54)</f>
        <v>-129700.01499999998</v>
      </c>
      <c r="BZ49" s="771"/>
      <c r="CA49" s="226"/>
      <c r="CB49" s="252"/>
      <c r="CC49" s="771"/>
    </row>
    <row r="50" spans="1:81" ht="16" hidden="1" outlineLevel="1">
      <c r="A50" s="603"/>
      <c r="B50" s="787"/>
      <c r="C50" s="253" t="s">
        <v>229</v>
      </c>
      <c r="D50" s="254" t="s">
        <v>270</v>
      </c>
      <c r="E50" s="255"/>
      <c r="F50" s="255"/>
      <c r="G50" s="255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64"/>
      <c r="BY50" s="265">
        <f t="shared" ref="BY50:BY54" si="20">SUM(E50:BX50)</f>
        <v>0</v>
      </c>
      <c r="BZ50" s="771"/>
      <c r="CA50" s="226"/>
      <c r="CB50" s="252"/>
      <c r="CC50" s="771"/>
    </row>
    <row r="51" spans="1:81" ht="16" hidden="1" outlineLevel="1">
      <c r="A51" s="603"/>
      <c r="B51" s="787"/>
      <c r="C51" s="253" t="s">
        <v>293</v>
      </c>
      <c r="D51" s="254" t="s">
        <v>270</v>
      </c>
      <c r="E51" s="255"/>
      <c r="F51" s="255"/>
      <c r="G51" s="255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65">
        <f t="shared" si="20"/>
        <v>0</v>
      </c>
      <c r="BZ51" s="771"/>
      <c r="CA51" s="226"/>
      <c r="CB51" s="252"/>
      <c r="CC51" s="771"/>
    </row>
    <row r="52" spans="1:81" ht="16" hidden="1" outlineLevel="1">
      <c r="A52" s="603"/>
      <c r="B52" s="787"/>
      <c r="C52" s="253" t="s">
        <v>294</v>
      </c>
      <c r="D52" s="254" t="s">
        <v>270</v>
      </c>
      <c r="E52" s="255"/>
      <c r="F52" s="255"/>
      <c r="G52" s="255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65">
        <f t="shared" si="20"/>
        <v>0</v>
      </c>
      <c r="BZ52" s="771"/>
      <c r="CA52" s="226"/>
      <c r="CB52" s="252"/>
      <c r="CC52" s="771"/>
    </row>
    <row r="53" spans="1:81" ht="16" hidden="1" outlineLevel="1">
      <c r="A53" s="603"/>
      <c r="B53" s="787"/>
      <c r="C53" s="253" t="s">
        <v>236</v>
      </c>
      <c r="D53" s="254" t="s">
        <v>270</v>
      </c>
      <c r="E53" s="255"/>
      <c r="F53" s="255"/>
      <c r="G53" s="255"/>
      <c r="H53" s="256">
        <f>-3-12-5-200-2-12-400-36-(0.02+0.09+0.21+17.06)*22-15.91*24.5</f>
        <v>-1442.155</v>
      </c>
      <c r="I53" s="256">
        <f>-6-5-200-12-400-24-2-16.19*24.5-17.57*22</f>
        <v>-1432.1949999999999</v>
      </c>
      <c r="J53" s="256">
        <f>-3-32-5-6-200-15-400-2-(0.01+0.08+15.98+0.2)*24.5-(0.02+0.09+0.21+17.1)*22</f>
        <v>-1444.855</v>
      </c>
      <c r="K53" s="256">
        <f>-20-12-3-200-2-400-10-2-10.9*24.5-17.01*22</f>
        <v>-1290.27</v>
      </c>
      <c r="L53" s="256">
        <f>-12-4-6-200-15-400-24-400-15.98*24.5-17.72*22</f>
        <v>-1842.35</v>
      </c>
      <c r="M53" s="256">
        <f>-40-200-15-2-12-400-10-2-400.11-(0.01+0.08+0.2+15.89)*25-(0.03-0.09-17.78-0.22)*22</f>
        <v>-1088.2900000000002</v>
      </c>
      <c r="N53" s="256">
        <f>-9-9-5-200-400-24-3-399.88-15.79*25-18.18*22</f>
        <v>-1844.5900000000001</v>
      </c>
      <c r="O53" s="256"/>
      <c r="P53" s="256">
        <f>-500-5656.91-300-6-25-4-18-44-200-15-400-399.94-500-972.22-2053.74-16.5*23-15.88*25</f>
        <v>-11871.31</v>
      </c>
      <c r="Q53" s="256">
        <f>-300-9-20-9-200-400-8-24-399.95</f>
        <v>-1369.95</v>
      </c>
      <c r="R53" s="256">
        <f t="shared" ref="R53:AF53" si="21">-20-12-3-200-2-400-10-2-10.9*24.5-17.01*22</f>
        <v>-1290.27</v>
      </c>
      <c r="S53" s="256">
        <f t="shared" si="21"/>
        <v>-1290.27</v>
      </c>
      <c r="T53" s="256">
        <f t="shared" si="21"/>
        <v>-1290.27</v>
      </c>
      <c r="U53" s="256">
        <f t="shared" si="21"/>
        <v>-1290.27</v>
      </c>
      <c r="V53" s="256">
        <f t="shared" si="21"/>
        <v>-1290.27</v>
      </c>
      <c r="W53" s="256">
        <f t="shared" si="21"/>
        <v>-1290.27</v>
      </c>
      <c r="X53" s="256">
        <f t="shared" si="21"/>
        <v>-1290.27</v>
      </c>
      <c r="Y53" s="256">
        <f t="shared" si="21"/>
        <v>-1290.27</v>
      </c>
      <c r="Z53" s="256">
        <f t="shared" si="21"/>
        <v>-1290.27</v>
      </c>
      <c r="AA53" s="256">
        <f t="shared" si="21"/>
        <v>-1290.27</v>
      </c>
      <c r="AB53" s="256">
        <f t="shared" si="21"/>
        <v>-1290.27</v>
      </c>
      <c r="AC53" s="256">
        <f t="shared" si="21"/>
        <v>-1290.27</v>
      </c>
      <c r="AD53" s="256">
        <f t="shared" si="21"/>
        <v>-1290.27</v>
      </c>
      <c r="AE53" s="256">
        <f t="shared" si="21"/>
        <v>-1290.27</v>
      </c>
      <c r="AF53" s="256">
        <f t="shared" si="21"/>
        <v>-1290.27</v>
      </c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  <c r="AT53" s="255"/>
      <c r="AU53" s="255"/>
      <c r="AV53" s="255"/>
      <c r="AW53" s="255"/>
      <c r="AX53" s="255"/>
      <c r="AY53" s="255"/>
      <c r="AZ53" s="255"/>
      <c r="BA53" s="255"/>
      <c r="BB53" s="255"/>
      <c r="BC53" s="255"/>
      <c r="BD53" s="255"/>
      <c r="BE53" s="255"/>
      <c r="BF53" s="255"/>
      <c r="BG53" s="255"/>
      <c r="BH53" s="255"/>
      <c r="BI53" s="255"/>
      <c r="BJ53" s="255"/>
      <c r="BK53" s="255"/>
      <c r="BL53" s="255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64"/>
      <c r="BY53" s="266">
        <f t="shared" si="20"/>
        <v>-42980.014999999978</v>
      </c>
      <c r="BZ53" s="771"/>
      <c r="CA53" s="226"/>
      <c r="CB53" s="252"/>
      <c r="CC53" s="771"/>
    </row>
    <row r="54" spans="1:81" ht="16" hidden="1" outlineLevel="1">
      <c r="A54" s="603"/>
      <c r="B54" s="787"/>
      <c r="C54" s="253" t="s">
        <v>237</v>
      </c>
      <c r="D54" s="258" t="s">
        <v>270</v>
      </c>
      <c r="E54" s="259"/>
      <c r="F54" s="259"/>
      <c r="G54" s="255"/>
      <c r="H54" s="256"/>
      <c r="I54" s="256">
        <f>-3360</f>
        <v>-3360</v>
      </c>
      <c r="J54" s="256"/>
      <c r="K54" s="256"/>
      <c r="L54" s="256"/>
      <c r="M54" s="256"/>
      <c r="N54" s="256"/>
      <c r="O54" s="256">
        <f>-3360</f>
        <v>-3360</v>
      </c>
      <c r="P54" s="256"/>
      <c r="Q54" s="256"/>
      <c r="R54" s="256"/>
      <c r="S54" s="256"/>
      <c r="T54" s="256"/>
      <c r="U54" s="269">
        <f>-40000</f>
        <v>-40000</v>
      </c>
      <c r="V54" s="255"/>
      <c r="W54" s="255"/>
      <c r="X54" s="255"/>
      <c r="Y54" s="255"/>
      <c r="Z54" s="255"/>
      <c r="AA54" s="269">
        <f>-40000</f>
        <v>-40000</v>
      </c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55"/>
      <c r="BN54" s="255"/>
      <c r="BO54" s="255"/>
      <c r="BP54" s="255"/>
      <c r="BQ54" s="255"/>
      <c r="BR54" s="255"/>
      <c r="BS54" s="255"/>
      <c r="BT54" s="255"/>
      <c r="BU54" s="255"/>
      <c r="BV54" s="255"/>
      <c r="BW54" s="255"/>
      <c r="BX54" s="264"/>
      <c r="BY54" s="268">
        <f t="shared" si="20"/>
        <v>-86720</v>
      </c>
      <c r="BZ54" s="771"/>
      <c r="CA54" s="226"/>
      <c r="CB54" s="252"/>
      <c r="CC54" s="771"/>
    </row>
    <row r="55" spans="1:81" ht="16">
      <c r="A55" s="603"/>
      <c r="B55" s="787"/>
      <c r="C55" s="248" t="s">
        <v>295</v>
      </c>
      <c r="D55" s="249"/>
      <c r="E55" s="250">
        <f t="shared" ref="E55:BX55" si="22">SUM(E56:E62)</f>
        <v>0</v>
      </c>
      <c r="F55" s="250">
        <f t="shared" si="22"/>
        <v>0</v>
      </c>
      <c r="G55" s="250">
        <f t="shared" si="22"/>
        <v>0</v>
      </c>
      <c r="H55" s="250">
        <f t="shared" si="22"/>
        <v>0</v>
      </c>
      <c r="I55" s="250">
        <f t="shared" si="22"/>
        <v>0</v>
      </c>
      <c r="J55" s="250">
        <f t="shared" si="22"/>
        <v>0</v>
      </c>
      <c r="K55" s="250">
        <f t="shared" si="22"/>
        <v>0</v>
      </c>
      <c r="L55" s="250">
        <f t="shared" si="22"/>
        <v>0</v>
      </c>
      <c r="M55" s="250">
        <f t="shared" si="22"/>
        <v>-48944.520000000004</v>
      </c>
      <c r="N55" s="250">
        <f t="shared" si="22"/>
        <v>-123582.04</v>
      </c>
      <c r="O55" s="250">
        <f t="shared" si="22"/>
        <v>-10395.44</v>
      </c>
      <c r="P55" s="250">
        <f t="shared" si="22"/>
        <v>-394726.13999999996</v>
      </c>
      <c r="Q55" s="250">
        <f t="shared" si="22"/>
        <v>-245545.71499999997</v>
      </c>
      <c r="R55" s="250">
        <f t="shared" si="22"/>
        <v>-208000</v>
      </c>
      <c r="S55" s="250">
        <f t="shared" si="22"/>
        <v>-208000</v>
      </c>
      <c r="T55" s="250">
        <f t="shared" si="22"/>
        <v>-200000</v>
      </c>
      <c r="U55" s="250">
        <f t="shared" si="22"/>
        <v>-209800</v>
      </c>
      <c r="V55" s="250">
        <f t="shared" si="22"/>
        <v>-229400</v>
      </c>
      <c r="W55" s="250">
        <f t="shared" si="22"/>
        <v>-258800</v>
      </c>
      <c r="X55" s="250">
        <f t="shared" si="22"/>
        <v>-288690</v>
      </c>
      <c r="Y55" s="250">
        <f t="shared" si="22"/>
        <v>-319560</v>
      </c>
      <c r="Z55" s="250">
        <f t="shared" si="22"/>
        <v>-319560</v>
      </c>
      <c r="AA55" s="250">
        <f t="shared" si="22"/>
        <v>-319560</v>
      </c>
      <c r="AB55" s="250">
        <f t="shared" si="22"/>
        <v>-319560</v>
      </c>
      <c r="AC55" s="250">
        <f t="shared" si="22"/>
        <v>-319560</v>
      </c>
      <c r="AD55" s="250">
        <f t="shared" si="22"/>
        <v>-319560</v>
      </c>
      <c r="AE55" s="250">
        <f t="shared" si="22"/>
        <v>-319560</v>
      </c>
      <c r="AF55" s="250">
        <f t="shared" si="22"/>
        <v>-5577891.4628493153</v>
      </c>
      <c r="AG55" s="250">
        <f t="shared" si="22"/>
        <v>0</v>
      </c>
      <c r="AH55" s="250">
        <f t="shared" si="22"/>
        <v>0</v>
      </c>
      <c r="AI55" s="250">
        <f t="shared" si="22"/>
        <v>0</v>
      </c>
      <c r="AJ55" s="250">
        <f t="shared" si="22"/>
        <v>0</v>
      </c>
      <c r="AK55" s="250">
        <f t="shared" si="22"/>
        <v>0</v>
      </c>
      <c r="AL55" s="250">
        <f t="shared" si="22"/>
        <v>0</v>
      </c>
      <c r="AM55" s="250">
        <f t="shared" si="22"/>
        <v>0</v>
      </c>
      <c r="AN55" s="250">
        <f t="shared" si="22"/>
        <v>0</v>
      </c>
      <c r="AO55" s="250">
        <f t="shared" si="22"/>
        <v>0</v>
      </c>
      <c r="AP55" s="250">
        <f t="shared" si="22"/>
        <v>0</v>
      </c>
      <c r="AQ55" s="250">
        <f t="shared" si="22"/>
        <v>0</v>
      </c>
      <c r="AR55" s="250">
        <f t="shared" si="22"/>
        <v>0</v>
      </c>
      <c r="AS55" s="250">
        <f t="shared" si="22"/>
        <v>0</v>
      </c>
      <c r="AT55" s="250">
        <f t="shared" si="22"/>
        <v>0</v>
      </c>
      <c r="AU55" s="250">
        <f t="shared" si="22"/>
        <v>0</v>
      </c>
      <c r="AV55" s="250">
        <f t="shared" si="22"/>
        <v>0</v>
      </c>
      <c r="AW55" s="250">
        <f t="shared" si="22"/>
        <v>0</v>
      </c>
      <c r="AX55" s="250">
        <f t="shared" si="22"/>
        <v>0</v>
      </c>
      <c r="AY55" s="250">
        <f t="shared" si="22"/>
        <v>0</v>
      </c>
      <c r="AZ55" s="250">
        <f t="shared" si="22"/>
        <v>0</v>
      </c>
      <c r="BA55" s="250">
        <f t="shared" si="22"/>
        <v>0</v>
      </c>
      <c r="BB55" s="250">
        <f t="shared" si="22"/>
        <v>0</v>
      </c>
      <c r="BC55" s="250">
        <f t="shared" si="22"/>
        <v>0</v>
      </c>
      <c r="BD55" s="250">
        <f t="shared" si="22"/>
        <v>0</v>
      </c>
      <c r="BE55" s="250">
        <f t="shared" si="22"/>
        <v>0</v>
      </c>
      <c r="BF55" s="250">
        <f t="shared" si="22"/>
        <v>0</v>
      </c>
      <c r="BG55" s="250">
        <f t="shared" si="22"/>
        <v>0</v>
      </c>
      <c r="BH55" s="250">
        <f t="shared" si="22"/>
        <v>0</v>
      </c>
      <c r="BI55" s="250">
        <f t="shared" si="22"/>
        <v>0</v>
      </c>
      <c r="BJ55" s="250">
        <f t="shared" si="22"/>
        <v>0</v>
      </c>
      <c r="BK55" s="250">
        <f t="shared" si="22"/>
        <v>0</v>
      </c>
      <c r="BL55" s="250">
        <f t="shared" si="22"/>
        <v>0</v>
      </c>
      <c r="BM55" s="250">
        <f t="shared" si="22"/>
        <v>0</v>
      </c>
      <c r="BN55" s="250">
        <f t="shared" si="22"/>
        <v>0</v>
      </c>
      <c r="BO55" s="250">
        <f t="shared" si="22"/>
        <v>0</v>
      </c>
      <c r="BP55" s="250">
        <f t="shared" si="22"/>
        <v>0</v>
      </c>
      <c r="BQ55" s="250">
        <f t="shared" si="22"/>
        <v>0</v>
      </c>
      <c r="BR55" s="250">
        <f t="shared" si="22"/>
        <v>0</v>
      </c>
      <c r="BS55" s="250">
        <f t="shared" si="22"/>
        <v>0</v>
      </c>
      <c r="BT55" s="250">
        <f t="shared" si="22"/>
        <v>0</v>
      </c>
      <c r="BU55" s="250">
        <f t="shared" si="22"/>
        <v>0</v>
      </c>
      <c r="BV55" s="250">
        <f t="shared" si="22"/>
        <v>0</v>
      </c>
      <c r="BW55" s="250">
        <f t="shared" si="22"/>
        <v>0</v>
      </c>
      <c r="BX55" s="250">
        <f t="shared" si="22"/>
        <v>0</v>
      </c>
      <c r="BY55" s="252">
        <f>SUM(BY56:BY62)</f>
        <v>-10240695.317849316</v>
      </c>
      <c r="BZ55" s="771"/>
      <c r="CA55" s="226"/>
      <c r="CB55" s="252"/>
      <c r="CC55" s="771"/>
    </row>
    <row r="56" spans="1:81" ht="16" outlineLevel="1">
      <c r="A56" s="603"/>
      <c r="B56" s="787"/>
      <c r="C56" s="253" t="s">
        <v>296</v>
      </c>
      <c r="D56" s="279">
        <v>0</v>
      </c>
      <c r="E56" s="255"/>
      <c r="F56" s="255"/>
      <c r="G56" s="255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69">
        <f>-$BY$5*$D$57/365*$CG$27</f>
        <v>-2722418.9628493153</v>
      </c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80">
        <f t="shared" ref="BY56:BY62" si="23">SUM(E56:BX56)</f>
        <v>-2722418.9628493153</v>
      </c>
      <c r="BZ56" s="771"/>
      <c r="CA56" s="226"/>
      <c r="CB56" s="252"/>
      <c r="CC56" s="771"/>
    </row>
    <row r="57" spans="1:81" ht="16" outlineLevel="1">
      <c r="A57" s="603"/>
      <c r="B57" s="787"/>
      <c r="C57" s="253" t="s">
        <v>297</v>
      </c>
      <c r="D57" s="279">
        <v>0.11</v>
      </c>
      <c r="E57" s="255"/>
      <c r="F57" s="255"/>
      <c r="G57" s="255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69">
        <f>-SUM(' Interest Calc Cash-flow Plan v'!E8:E23)-' Interest Calc Cash-flow Plan v'!E23</f>
        <v>-2535912.5</v>
      </c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80">
        <f t="shared" si="23"/>
        <v>-2535912.5</v>
      </c>
      <c r="BZ57" s="771"/>
      <c r="CA57" s="226"/>
      <c r="CB57" s="252"/>
      <c r="CC57" s="771"/>
    </row>
    <row r="58" spans="1:81" ht="16" outlineLevel="1">
      <c r="A58" s="603"/>
      <c r="B58" s="787"/>
      <c r="C58" s="253" t="s">
        <v>298</v>
      </c>
      <c r="D58" s="279">
        <v>0.11</v>
      </c>
      <c r="E58" s="255"/>
      <c r="F58" s="255"/>
      <c r="G58" s="255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80">
        <f t="shared" si="23"/>
        <v>0</v>
      </c>
      <c r="BZ58" s="771"/>
      <c r="CA58" s="226"/>
      <c r="CB58" s="252"/>
      <c r="CC58" s="771"/>
    </row>
    <row r="59" spans="1:81" ht="16" outlineLevel="1">
      <c r="A59" s="603"/>
      <c r="B59" s="787"/>
      <c r="C59" s="253" t="s">
        <v>299</v>
      </c>
      <c r="D59" s="279">
        <v>0.105</v>
      </c>
      <c r="E59" s="255"/>
      <c r="F59" s="255"/>
      <c r="G59" s="255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81">
        <f t="shared" si="23"/>
        <v>0</v>
      </c>
      <c r="BZ59" s="771"/>
      <c r="CA59" s="226"/>
      <c r="CB59" s="252"/>
      <c r="CC59" s="771"/>
    </row>
    <row r="60" spans="1:81" ht="16" outlineLevel="1">
      <c r="A60" s="603"/>
      <c r="B60" s="787"/>
      <c r="C60" s="253" t="s">
        <v>300</v>
      </c>
      <c r="D60" s="279">
        <v>0.15</v>
      </c>
      <c r="E60" s="255"/>
      <c r="F60" s="255"/>
      <c r="G60" s="255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5"/>
      <c r="AL60" s="255"/>
      <c r="AM60" s="255"/>
      <c r="AN60" s="255"/>
      <c r="AO60" s="255"/>
      <c r="AP60" s="255"/>
      <c r="AQ60" s="255"/>
      <c r="AR60" s="255"/>
      <c r="AS60" s="255"/>
      <c r="AT60" s="255"/>
      <c r="AU60" s="255"/>
      <c r="AV60" s="255"/>
      <c r="AW60" s="255"/>
      <c r="AX60" s="255"/>
      <c r="AY60" s="255"/>
      <c r="AZ60" s="255"/>
      <c r="BA60" s="255"/>
      <c r="BB60" s="255"/>
      <c r="BC60" s="255"/>
      <c r="BD60" s="255"/>
      <c r="BE60" s="255"/>
      <c r="BF60" s="255"/>
      <c r="BG60" s="255"/>
      <c r="BH60" s="255"/>
      <c r="BI60" s="255"/>
      <c r="BJ60" s="255"/>
      <c r="BK60" s="255"/>
      <c r="BL60" s="255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82">
        <f t="shared" si="23"/>
        <v>0</v>
      </c>
      <c r="BZ60" s="771"/>
      <c r="CA60" s="226"/>
      <c r="CB60" s="252"/>
      <c r="CC60" s="771"/>
    </row>
    <row r="61" spans="1:81" ht="16" outlineLevel="1">
      <c r="A61" s="603"/>
      <c r="B61" s="787"/>
      <c r="C61" s="253" t="s">
        <v>301</v>
      </c>
      <c r="D61" s="283">
        <v>5.8799999999999998E-2</v>
      </c>
      <c r="E61" s="259"/>
      <c r="F61" s="259"/>
      <c r="G61" s="259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>
        <f>-U10*D61/12</f>
        <v>-9800</v>
      </c>
      <c r="V61" s="260">
        <f t="shared" ref="V61:AF61" si="24">-SUM($U$10:V10)*$D$61/12</f>
        <v>-29400</v>
      </c>
      <c r="W61" s="260">
        <f t="shared" si="24"/>
        <v>-58800</v>
      </c>
      <c r="X61" s="260">
        <f t="shared" si="24"/>
        <v>-88690</v>
      </c>
      <c r="Y61" s="260">
        <f t="shared" si="24"/>
        <v>-119560</v>
      </c>
      <c r="Z61" s="260">
        <f t="shared" si="24"/>
        <v>-119560</v>
      </c>
      <c r="AA61" s="260">
        <f t="shared" si="24"/>
        <v>-119560</v>
      </c>
      <c r="AB61" s="260">
        <f t="shared" si="24"/>
        <v>-119560</v>
      </c>
      <c r="AC61" s="260">
        <f t="shared" si="24"/>
        <v>-119560</v>
      </c>
      <c r="AD61" s="260">
        <f t="shared" si="24"/>
        <v>-119560</v>
      </c>
      <c r="AE61" s="260">
        <f t="shared" si="24"/>
        <v>-119560</v>
      </c>
      <c r="AF61" s="260">
        <f t="shared" si="24"/>
        <v>-119560</v>
      </c>
      <c r="AG61" s="259"/>
      <c r="AH61" s="259"/>
      <c r="AI61" s="259"/>
      <c r="AJ61" s="259"/>
      <c r="AK61" s="259"/>
      <c r="AL61" s="259"/>
      <c r="AM61" s="259"/>
      <c r="AN61" s="259"/>
      <c r="AO61" s="259"/>
      <c r="AP61" s="259"/>
      <c r="AQ61" s="259"/>
      <c r="AR61" s="259"/>
      <c r="AS61" s="259"/>
      <c r="AT61" s="259"/>
      <c r="AU61" s="259"/>
      <c r="AV61" s="259"/>
      <c r="AW61" s="259"/>
      <c r="AX61" s="259"/>
      <c r="AY61" s="259"/>
      <c r="AZ61" s="259"/>
      <c r="BA61" s="259"/>
      <c r="BB61" s="259"/>
      <c r="BC61" s="259"/>
      <c r="BD61" s="259"/>
      <c r="BE61" s="259"/>
      <c r="BF61" s="259"/>
      <c r="BG61" s="259"/>
      <c r="BH61" s="259"/>
      <c r="BI61" s="259"/>
      <c r="BJ61" s="259"/>
      <c r="BK61" s="259"/>
      <c r="BL61" s="255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82">
        <f t="shared" si="23"/>
        <v>-1143170</v>
      </c>
      <c r="BZ61" s="771"/>
      <c r="CA61" s="226"/>
      <c r="CB61" s="252"/>
      <c r="CC61" s="771"/>
    </row>
    <row r="62" spans="1:81" ht="16" outlineLevel="1">
      <c r="A62" s="603"/>
      <c r="B62" s="787"/>
      <c r="C62" s="284" t="s">
        <v>302</v>
      </c>
      <c r="D62" s="285">
        <v>7.0000000000000007E-2</v>
      </c>
      <c r="E62" s="286"/>
      <c r="F62" s="286"/>
      <c r="G62" s="286"/>
      <c r="H62" s="287"/>
      <c r="I62" s="287"/>
      <c r="J62" s="287"/>
      <c r="K62" s="287"/>
      <c r="L62" s="287"/>
      <c r="M62" s="287">
        <f>-500-3013.89-17009.89-28420.74</f>
        <v>-48944.520000000004</v>
      </c>
      <c r="N62" s="287">
        <f>-500-3013.89-9715.85-35542.84-269.74-74539.72</f>
        <v>-123582.04</v>
      </c>
      <c r="O62" s="287">
        <f>-10395.44</f>
        <v>-10395.44</v>
      </c>
      <c r="P62" s="287">
        <f>-36289.12-275.39-112183.53-655.08-28529.87-31795.97-241.3-98293.51-658.05-45740.57-920.44-22573.06-16570.25</f>
        <v>-394726.13999999996</v>
      </c>
      <c r="Q62" s="287">
        <f>-11880.56-500-4442.66-33933.26-257.52-104900.69-702.28-48815.2-982.31-27035.66-1156.555-10939.02</f>
        <v>-245545.71499999997</v>
      </c>
      <c r="R62" s="287">
        <f t="shared" ref="R62:S62" si="25">-208000</f>
        <v>-208000</v>
      </c>
      <c r="S62" s="287">
        <f t="shared" si="25"/>
        <v>-208000</v>
      </c>
      <c r="T62" s="287">
        <f t="shared" ref="T62:AF62" si="26">-200000</f>
        <v>-200000</v>
      </c>
      <c r="U62" s="287">
        <f t="shared" si="26"/>
        <v>-200000</v>
      </c>
      <c r="V62" s="287">
        <f t="shared" si="26"/>
        <v>-200000</v>
      </c>
      <c r="W62" s="287">
        <f t="shared" si="26"/>
        <v>-200000</v>
      </c>
      <c r="X62" s="287">
        <f t="shared" si="26"/>
        <v>-200000</v>
      </c>
      <c r="Y62" s="287">
        <f t="shared" si="26"/>
        <v>-200000</v>
      </c>
      <c r="Z62" s="287">
        <f t="shared" si="26"/>
        <v>-200000</v>
      </c>
      <c r="AA62" s="287">
        <f t="shared" si="26"/>
        <v>-200000</v>
      </c>
      <c r="AB62" s="287">
        <f t="shared" si="26"/>
        <v>-200000</v>
      </c>
      <c r="AC62" s="287">
        <f t="shared" si="26"/>
        <v>-200000</v>
      </c>
      <c r="AD62" s="287">
        <f t="shared" si="26"/>
        <v>-200000</v>
      </c>
      <c r="AE62" s="287">
        <f t="shared" si="26"/>
        <v>-200000</v>
      </c>
      <c r="AF62" s="287">
        <f t="shared" si="26"/>
        <v>-200000</v>
      </c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8"/>
      <c r="BN62" s="288"/>
      <c r="BO62" s="288"/>
      <c r="BP62" s="288"/>
      <c r="BQ62" s="288"/>
      <c r="BR62" s="288"/>
      <c r="BS62" s="288"/>
      <c r="BT62" s="288"/>
      <c r="BU62" s="288"/>
      <c r="BV62" s="288"/>
      <c r="BW62" s="288"/>
      <c r="BX62" s="288"/>
      <c r="BY62" s="289">
        <f t="shared" si="23"/>
        <v>-3839193.855</v>
      </c>
      <c r="BZ62" s="771"/>
      <c r="CA62" s="226"/>
      <c r="CB62" s="252"/>
      <c r="CC62" s="771"/>
    </row>
    <row r="63" spans="1:81" ht="16" collapsed="1">
      <c r="A63" s="603"/>
      <c r="B63" s="787"/>
      <c r="C63" s="248" t="s">
        <v>303</v>
      </c>
      <c r="D63" s="249"/>
      <c r="E63" s="250">
        <f t="shared" ref="E63:BY63" si="27">SUM(E64:E86)</f>
        <v>0</v>
      </c>
      <c r="F63" s="250">
        <f t="shared" si="27"/>
        <v>0</v>
      </c>
      <c r="G63" s="250">
        <f t="shared" si="27"/>
        <v>0</v>
      </c>
      <c r="H63" s="250">
        <f t="shared" si="27"/>
        <v>0</v>
      </c>
      <c r="I63" s="250">
        <f t="shared" si="27"/>
        <v>0</v>
      </c>
      <c r="J63" s="250">
        <f t="shared" si="27"/>
        <v>0</v>
      </c>
      <c r="K63" s="250">
        <f t="shared" si="27"/>
        <v>0</v>
      </c>
      <c r="L63" s="250">
        <f t="shared" si="27"/>
        <v>0</v>
      </c>
      <c r="M63" s="250">
        <f t="shared" si="27"/>
        <v>0</v>
      </c>
      <c r="N63" s="250">
        <f t="shared" si="27"/>
        <v>0</v>
      </c>
      <c r="O63" s="250">
        <f t="shared" si="27"/>
        <v>0</v>
      </c>
      <c r="P63" s="250">
        <f t="shared" si="27"/>
        <v>0</v>
      </c>
      <c r="Q63" s="250">
        <f t="shared" si="27"/>
        <v>0</v>
      </c>
      <c r="R63" s="250">
        <f t="shared" si="27"/>
        <v>-55146.233999999989</v>
      </c>
      <c r="S63" s="250">
        <f t="shared" si="27"/>
        <v>-55146.233999999989</v>
      </c>
      <c r="T63" s="250">
        <f t="shared" si="27"/>
        <v>-55146.233999999989</v>
      </c>
      <c r="U63" s="250">
        <f t="shared" si="27"/>
        <v>-105146.234</v>
      </c>
      <c r="V63" s="250">
        <f t="shared" si="27"/>
        <v>-55146.233999999989</v>
      </c>
      <c r="W63" s="250">
        <f t="shared" si="27"/>
        <v>-55146.233999999989</v>
      </c>
      <c r="X63" s="250">
        <f t="shared" si="27"/>
        <v>-55146.233999999989</v>
      </c>
      <c r="Y63" s="250">
        <f t="shared" si="27"/>
        <v>-55146.233999999989</v>
      </c>
      <c r="Z63" s="250">
        <f t="shared" si="27"/>
        <v>-97718.69249999999</v>
      </c>
      <c r="AA63" s="250">
        <f t="shared" si="27"/>
        <v>-97718.69249999999</v>
      </c>
      <c r="AB63" s="250">
        <f t="shared" si="27"/>
        <v>-97718.69249999999</v>
      </c>
      <c r="AC63" s="250">
        <f t="shared" si="27"/>
        <v>-97718.69249999999</v>
      </c>
      <c r="AD63" s="250">
        <f t="shared" si="27"/>
        <v>-97718.69249999999</v>
      </c>
      <c r="AE63" s="250">
        <f t="shared" si="27"/>
        <v>-97718.69249999999</v>
      </c>
      <c r="AF63" s="250">
        <f t="shared" si="27"/>
        <v>-768858.19642857125</v>
      </c>
      <c r="AG63" s="250">
        <f t="shared" si="27"/>
        <v>0</v>
      </c>
      <c r="AH63" s="250">
        <f t="shared" si="27"/>
        <v>0</v>
      </c>
      <c r="AI63" s="250">
        <f t="shared" si="27"/>
        <v>0</v>
      </c>
      <c r="AJ63" s="250">
        <f t="shared" si="27"/>
        <v>0</v>
      </c>
      <c r="AK63" s="250">
        <f t="shared" si="27"/>
        <v>0</v>
      </c>
      <c r="AL63" s="250">
        <f t="shared" si="27"/>
        <v>0</v>
      </c>
      <c r="AM63" s="250">
        <f t="shared" si="27"/>
        <v>0</v>
      </c>
      <c r="AN63" s="250">
        <f t="shared" si="27"/>
        <v>0</v>
      </c>
      <c r="AO63" s="250">
        <f t="shared" si="27"/>
        <v>0</v>
      </c>
      <c r="AP63" s="250">
        <f t="shared" si="27"/>
        <v>0</v>
      </c>
      <c r="AQ63" s="250">
        <f t="shared" si="27"/>
        <v>0</v>
      </c>
      <c r="AR63" s="250">
        <f t="shared" si="27"/>
        <v>0</v>
      </c>
      <c r="AS63" s="250">
        <f t="shared" si="27"/>
        <v>0</v>
      </c>
      <c r="AT63" s="250">
        <f t="shared" si="27"/>
        <v>0</v>
      </c>
      <c r="AU63" s="250">
        <f t="shared" si="27"/>
        <v>0</v>
      </c>
      <c r="AV63" s="250">
        <f t="shared" si="27"/>
        <v>0</v>
      </c>
      <c r="AW63" s="250">
        <f t="shared" si="27"/>
        <v>0</v>
      </c>
      <c r="AX63" s="250">
        <f t="shared" si="27"/>
        <v>0</v>
      </c>
      <c r="AY63" s="250">
        <f t="shared" si="27"/>
        <v>0</v>
      </c>
      <c r="AZ63" s="250">
        <f t="shared" si="27"/>
        <v>0</v>
      </c>
      <c r="BA63" s="250">
        <f t="shared" si="27"/>
        <v>0</v>
      </c>
      <c r="BB63" s="250">
        <f t="shared" si="27"/>
        <v>0</v>
      </c>
      <c r="BC63" s="250">
        <f t="shared" si="27"/>
        <v>0</v>
      </c>
      <c r="BD63" s="250">
        <f t="shared" si="27"/>
        <v>0</v>
      </c>
      <c r="BE63" s="250">
        <f t="shared" si="27"/>
        <v>0</v>
      </c>
      <c r="BF63" s="250">
        <f t="shared" si="27"/>
        <v>0</v>
      </c>
      <c r="BG63" s="250">
        <f t="shared" si="27"/>
        <v>0</v>
      </c>
      <c r="BH63" s="250">
        <f t="shared" si="27"/>
        <v>0</v>
      </c>
      <c r="BI63" s="250">
        <f t="shared" si="27"/>
        <v>0</v>
      </c>
      <c r="BJ63" s="250">
        <f t="shared" si="27"/>
        <v>0</v>
      </c>
      <c r="BK63" s="250">
        <f t="shared" si="27"/>
        <v>0</v>
      </c>
      <c r="BL63" s="250">
        <f t="shared" si="27"/>
        <v>0</v>
      </c>
      <c r="BM63" s="250">
        <f t="shared" si="27"/>
        <v>0</v>
      </c>
      <c r="BN63" s="250">
        <f t="shared" si="27"/>
        <v>0</v>
      </c>
      <c r="BO63" s="250">
        <f t="shared" si="27"/>
        <v>0</v>
      </c>
      <c r="BP63" s="250">
        <f t="shared" si="27"/>
        <v>0</v>
      </c>
      <c r="BQ63" s="250">
        <f t="shared" si="27"/>
        <v>0</v>
      </c>
      <c r="BR63" s="250">
        <f t="shared" si="27"/>
        <v>0</v>
      </c>
      <c r="BS63" s="250">
        <f t="shared" si="27"/>
        <v>0</v>
      </c>
      <c r="BT63" s="250">
        <f t="shared" si="27"/>
        <v>0</v>
      </c>
      <c r="BU63" s="250">
        <f t="shared" si="27"/>
        <v>0</v>
      </c>
      <c r="BV63" s="250">
        <f t="shared" si="27"/>
        <v>0</v>
      </c>
      <c r="BW63" s="250">
        <f t="shared" si="27"/>
        <v>0</v>
      </c>
      <c r="BX63" s="250">
        <f t="shared" si="27"/>
        <v>0</v>
      </c>
      <c r="BY63" s="251">
        <f t="shared" si="27"/>
        <v>-1846340.2234285711</v>
      </c>
      <c r="BZ63" s="771"/>
      <c r="CA63" s="226"/>
      <c r="CB63" s="252"/>
      <c r="CC63" s="771"/>
    </row>
    <row r="64" spans="1:81" ht="16" hidden="1" outlineLevel="1">
      <c r="A64" s="603"/>
      <c r="B64" s="787"/>
      <c r="C64" s="290" t="s">
        <v>304</v>
      </c>
      <c r="D64" s="254" t="s">
        <v>270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  <c r="AN64" s="256"/>
      <c r="AO64" s="256"/>
      <c r="AP64" s="256"/>
      <c r="AQ64" s="256"/>
      <c r="AR64" s="256"/>
      <c r="AS64" s="256"/>
      <c r="AT64" s="256"/>
      <c r="AU64" s="256"/>
      <c r="AV64" s="256"/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91">
        <f t="shared" ref="BY64:BY86" si="28">SUM(E64:BX64)</f>
        <v>0</v>
      </c>
      <c r="BZ64" s="771"/>
      <c r="CA64" s="226"/>
      <c r="CB64" s="252"/>
      <c r="CC64" s="771"/>
    </row>
    <row r="65" spans="1:81" ht="16" hidden="1" outlineLevel="1">
      <c r="A65" s="603"/>
      <c r="B65" s="787"/>
      <c r="C65" s="292" t="s">
        <v>305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91">
        <f t="shared" si="28"/>
        <v>0</v>
      </c>
      <c r="BZ65" s="771"/>
      <c r="CA65" s="226"/>
      <c r="CB65" s="252"/>
      <c r="CC65" s="771"/>
    </row>
    <row r="66" spans="1:81" ht="16" hidden="1" outlineLevel="1">
      <c r="A66" s="603"/>
      <c r="B66" s="787"/>
      <c r="C66" s="292" t="s">
        <v>306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91">
        <f t="shared" si="28"/>
        <v>0</v>
      </c>
      <c r="BZ66" s="771"/>
      <c r="CA66" s="226"/>
      <c r="CB66" s="252"/>
      <c r="CC66" s="771"/>
    </row>
    <row r="67" spans="1:81" ht="16" hidden="1" outlineLevel="1">
      <c r="A67" s="603"/>
      <c r="B67" s="787"/>
      <c r="C67" s="292" t="s">
        <v>307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91">
        <f t="shared" si="28"/>
        <v>0</v>
      </c>
      <c r="BZ67" s="771"/>
      <c r="CA67" s="226"/>
      <c r="CB67" s="252"/>
      <c r="CC67" s="771"/>
    </row>
    <row r="68" spans="1:81" ht="16" hidden="1" outlineLevel="1">
      <c r="A68" s="603"/>
      <c r="B68" s="787"/>
      <c r="C68" s="292" t="s">
        <v>308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91">
        <f t="shared" si="28"/>
        <v>0</v>
      </c>
      <c r="BZ68" s="771"/>
      <c r="CA68" s="226"/>
      <c r="CB68" s="252"/>
      <c r="CC68" s="771"/>
    </row>
    <row r="69" spans="1:81" ht="16" hidden="1" outlineLevel="1">
      <c r="A69" s="603"/>
      <c r="B69" s="787"/>
      <c r="C69" s="292" t="s">
        <v>309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91">
        <f t="shared" si="28"/>
        <v>0</v>
      </c>
      <c r="BZ69" s="771"/>
      <c r="CA69" s="226"/>
      <c r="CB69" s="252"/>
      <c r="CC69" s="771"/>
    </row>
    <row r="70" spans="1:81" ht="16" hidden="1" outlineLevel="1">
      <c r="A70" s="603"/>
      <c r="B70" s="787"/>
      <c r="C70" s="292" t="s">
        <v>310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91">
        <f t="shared" si="28"/>
        <v>0</v>
      </c>
      <c r="BZ70" s="771"/>
      <c r="CA70" s="226"/>
      <c r="CB70" s="252"/>
      <c r="CC70" s="771"/>
    </row>
    <row r="71" spans="1:81" ht="16" hidden="1" outlineLevel="1">
      <c r="A71" s="603"/>
      <c r="B71" s="787"/>
      <c r="C71" s="292" t="s">
        <v>311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91">
        <f t="shared" si="28"/>
        <v>0</v>
      </c>
      <c r="BZ71" s="771"/>
      <c r="CA71" s="226"/>
      <c r="CB71" s="252"/>
      <c r="CC71" s="771"/>
    </row>
    <row r="72" spans="1:81" ht="16" hidden="1" outlineLevel="1">
      <c r="A72" s="603"/>
      <c r="B72" s="787"/>
      <c r="C72" s="292" t="s">
        <v>312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63">
        <f>-50000</f>
        <v>-50000</v>
      </c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91">
        <f t="shared" si="28"/>
        <v>-50000</v>
      </c>
      <c r="BZ72" s="771"/>
      <c r="CA72" s="226"/>
      <c r="CB72" s="252"/>
      <c r="CC72" s="771"/>
    </row>
    <row r="73" spans="1:81" ht="16" hidden="1" outlineLevel="1">
      <c r="A73" s="603"/>
      <c r="B73" s="787"/>
      <c r="C73" s="292" t="s">
        <v>313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91">
        <f t="shared" si="28"/>
        <v>0</v>
      </c>
      <c r="BZ73" s="771"/>
      <c r="CA73" s="226"/>
      <c r="CB73" s="252"/>
      <c r="CC73" s="771"/>
    </row>
    <row r="74" spans="1:81" ht="16" hidden="1" outlineLevel="1">
      <c r="A74" s="603"/>
      <c r="B74" s="787"/>
      <c r="C74" s="292" t="s">
        <v>314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91">
        <f t="shared" si="28"/>
        <v>0</v>
      </c>
      <c r="BZ74" s="771"/>
      <c r="CA74" s="226"/>
      <c r="CB74" s="252"/>
      <c r="CC74" s="771"/>
    </row>
    <row r="75" spans="1:81" ht="16" hidden="1" outlineLevel="1">
      <c r="A75" s="603"/>
      <c r="B75" s="787"/>
      <c r="C75" s="292" t="s">
        <v>315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91">
        <f t="shared" si="28"/>
        <v>0</v>
      </c>
      <c r="BZ75" s="771"/>
      <c r="CA75" s="226"/>
      <c r="CB75" s="252"/>
      <c r="CC75" s="771"/>
    </row>
    <row r="76" spans="1:81" ht="16" hidden="1" outlineLevel="1">
      <c r="A76" s="603"/>
      <c r="B76" s="787"/>
      <c r="C76" s="292" t="s">
        <v>316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91">
        <f t="shared" si="28"/>
        <v>0</v>
      </c>
      <c r="BZ76" s="771"/>
      <c r="CA76" s="226"/>
      <c r="CB76" s="252"/>
      <c r="CC76" s="771"/>
    </row>
    <row r="77" spans="1:81" ht="16" hidden="1" outlineLevel="1">
      <c r="A77" s="603"/>
      <c r="B77" s="787"/>
      <c r="C77" s="292" t="s">
        <v>317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91">
        <f t="shared" si="28"/>
        <v>0</v>
      </c>
      <c r="BZ77" s="771"/>
      <c r="CA77" s="226"/>
      <c r="CB77" s="252"/>
      <c r="CC77" s="771"/>
    </row>
    <row r="78" spans="1:81" ht="16" hidden="1" outlineLevel="1">
      <c r="A78" s="603"/>
      <c r="B78" s="787"/>
      <c r="C78" s="292" t="s">
        <v>318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91">
        <f t="shared" si="28"/>
        <v>0</v>
      </c>
      <c r="BZ78" s="771"/>
      <c r="CA78" s="226"/>
      <c r="CB78" s="252"/>
      <c r="CC78" s="771"/>
    </row>
    <row r="79" spans="1:81" ht="16" hidden="1" outlineLevel="1">
      <c r="A79" s="603"/>
      <c r="B79" s="787"/>
      <c r="C79" s="292" t="s">
        <v>319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91">
        <f t="shared" si="28"/>
        <v>0</v>
      </c>
      <c r="BZ79" s="771"/>
      <c r="CA79" s="226"/>
      <c r="CB79" s="252"/>
      <c r="CC79" s="771"/>
    </row>
    <row r="80" spans="1:81" ht="16" hidden="1" outlineLevel="1">
      <c r="A80" s="603"/>
      <c r="B80" s="787"/>
      <c r="C80" s="292" t="s">
        <v>320</v>
      </c>
      <c r="D80" s="254" t="s">
        <v>270</v>
      </c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>
        <f>-39*Businessplan_prodej!$J$8*1.21</f>
        <v>-55146.233999999989</v>
      </c>
      <c r="S80" s="256">
        <f>-39*Businessplan_prodej!$J$8*1.21</f>
        <v>-55146.233999999989</v>
      </c>
      <c r="T80" s="256">
        <f>-39*Businessplan_prodej!$J$8*1.21</f>
        <v>-55146.233999999989</v>
      </c>
      <c r="U80" s="256">
        <f>-39*Businessplan_prodej!$J$8*1.21</f>
        <v>-55146.233999999989</v>
      </c>
      <c r="V80" s="256">
        <f>-39*Businessplan_prodej!$J$8*1.21</f>
        <v>-55146.233999999989</v>
      </c>
      <c r="W80" s="256">
        <f>-39*Businessplan_prodej!$J$8*1.21</f>
        <v>-55146.233999999989</v>
      </c>
      <c r="X80" s="256">
        <f>-39*Businessplan_prodej!$J$8*1.21</f>
        <v>-55146.233999999989</v>
      </c>
      <c r="Y80" s="256">
        <f>-39*Businessplan_prodej!$J$8*1.21</f>
        <v>-55146.233999999989</v>
      </c>
      <c r="Z80" s="256">
        <f>-39*Businessplan_prodej!$J$17*1.21</f>
        <v>-97718.69249999999</v>
      </c>
      <c r="AA80" s="256">
        <f>-39*Businessplan_prodej!$J$17*1.21</f>
        <v>-97718.69249999999</v>
      </c>
      <c r="AB80" s="256">
        <f>-39*Businessplan_prodej!$J$17*1.21</f>
        <v>-97718.69249999999</v>
      </c>
      <c r="AC80" s="256">
        <f>-39*Businessplan_prodej!$J$17*1.21</f>
        <v>-97718.69249999999</v>
      </c>
      <c r="AD80" s="256">
        <f>-39*Businessplan_prodej!$J$17*1.21</f>
        <v>-97718.69249999999</v>
      </c>
      <c r="AE80" s="256">
        <f>-39*Businessplan_prodej!$J$17*1.21</f>
        <v>-97718.69249999999</v>
      </c>
      <c r="AF80" s="256">
        <f>-39*Businessplan_prodej!$J$17*1.21</f>
        <v>-97718.69249999999</v>
      </c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  <c r="BX80" s="256"/>
      <c r="BY80" s="291">
        <f t="shared" si="28"/>
        <v>-1125200.7194999999</v>
      </c>
      <c r="BZ80" s="771"/>
      <c r="CA80" s="226"/>
      <c r="CB80" s="252"/>
      <c r="CC80" s="771"/>
    </row>
    <row r="81" spans="1:81" ht="16" hidden="1" outlineLevel="1">
      <c r="A81" s="603"/>
      <c r="B81" s="787"/>
      <c r="C81" s="292" t="s">
        <v>321</v>
      </c>
      <c r="D81" s="254" t="s">
        <v>270</v>
      </c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/>
      <c r="AP81" s="256"/>
      <c r="AQ81" s="256"/>
      <c r="AR81" s="256"/>
      <c r="AS81" s="256"/>
      <c r="AT81" s="256"/>
      <c r="AU81" s="256"/>
      <c r="AV81" s="256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6"/>
      <c r="BR81" s="256"/>
      <c r="BS81" s="256"/>
      <c r="BT81" s="256"/>
      <c r="BU81" s="256"/>
      <c r="BV81" s="256"/>
      <c r="BW81" s="256"/>
      <c r="BX81" s="256"/>
      <c r="BY81" s="291">
        <f t="shared" si="28"/>
        <v>0</v>
      </c>
      <c r="BZ81" s="771"/>
      <c r="CA81" s="226"/>
      <c r="CB81" s="252"/>
      <c r="CC81" s="771"/>
    </row>
    <row r="82" spans="1:81" ht="16" hidden="1" outlineLevel="1">
      <c r="A82" s="603"/>
      <c r="B82" s="787"/>
      <c r="C82" s="293" t="s">
        <v>224</v>
      </c>
      <c r="D82" s="254" t="s">
        <v>270</v>
      </c>
      <c r="E82" s="256"/>
      <c r="F82" s="255"/>
      <c r="G82" s="255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91">
        <f t="shared" si="28"/>
        <v>0</v>
      </c>
      <c r="BZ82" s="771"/>
      <c r="CA82" s="226"/>
      <c r="CB82" s="252"/>
      <c r="CC82" s="771"/>
    </row>
    <row r="83" spans="1:81" ht="16" hidden="1" outlineLevel="1">
      <c r="A83" s="603"/>
      <c r="B83" s="787"/>
      <c r="C83" s="292" t="s">
        <v>225</v>
      </c>
      <c r="D83" s="254" t="s">
        <v>270</v>
      </c>
      <c r="E83" s="256"/>
      <c r="F83" s="255"/>
      <c r="G83" s="255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5"/>
      <c r="V83" s="255"/>
      <c r="W83" s="255"/>
      <c r="X83" s="255"/>
      <c r="Y83" s="255"/>
      <c r="Z83" s="255"/>
      <c r="AA83" s="255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91">
        <f t="shared" si="28"/>
        <v>0</v>
      </c>
      <c r="BZ83" s="771"/>
      <c r="CA83" s="226"/>
      <c r="CB83" s="252"/>
      <c r="CC83" s="771"/>
    </row>
    <row r="84" spans="1:81" ht="16" hidden="1" outlineLevel="1">
      <c r="A84" s="603"/>
      <c r="B84" s="787"/>
      <c r="C84" s="292" t="s">
        <v>236</v>
      </c>
      <c r="D84" s="254" t="s">
        <v>270</v>
      </c>
      <c r="E84" s="256"/>
      <c r="F84" s="255"/>
      <c r="G84" s="255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5"/>
      <c r="V84" s="255"/>
      <c r="W84" s="255"/>
      <c r="X84" s="255"/>
      <c r="Y84" s="255"/>
      <c r="Z84" s="255"/>
      <c r="AA84" s="255"/>
      <c r="AB84" s="255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5"/>
      <c r="BD84" s="255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91">
        <f t="shared" si="28"/>
        <v>0</v>
      </c>
      <c r="BZ84" s="771"/>
      <c r="CA84" s="226"/>
      <c r="CB84" s="252"/>
      <c r="CC84" s="771"/>
    </row>
    <row r="85" spans="1:81" ht="16" hidden="1" outlineLevel="1">
      <c r="A85" s="603"/>
      <c r="B85" s="787"/>
      <c r="C85" s="292" t="s">
        <v>237</v>
      </c>
      <c r="D85" s="254" t="s">
        <v>270</v>
      </c>
      <c r="E85" s="256"/>
      <c r="F85" s="255"/>
      <c r="G85" s="255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P85" s="255"/>
      <c r="AQ85" s="255"/>
      <c r="AR85" s="255"/>
      <c r="AS85" s="255"/>
      <c r="AT85" s="255"/>
      <c r="AU85" s="255"/>
      <c r="AV85" s="255"/>
      <c r="AW85" s="255"/>
      <c r="AX85" s="255"/>
      <c r="AY85" s="255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91">
        <f t="shared" si="28"/>
        <v>0</v>
      </c>
      <c r="BZ85" s="771"/>
      <c r="CA85" s="226"/>
      <c r="CB85" s="252"/>
      <c r="CC85" s="771"/>
    </row>
    <row r="86" spans="1:81" ht="16" hidden="1" outlineLevel="1">
      <c r="A86" s="603"/>
      <c r="B86" s="787"/>
      <c r="C86" s="294" t="s">
        <v>322</v>
      </c>
      <c r="D86" s="258" t="s">
        <v>270</v>
      </c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>
        <f>Businessplan_prodej!$N$21</f>
        <v>-671139.50392857124</v>
      </c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5"/>
      <c r="BQ86" s="295"/>
      <c r="BR86" s="295"/>
      <c r="BS86" s="295"/>
      <c r="BT86" s="295"/>
      <c r="BU86" s="295"/>
      <c r="BV86" s="295"/>
      <c r="BW86" s="295"/>
      <c r="BX86" s="295"/>
      <c r="BY86" s="291">
        <f t="shared" si="28"/>
        <v>-671139.50392857124</v>
      </c>
      <c r="BZ86" s="771"/>
      <c r="CA86" s="226"/>
      <c r="CB86" s="252"/>
      <c r="CC86" s="771"/>
    </row>
    <row r="87" spans="1:81" ht="16" collapsed="1">
      <c r="A87" s="603"/>
      <c r="B87" s="787"/>
      <c r="C87" s="248" t="s">
        <v>323</v>
      </c>
      <c r="D87" s="249"/>
      <c r="E87" s="250">
        <f t="shared" ref="E87:BY87" si="29">SUM(E88:E89)</f>
        <v>0</v>
      </c>
      <c r="F87" s="250">
        <f t="shared" si="29"/>
        <v>0</v>
      </c>
      <c r="G87" s="250">
        <f t="shared" si="29"/>
        <v>0</v>
      </c>
      <c r="H87" s="250">
        <f t="shared" si="29"/>
        <v>0</v>
      </c>
      <c r="I87" s="250">
        <f t="shared" si="29"/>
        <v>0</v>
      </c>
      <c r="J87" s="250">
        <f t="shared" si="29"/>
        <v>0</v>
      </c>
      <c r="K87" s="250">
        <f t="shared" si="29"/>
        <v>0</v>
      </c>
      <c r="L87" s="250">
        <f t="shared" si="29"/>
        <v>0</v>
      </c>
      <c r="M87" s="250">
        <f t="shared" si="29"/>
        <v>0</v>
      </c>
      <c r="N87" s="250">
        <f t="shared" si="29"/>
        <v>0</v>
      </c>
      <c r="O87" s="250">
        <f t="shared" si="29"/>
        <v>0</v>
      </c>
      <c r="P87" s="250">
        <f t="shared" si="29"/>
        <v>0</v>
      </c>
      <c r="Q87" s="250">
        <f t="shared" si="29"/>
        <v>0</v>
      </c>
      <c r="R87" s="250">
        <f t="shared" si="29"/>
        <v>0</v>
      </c>
      <c r="S87" s="250">
        <f t="shared" si="29"/>
        <v>0</v>
      </c>
      <c r="T87" s="250">
        <f t="shared" si="29"/>
        <v>0</v>
      </c>
      <c r="U87" s="250">
        <f t="shared" si="29"/>
        <v>0</v>
      </c>
      <c r="V87" s="250">
        <f t="shared" si="29"/>
        <v>0</v>
      </c>
      <c r="W87" s="250">
        <f t="shared" si="29"/>
        <v>0</v>
      </c>
      <c r="X87" s="250">
        <f t="shared" si="29"/>
        <v>0</v>
      </c>
      <c r="Y87" s="250">
        <f t="shared" si="29"/>
        <v>0</v>
      </c>
      <c r="Z87" s="250">
        <f t="shared" si="29"/>
        <v>0</v>
      </c>
      <c r="AA87" s="250">
        <f t="shared" si="29"/>
        <v>0</v>
      </c>
      <c r="AB87" s="250">
        <f t="shared" si="29"/>
        <v>0</v>
      </c>
      <c r="AC87" s="250">
        <f t="shared" si="29"/>
        <v>0</v>
      </c>
      <c r="AD87" s="250">
        <f t="shared" si="29"/>
        <v>0</v>
      </c>
      <c r="AE87" s="250">
        <f t="shared" si="29"/>
        <v>0</v>
      </c>
      <c r="AF87" s="250">
        <f t="shared" si="29"/>
        <v>0</v>
      </c>
      <c r="AG87" s="250">
        <f t="shared" si="29"/>
        <v>0</v>
      </c>
      <c r="AH87" s="250">
        <f t="shared" si="29"/>
        <v>0</v>
      </c>
      <c r="AI87" s="250">
        <f t="shared" si="29"/>
        <v>0</v>
      </c>
      <c r="AJ87" s="250">
        <f t="shared" si="29"/>
        <v>0</v>
      </c>
      <c r="AK87" s="250">
        <f t="shared" si="29"/>
        <v>0</v>
      </c>
      <c r="AL87" s="250">
        <f t="shared" si="29"/>
        <v>0</v>
      </c>
      <c r="AM87" s="250">
        <f t="shared" si="29"/>
        <v>0</v>
      </c>
      <c r="AN87" s="250">
        <f t="shared" si="29"/>
        <v>0</v>
      </c>
      <c r="AO87" s="250">
        <f t="shared" si="29"/>
        <v>0</v>
      </c>
      <c r="AP87" s="250">
        <f t="shared" si="29"/>
        <v>0</v>
      </c>
      <c r="AQ87" s="250">
        <f t="shared" si="29"/>
        <v>0</v>
      </c>
      <c r="AR87" s="250">
        <f t="shared" si="29"/>
        <v>0</v>
      </c>
      <c r="AS87" s="250">
        <f t="shared" si="29"/>
        <v>0</v>
      </c>
      <c r="AT87" s="250">
        <f t="shared" si="29"/>
        <v>0</v>
      </c>
      <c r="AU87" s="250">
        <f t="shared" si="29"/>
        <v>0</v>
      </c>
      <c r="AV87" s="250">
        <f t="shared" si="29"/>
        <v>0</v>
      </c>
      <c r="AW87" s="250">
        <f t="shared" si="29"/>
        <v>0</v>
      </c>
      <c r="AX87" s="250">
        <f t="shared" si="29"/>
        <v>0</v>
      </c>
      <c r="AY87" s="250">
        <f t="shared" si="29"/>
        <v>0</v>
      </c>
      <c r="AZ87" s="250">
        <f t="shared" si="29"/>
        <v>0</v>
      </c>
      <c r="BA87" s="250">
        <f t="shared" si="29"/>
        <v>0</v>
      </c>
      <c r="BB87" s="250">
        <f t="shared" si="29"/>
        <v>0</v>
      </c>
      <c r="BC87" s="250">
        <f t="shared" si="29"/>
        <v>0</v>
      </c>
      <c r="BD87" s="250">
        <f t="shared" si="29"/>
        <v>0</v>
      </c>
      <c r="BE87" s="250">
        <f t="shared" si="29"/>
        <v>0</v>
      </c>
      <c r="BF87" s="250">
        <f t="shared" si="29"/>
        <v>0</v>
      </c>
      <c r="BG87" s="250">
        <f t="shared" si="29"/>
        <v>0</v>
      </c>
      <c r="BH87" s="250">
        <f t="shared" si="29"/>
        <v>0</v>
      </c>
      <c r="BI87" s="250">
        <f t="shared" si="29"/>
        <v>0</v>
      </c>
      <c r="BJ87" s="250">
        <f t="shared" si="29"/>
        <v>0</v>
      </c>
      <c r="BK87" s="250">
        <f t="shared" si="29"/>
        <v>0</v>
      </c>
      <c r="BL87" s="250">
        <f t="shared" si="29"/>
        <v>0</v>
      </c>
      <c r="BM87" s="250">
        <f t="shared" si="29"/>
        <v>0</v>
      </c>
      <c r="BN87" s="250">
        <f t="shared" si="29"/>
        <v>0</v>
      </c>
      <c r="BO87" s="250">
        <f t="shared" si="29"/>
        <v>0</v>
      </c>
      <c r="BP87" s="250">
        <f t="shared" si="29"/>
        <v>0</v>
      </c>
      <c r="BQ87" s="250">
        <f t="shared" si="29"/>
        <v>0</v>
      </c>
      <c r="BR87" s="250">
        <f t="shared" si="29"/>
        <v>0</v>
      </c>
      <c r="BS87" s="250">
        <f t="shared" si="29"/>
        <v>0</v>
      </c>
      <c r="BT87" s="250">
        <f t="shared" si="29"/>
        <v>0</v>
      </c>
      <c r="BU87" s="250">
        <f t="shared" si="29"/>
        <v>0</v>
      </c>
      <c r="BV87" s="250">
        <f t="shared" si="29"/>
        <v>0</v>
      </c>
      <c r="BW87" s="250">
        <f t="shared" si="29"/>
        <v>0</v>
      </c>
      <c r="BX87" s="250">
        <f t="shared" si="29"/>
        <v>0</v>
      </c>
      <c r="BY87" s="251">
        <f t="shared" si="29"/>
        <v>0</v>
      </c>
      <c r="BZ87" s="771"/>
      <c r="CA87" s="226"/>
      <c r="CB87" s="252"/>
      <c r="CC87" s="771"/>
    </row>
    <row r="88" spans="1:81" ht="16" hidden="1" outlineLevel="1">
      <c r="A88" s="603"/>
      <c r="B88" s="787"/>
      <c r="C88" s="290" t="s">
        <v>324</v>
      </c>
      <c r="D88" s="254" t="s">
        <v>270</v>
      </c>
      <c r="E88" s="260"/>
      <c r="F88" s="260"/>
      <c r="G88" s="260"/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0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60"/>
      <c r="AV88" s="260"/>
      <c r="AW88" s="260"/>
      <c r="AX88" s="260"/>
      <c r="AY88" s="260"/>
      <c r="AZ88" s="260"/>
      <c r="BA88" s="260"/>
      <c r="BB88" s="260"/>
      <c r="BC88" s="260"/>
      <c r="BD88" s="260"/>
      <c r="BE88" s="260"/>
      <c r="BF88" s="260"/>
      <c r="BG88" s="260"/>
      <c r="BH88" s="260"/>
      <c r="BI88" s="260"/>
      <c r="BJ88" s="260"/>
      <c r="BK88" s="260"/>
      <c r="BL88" s="260"/>
      <c r="BM88" s="260"/>
      <c r="BN88" s="260"/>
      <c r="BO88" s="260"/>
      <c r="BP88" s="260"/>
      <c r="BQ88" s="260"/>
      <c r="BR88" s="260"/>
      <c r="BS88" s="260"/>
      <c r="BT88" s="260"/>
      <c r="BU88" s="260"/>
      <c r="BV88" s="260"/>
      <c r="BW88" s="260"/>
      <c r="BX88" s="260"/>
      <c r="BY88" s="296">
        <f t="shared" ref="BY88:BY89" si="30">SUM(E88:BX88)</f>
        <v>0</v>
      </c>
      <c r="BZ88" s="771"/>
      <c r="CA88" s="226"/>
      <c r="CB88" s="252"/>
      <c r="CC88" s="771"/>
    </row>
    <row r="89" spans="1:81" ht="16" hidden="1" outlineLevel="1">
      <c r="A89" s="603"/>
      <c r="B89" s="787"/>
      <c r="C89" s="294" t="s">
        <v>325</v>
      </c>
      <c r="D89" s="258" t="s">
        <v>270</v>
      </c>
      <c r="E89" s="287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97">
        <f t="shared" si="30"/>
        <v>0</v>
      </c>
      <c r="BZ89" s="774"/>
      <c r="CA89" s="226"/>
      <c r="CB89" s="252"/>
      <c r="CC89" s="774"/>
    </row>
    <row r="90" spans="1:81">
      <c r="A90" s="603"/>
      <c r="B90" s="787"/>
      <c r="C90" s="248" t="s">
        <v>326</v>
      </c>
      <c r="D90" s="249"/>
      <c r="E90" s="250">
        <f t="shared" ref="E90:BX90" si="31">SUM(E91:E97)</f>
        <v>0</v>
      </c>
      <c r="F90" s="250">
        <f t="shared" si="31"/>
        <v>0</v>
      </c>
      <c r="G90" s="250">
        <f t="shared" si="31"/>
        <v>0</v>
      </c>
      <c r="H90" s="250">
        <f t="shared" si="31"/>
        <v>0</v>
      </c>
      <c r="I90" s="250">
        <f t="shared" si="31"/>
        <v>0</v>
      </c>
      <c r="J90" s="250">
        <f t="shared" si="31"/>
        <v>0</v>
      </c>
      <c r="K90" s="250">
        <f t="shared" si="31"/>
        <v>0</v>
      </c>
      <c r="L90" s="250">
        <f t="shared" si="31"/>
        <v>0</v>
      </c>
      <c r="M90" s="250">
        <f t="shared" si="31"/>
        <v>0</v>
      </c>
      <c r="N90" s="250">
        <f t="shared" si="31"/>
        <v>0</v>
      </c>
      <c r="O90" s="250">
        <f t="shared" si="31"/>
        <v>0</v>
      </c>
      <c r="P90" s="250">
        <f t="shared" si="31"/>
        <v>0</v>
      </c>
      <c r="Q90" s="250">
        <f t="shared" si="31"/>
        <v>-7000000</v>
      </c>
      <c r="R90" s="250">
        <f t="shared" si="31"/>
        <v>0</v>
      </c>
      <c r="S90" s="250">
        <f t="shared" si="31"/>
        <v>0</v>
      </c>
      <c r="T90" s="250">
        <f t="shared" si="31"/>
        <v>-65000</v>
      </c>
      <c r="U90" s="250">
        <f t="shared" si="31"/>
        <v>-65000</v>
      </c>
      <c r="V90" s="250">
        <f t="shared" si="31"/>
        <v>-65000</v>
      </c>
      <c r="W90" s="250">
        <f t="shared" si="31"/>
        <v>-65000</v>
      </c>
      <c r="X90" s="250">
        <f t="shared" si="31"/>
        <v>-65000</v>
      </c>
      <c r="Y90" s="250">
        <f t="shared" si="31"/>
        <v>-65000</v>
      </c>
      <c r="Z90" s="250">
        <f t="shared" si="31"/>
        <v>-100864.58919042983</v>
      </c>
      <c r="AA90" s="250">
        <f t="shared" si="31"/>
        <v>-100864.58919042983</v>
      </c>
      <c r="AB90" s="250">
        <f t="shared" si="31"/>
        <v>-100864.58919042983</v>
      </c>
      <c r="AC90" s="250">
        <f t="shared" si="31"/>
        <v>-100864.58919042983</v>
      </c>
      <c r="AD90" s="250">
        <f t="shared" si="31"/>
        <v>-100864.58919042983</v>
      </c>
      <c r="AE90" s="250">
        <f t="shared" si="31"/>
        <v>-100864.58919042983</v>
      </c>
      <c r="AF90" s="250">
        <f t="shared" si="31"/>
        <v>-109223495.79485743</v>
      </c>
      <c r="AG90" s="250">
        <f t="shared" si="31"/>
        <v>0</v>
      </c>
      <c r="AH90" s="250">
        <f t="shared" si="31"/>
        <v>0</v>
      </c>
      <c r="AI90" s="250">
        <f t="shared" si="31"/>
        <v>0</v>
      </c>
      <c r="AJ90" s="250">
        <f t="shared" si="31"/>
        <v>0</v>
      </c>
      <c r="AK90" s="250">
        <f t="shared" si="31"/>
        <v>0</v>
      </c>
      <c r="AL90" s="250">
        <f t="shared" si="31"/>
        <v>0</v>
      </c>
      <c r="AM90" s="250">
        <f t="shared" si="31"/>
        <v>0</v>
      </c>
      <c r="AN90" s="250">
        <f t="shared" si="31"/>
        <v>0</v>
      </c>
      <c r="AO90" s="250">
        <f t="shared" si="31"/>
        <v>0</v>
      </c>
      <c r="AP90" s="250">
        <f t="shared" si="31"/>
        <v>0</v>
      </c>
      <c r="AQ90" s="250">
        <f t="shared" si="31"/>
        <v>0</v>
      </c>
      <c r="AR90" s="250">
        <f t="shared" si="31"/>
        <v>0</v>
      </c>
      <c r="AS90" s="250">
        <f t="shared" si="31"/>
        <v>0</v>
      </c>
      <c r="AT90" s="250">
        <f t="shared" si="31"/>
        <v>0</v>
      </c>
      <c r="AU90" s="250">
        <f t="shared" si="31"/>
        <v>0</v>
      </c>
      <c r="AV90" s="250">
        <f t="shared" si="31"/>
        <v>0</v>
      </c>
      <c r="AW90" s="250">
        <f t="shared" si="31"/>
        <v>0</v>
      </c>
      <c r="AX90" s="250">
        <f t="shared" si="31"/>
        <v>0</v>
      </c>
      <c r="AY90" s="250">
        <f t="shared" si="31"/>
        <v>0</v>
      </c>
      <c r="AZ90" s="250">
        <f t="shared" si="31"/>
        <v>0</v>
      </c>
      <c r="BA90" s="250">
        <f t="shared" si="31"/>
        <v>0</v>
      </c>
      <c r="BB90" s="250">
        <f t="shared" si="31"/>
        <v>0</v>
      </c>
      <c r="BC90" s="250">
        <f t="shared" si="31"/>
        <v>0</v>
      </c>
      <c r="BD90" s="250">
        <f t="shared" si="31"/>
        <v>0</v>
      </c>
      <c r="BE90" s="250">
        <f t="shared" si="31"/>
        <v>0</v>
      </c>
      <c r="BF90" s="250">
        <f t="shared" si="31"/>
        <v>0</v>
      </c>
      <c r="BG90" s="250">
        <f t="shared" si="31"/>
        <v>0</v>
      </c>
      <c r="BH90" s="250">
        <f t="shared" si="31"/>
        <v>0</v>
      </c>
      <c r="BI90" s="250">
        <f t="shared" si="31"/>
        <v>0</v>
      </c>
      <c r="BJ90" s="250">
        <f t="shared" si="31"/>
        <v>0</v>
      </c>
      <c r="BK90" s="250">
        <f t="shared" si="31"/>
        <v>0</v>
      </c>
      <c r="BL90" s="250">
        <f t="shared" si="31"/>
        <v>0</v>
      </c>
      <c r="BM90" s="250">
        <f t="shared" si="31"/>
        <v>0</v>
      </c>
      <c r="BN90" s="250">
        <f t="shared" si="31"/>
        <v>0</v>
      </c>
      <c r="BO90" s="250">
        <f t="shared" si="31"/>
        <v>0</v>
      </c>
      <c r="BP90" s="250">
        <f t="shared" si="31"/>
        <v>0</v>
      </c>
      <c r="BQ90" s="250">
        <f t="shared" si="31"/>
        <v>0</v>
      </c>
      <c r="BR90" s="250">
        <f t="shared" si="31"/>
        <v>0</v>
      </c>
      <c r="BS90" s="250">
        <f t="shared" si="31"/>
        <v>0</v>
      </c>
      <c r="BT90" s="250">
        <f t="shared" si="31"/>
        <v>0</v>
      </c>
      <c r="BU90" s="250">
        <f t="shared" si="31"/>
        <v>0</v>
      </c>
      <c r="BV90" s="250">
        <f t="shared" si="31"/>
        <v>0</v>
      </c>
      <c r="BW90" s="250">
        <f t="shared" si="31"/>
        <v>0</v>
      </c>
      <c r="BX90" s="250">
        <f t="shared" si="31"/>
        <v>0</v>
      </c>
      <c r="BY90" s="779">
        <f>BZ17</f>
        <v>-126765508.17060289</v>
      </c>
      <c r="BZ90" s="768"/>
      <c r="CA90" s="226"/>
      <c r="CB90" s="226"/>
      <c r="CC90" s="226"/>
    </row>
    <row r="91" spans="1:81" outlineLevel="1">
      <c r="A91" s="603"/>
      <c r="B91" s="787"/>
      <c r="C91" s="253" t="s">
        <v>327</v>
      </c>
      <c r="D91" s="254" t="s">
        <v>270</v>
      </c>
      <c r="E91" s="255"/>
      <c r="F91" s="255"/>
      <c r="G91" s="255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5"/>
      <c r="V91" s="255"/>
      <c r="W91" s="255"/>
      <c r="X91" s="255"/>
      <c r="Y91" s="255"/>
      <c r="Z91" s="255"/>
      <c r="AA91" s="256"/>
      <c r="AB91" s="255"/>
      <c r="AC91" s="255"/>
      <c r="AD91" s="255"/>
      <c r="AE91" s="255"/>
      <c r="AF91" s="256">
        <f>-$BY$5-SUM($L$91:AE91)</f>
        <v>-16365002</v>
      </c>
      <c r="AG91" s="255"/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6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64"/>
      <c r="BY91" s="296">
        <f t="shared" ref="BY91:BY97" si="32">SUM(E91:BX91)</f>
        <v>-16365002</v>
      </c>
      <c r="BZ91" s="777">
        <f>SUM(BY91:BY97)</f>
        <v>-117218683.33000001</v>
      </c>
      <c r="CA91" s="226"/>
      <c r="CB91" s="226"/>
      <c r="CC91" s="226"/>
    </row>
    <row r="92" spans="1:81" outlineLevel="1">
      <c r="A92" s="253" t="s">
        <v>328</v>
      </c>
      <c r="B92" s="787"/>
      <c r="C92" s="253" t="s">
        <v>329</v>
      </c>
      <c r="D92" s="254" t="s">
        <v>270</v>
      </c>
      <c r="E92" s="255"/>
      <c r="F92" s="255"/>
      <c r="G92" s="255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5"/>
      <c r="V92" s="255"/>
      <c r="W92" s="255"/>
      <c r="X92" s="255"/>
      <c r="Y92" s="255"/>
      <c r="Z92" s="255"/>
      <c r="AA92" s="256"/>
      <c r="AB92" s="255"/>
      <c r="AC92" s="255"/>
      <c r="AD92" s="255"/>
      <c r="AE92" s="255"/>
      <c r="AF92" s="256">
        <f>-$BY$6-SUM($E$92:AE92)</f>
        <v>-24825000</v>
      </c>
      <c r="AG92" s="255"/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91">
        <f t="shared" si="32"/>
        <v>-24825000</v>
      </c>
      <c r="BZ92" s="771"/>
      <c r="CA92" s="226"/>
      <c r="CB92" s="226"/>
      <c r="CC92" s="226"/>
    </row>
    <row r="93" spans="1:81" outlineLevel="1">
      <c r="A93" s="253" t="s">
        <v>330</v>
      </c>
      <c r="B93" s="787"/>
      <c r="C93" s="293" t="s">
        <v>328</v>
      </c>
      <c r="D93" s="254" t="s">
        <v>270</v>
      </c>
      <c r="E93" s="255"/>
      <c r="F93" s="255"/>
      <c r="G93" s="255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5"/>
      <c r="V93" s="255"/>
      <c r="W93" s="255"/>
      <c r="X93" s="255"/>
      <c r="Y93" s="255"/>
      <c r="Z93" s="255"/>
      <c r="AA93" s="256"/>
      <c r="AB93" s="255"/>
      <c r="AC93" s="255"/>
      <c r="AD93" s="255"/>
      <c r="AE93" s="255"/>
      <c r="AF93" s="255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5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91">
        <f t="shared" si="32"/>
        <v>0</v>
      </c>
      <c r="BZ93" s="771"/>
      <c r="CA93" s="226"/>
      <c r="CB93" s="226"/>
      <c r="CC93" s="226"/>
    </row>
    <row r="94" spans="1:81" outlineLevel="1">
      <c r="A94" s="603"/>
      <c r="B94" s="787"/>
      <c r="C94" s="292" t="s">
        <v>330</v>
      </c>
      <c r="D94" s="254" t="s">
        <v>270</v>
      </c>
      <c r="E94" s="255"/>
      <c r="F94" s="255"/>
      <c r="G94" s="255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91">
        <f t="shared" si="32"/>
        <v>0</v>
      </c>
      <c r="BZ94" s="771"/>
      <c r="CA94" s="226"/>
      <c r="CB94" s="226"/>
      <c r="CC94" s="226"/>
    </row>
    <row r="95" spans="1:81" outlineLevel="1">
      <c r="A95" s="603"/>
      <c r="B95" s="787"/>
      <c r="C95" s="253" t="s">
        <v>331</v>
      </c>
      <c r="D95" s="254" t="s">
        <v>270</v>
      </c>
      <c r="E95" s="255"/>
      <c r="F95" s="255"/>
      <c r="G95" s="255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6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64"/>
      <c r="BY95" s="291">
        <f t="shared" si="32"/>
        <v>0</v>
      </c>
      <c r="BZ95" s="771"/>
      <c r="CA95" s="226"/>
      <c r="CB95" s="226"/>
      <c r="CC95" s="226"/>
    </row>
    <row r="96" spans="1:81" outlineLevel="1">
      <c r="A96" s="603"/>
      <c r="B96" s="787"/>
      <c r="C96" s="253" t="s">
        <v>332</v>
      </c>
      <c r="D96" s="254" t="s">
        <v>270</v>
      </c>
      <c r="E96" s="255"/>
      <c r="F96" s="255"/>
      <c r="G96" s="255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5"/>
      <c r="V96" s="255"/>
      <c r="W96" s="255"/>
      <c r="X96" s="255"/>
      <c r="Y96" s="255"/>
      <c r="Z96" s="255">
        <f t="shared" ref="Z96:AE96" si="33">(PMT($D$61/12,25*12,$BY10)-Z61)</f>
        <v>-35864.589190429833</v>
      </c>
      <c r="AA96" s="255">
        <f t="shared" si="33"/>
        <v>-35864.589190429833</v>
      </c>
      <c r="AB96" s="255">
        <f t="shared" si="33"/>
        <v>-35864.589190429833</v>
      </c>
      <c r="AC96" s="255">
        <f t="shared" si="33"/>
        <v>-35864.589190429833</v>
      </c>
      <c r="AD96" s="255">
        <f t="shared" si="33"/>
        <v>-35864.589190429833</v>
      </c>
      <c r="AE96" s="255">
        <f t="shared" si="33"/>
        <v>-35864.589190429833</v>
      </c>
      <c r="AF96" s="255">
        <f>-$BY$10-$BY$9-SUM($E$96:AE96)</f>
        <v>-24491062.464857422</v>
      </c>
      <c r="AG96" s="255"/>
      <c r="AH96" s="255"/>
      <c r="AI96" s="255"/>
      <c r="AJ96" s="255"/>
      <c r="AK96" s="255"/>
      <c r="AL96" s="255"/>
      <c r="AM96" s="255"/>
      <c r="AN96" s="255"/>
      <c r="AO96" s="255"/>
      <c r="AP96" s="255"/>
      <c r="AQ96" s="255"/>
      <c r="AR96" s="255"/>
      <c r="AS96" s="255"/>
      <c r="AT96" s="255"/>
      <c r="AU96" s="255"/>
      <c r="AV96" s="255"/>
      <c r="AW96" s="255"/>
      <c r="AX96" s="255"/>
      <c r="AY96" s="255"/>
      <c r="AZ96" s="255"/>
      <c r="BA96" s="255"/>
      <c r="BB96" s="255"/>
      <c r="BC96" s="256"/>
      <c r="BD96" s="255"/>
      <c r="BE96" s="255"/>
      <c r="BF96" s="255"/>
      <c r="BG96" s="255"/>
      <c r="BH96" s="255"/>
      <c r="BI96" s="255"/>
      <c r="BJ96" s="255"/>
      <c r="BK96" s="255"/>
      <c r="BL96" s="255"/>
      <c r="BM96" s="255"/>
      <c r="BN96" s="255"/>
      <c r="BO96" s="255"/>
      <c r="BP96" s="255"/>
      <c r="BQ96" s="255"/>
      <c r="BR96" s="255"/>
      <c r="BS96" s="255"/>
      <c r="BT96" s="255"/>
      <c r="BU96" s="255"/>
      <c r="BV96" s="255"/>
      <c r="BW96" s="255"/>
      <c r="BX96" s="264"/>
      <c r="BY96" s="298">
        <f t="shared" si="32"/>
        <v>-24706250</v>
      </c>
      <c r="BZ96" s="771"/>
      <c r="CA96" s="226"/>
      <c r="CB96" s="226"/>
      <c r="CC96" s="226"/>
    </row>
    <row r="97" spans="1:81" outlineLevel="1">
      <c r="A97" s="603"/>
      <c r="B97" s="781"/>
      <c r="C97" s="284" t="s">
        <v>333</v>
      </c>
      <c r="D97" s="299" t="s">
        <v>270</v>
      </c>
      <c r="E97" s="286"/>
      <c r="F97" s="286"/>
      <c r="G97" s="286"/>
      <c r="H97" s="287"/>
      <c r="I97" s="287"/>
      <c r="J97" s="287"/>
      <c r="K97" s="287"/>
      <c r="L97" s="287"/>
      <c r="M97" s="287"/>
      <c r="N97" s="287"/>
      <c r="O97" s="287"/>
      <c r="P97" s="287"/>
      <c r="Q97" s="287">
        <f>-7000000</f>
        <v>-7000000</v>
      </c>
      <c r="R97" s="287"/>
      <c r="S97" s="287"/>
      <c r="T97" s="287">
        <f t="shared" ref="T97:AE97" si="34">-2500*26</f>
        <v>-65000</v>
      </c>
      <c r="U97" s="287">
        <f t="shared" si="34"/>
        <v>-65000</v>
      </c>
      <c r="V97" s="287">
        <f t="shared" si="34"/>
        <v>-65000</v>
      </c>
      <c r="W97" s="287">
        <f t="shared" si="34"/>
        <v>-65000</v>
      </c>
      <c r="X97" s="287">
        <f t="shared" si="34"/>
        <v>-65000</v>
      </c>
      <c r="Y97" s="287">
        <f t="shared" si="34"/>
        <v>-65000</v>
      </c>
      <c r="Z97" s="287">
        <f t="shared" si="34"/>
        <v>-65000</v>
      </c>
      <c r="AA97" s="287">
        <f t="shared" si="34"/>
        <v>-65000</v>
      </c>
      <c r="AB97" s="287">
        <f t="shared" si="34"/>
        <v>-65000</v>
      </c>
      <c r="AC97" s="287">
        <f t="shared" si="34"/>
        <v>-65000</v>
      </c>
      <c r="AD97" s="287">
        <f t="shared" si="34"/>
        <v>-65000</v>
      </c>
      <c r="AE97" s="287">
        <f t="shared" si="34"/>
        <v>-65000</v>
      </c>
      <c r="AF97" s="287">
        <f>-$BY$11-SUM($P$97:AE97)</f>
        <v>-43542431.330000006</v>
      </c>
      <c r="AG97" s="286"/>
      <c r="AH97" s="286"/>
      <c r="AI97" s="286"/>
      <c r="AJ97" s="286"/>
      <c r="AK97" s="286"/>
      <c r="AL97" s="286"/>
      <c r="AM97" s="286"/>
      <c r="AN97" s="286"/>
      <c r="AO97" s="286"/>
      <c r="AP97" s="286"/>
      <c r="AQ97" s="286"/>
      <c r="AR97" s="286"/>
      <c r="AS97" s="286"/>
      <c r="AT97" s="286"/>
      <c r="AU97" s="286"/>
      <c r="AV97" s="286"/>
      <c r="AW97" s="286"/>
      <c r="AX97" s="286"/>
      <c r="AY97" s="286"/>
      <c r="AZ97" s="286"/>
      <c r="BA97" s="286"/>
      <c r="BB97" s="286"/>
      <c r="BC97" s="286"/>
      <c r="BD97" s="286"/>
      <c r="BE97" s="286"/>
      <c r="BF97" s="286"/>
      <c r="BG97" s="286"/>
      <c r="BH97" s="286"/>
      <c r="BI97" s="286"/>
      <c r="BJ97" s="286"/>
      <c r="BK97" s="286"/>
      <c r="BL97" s="286"/>
      <c r="BM97" s="286"/>
      <c r="BN97" s="286"/>
      <c r="BO97" s="286"/>
      <c r="BP97" s="286"/>
      <c r="BQ97" s="286"/>
      <c r="BR97" s="286"/>
      <c r="BS97" s="286"/>
      <c r="BT97" s="286"/>
      <c r="BU97" s="286"/>
      <c r="BV97" s="286"/>
      <c r="BW97" s="286"/>
      <c r="BX97" s="288"/>
      <c r="BY97" s="268">
        <f t="shared" si="32"/>
        <v>-51322431.330000006</v>
      </c>
      <c r="BZ97" s="776"/>
      <c r="CA97" s="226"/>
      <c r="CB97" s="226"/>
      <c r="CC97" s="226"/>
    </row>
    <row r="98" spans="1:81" ht="16">
      <c r="A98" s="603"/>
      <c r="B98" s="790" t="s">
        <v>334</v>
      </c>
      <c r="C98" s="774"/>
      <c r="D98" s="300" t="s">
        <v>270</v>
      </c>
      <c r="E98" s="301">
        <f t="shared" ref="E98:BX98" si="35">(E17+E23+E26+E34+E37+E49+E55+E63+E87+E90)</f>
        <v>0</v>
      </c>
      <c r="F98" s="301">
        <f t="shared" si="35"/>
        <v>0</v>
      </c>
      <c r="G98" s="301">
        <f t="shared" si="35"/>
        <v>0</v>
      </c>
      <c r="H98" s="301">
        <f t="shared" si="35"/>
        <v>-10737799.354999999</v>
      </c>
      <c r="I98" s="301">
        <f t="shared" si="35"/>
        <v>-1867696.1950000001</v>
      </c>
      <c r="J98" s="301">
        <f t="shared" si="35"/>
        <v>-1817623.665</v>
      </c>
      <c r="K98" s="301">
        <f t="shared" si="35"/>
        <v>-902873.87700000009</v>
      </c>
      <c r="L98" s="301">
        <f t="shared" si="35"/>
        <v>-5038194.0799999991</v>
      </c>
      <c r="M98" s="301">
        <f t="shared" si="35"/>
        <v>-10761502.959999999</v>
      </c>
      <c r="N98" s="301">
        <f t="shared" si="35"/>
        <v>-20069846.199999999</v>
      </c>
      <c r="O98" s="301">
        <f t="shared" si="35"/>
        <v>-9758870.4799999986</v>
      </c>
      <c r="P98" s="301">
        <f t="shared" si="35"/>
        <v>-12889323.373000002</v>
      </c>
      <c r="Q98" s="301">
        <f t="shared" si="35"/>
        <v>-10518924.400999999</v>
      </c>
      <c r="R98" s="301">
        <f t="shared" si="35"/>
        <v>-2907275.8299375004</v>
      </c>
      <c r="S98" s="301">
        <f t="shared" si="35"/>
        <v>-1033859.0953499998</v>
      </c>
      <c r="T98" s="301">
        <f t="shared" si="35"/>
        <v>-1155247.6349374999</v>
      </c>
      <c r="U98" s="301">
        <f t="shared" si="35"/>
        <v>-7664409.2099374998</v>
      </c>
      <c r="V98" s="301">
        <f t="shared" si="35"/>
        <v>-6725509.2099374998</v>
      </c>
      <c r="W98" s="301">
        <f t="shared" si="35"/>
        <v>-6754909.2099374998</v>
      </c>
      <c r="X98" s="301">
        <f t="shared" si="35"/>
        <v>-6784799.2099374998</v>
      </c>
      <c r="Y98" s="301">
        <f t="shared" si="35"/>
        <v>-6815669.2099374998</v>
      </c>
      <c r="Z98" s="301">
        <f t="shared" si="35"/>
        <v>-1021225.8221029297</v>
      </c>
      <c r="AA98" s="301">
        <f t="shared" si="35"/>
        <v>-573668.55169042991</v>
      </c>
      <c r="AB98" s="301">
        <f t="shared" si="35"/>
        <v>-523668.55169042986</v>
      </c>
      <c r="AC98" s="301">
        <f t="shared" si="35"/>
        <v>-523668.55169042986</v>
      </c>
      <c r="AD98" s="301">
        <f t="shared" si="35"/>
        <v>-523668.55169042986</v>
      </c>
      <c r="AE98" s="301">
        <f t="shared" si="35"/>
        <v>-523668.55169042986</v>
      </c>
      <c r="AF98" s="301">
        <f t="shared" si="35"/>
        <v>-115575770.72413531</v>
      </c>
      <c r="AG98" s="301">
        <f t="shared" si="35"/>
        <v>0</v>
      </c>
      <c r="AH98" s="301">
        <f t="shared" si="35"/>
        <v>0</v>
      </c>
      <c r="AI98" s="301">
        <f t="shared" si="35"/>
        <v>0</v>
      </c>
      <c r="AJ98" s="301">
        <f t="shared" si="35"/>
        <v>0</v>
      </c>
      <c r="AK98" s="301">
        <f t="shared" si="35"/>
        <v>0</v>
      </c>
      <c r="AL98" s="301">
        <f t="shared" si="35"/>
        <v>0</v>
      </c>
      <c r="AM98" s="301">
        <f t="shared" si="35"/>
        <v>0</v>
      </c>
      <c r="AN98" s="301">
        <f t="shared" si="35"/>
        <v>0</v>
      </c>
      <c r="AO98" s="301">
        <f t="shared" si="35"/>
        <v>0</v>
      </c>
      <c r="AP98" s="301">
        <f t="shared" si="35"/>
        <v>0</v>
      </c>
      <c r="AQ98" s="301">
        <f t="shared" si="35"/>
        <v>0</v>
      </c>
      <c r="AR98" s="301">
        <f t="shared" si="35"/>
        <v>0</v>
      </c>
      <c r="AS98" s="301">
        <f t="shared" si="35"/>
        <v>0</v>
      </c>
      <c r="AT98" s="301">
        <f t="shared" si="35"/>
        <v>0</v>
      </c>
      <c r="AU98" s="301">
        <f t="shared" si="35"/>
        <v>0</v>
      </c>
      <c r="AV98" s="301">
        <f t="shared" si="35"/>
        <v>0</v>
      </c>
      <c r="AW98" s="301">
        <f t="shared" si="35"/>
        <v>0</v>
      </c>
      <c r="AX98" s="301">
        <f t="shared" si="35"/>
        <v>0</v>
      </c>
      <c r="AY98" s="301">
        <f t="shared" si="35"/>
        <v>0</v>
      </c>
      <c r="AZ98" s="301">
        <f t="shared" si="35"/>
        <v>0</v>
      </c>
      <c r="BA98" s="301">
        <f t="shared" si="35"/>
        <v>0</v>
      </c>
      <c r="BB98" s="301">
        <f t="shared" si="35"/>
        <v>0</v>
      </c>
      <c r="BC98" s="301">
        <f t="shared" si="35"/>
        <v>0</v>
      </c>
      <c r="BD98" s="301">
        <f t="shared" si="35"/>
        <v>0</v>
      </c>
      <c r="BE98" s="301">
        <f t="shared" si="35"/>
        <v>0</v>
      </c>
      <c r="BF98" s="301">
        <f t="shared" si="35"/>
        <v>0</v>
      </c>
      <c r="BG98" s="301">
        <f t="shared" si="35"/>
        <v>0</v>
      </c>
      <c r="BH98" s="301">
        <f t="shared" si="35"/>
        <v>0</v>
      </c>
      <c r="BI98" s="301">
        <f t="shared" si="35"/>
        <v>0</v>
      </c>
      <c r="BJ98" s="301">
        <f t="shared" si="35"/>
        <v>0</v>
      </c>
      <c r="BK98" s="301">
        <f t="shared" si="35"/>
        <v>0</v>
      </c>
      <c r="BL98" s="301">
        <f t="shared" si="35"/>
        <v>0</v>
      </c>
      <c r="BM98" s="301">
        <f t="shared" si="35"/>
        <v>0</v>
      </c>
      <c r="BN98" s="301">
        <f t="shared" si="35"/>
        <v>0</v>
      </c>
      <c r="BO98" s="301">
        <f t="shared" si="35"/>
        <v>0</v>
      </c>
      <c r="BP98" s="301">
        <f t="shared" si="35"/>
        <v>0</v>
      </c>
      <c r="BQ98" s="301">
        <f t="shared" si="35"/>
        <v>0</v>
      </c>
      <c r="BR98" s="301">
        <f t="shared" si="35"/>
        <v>0</v>
      </c>
      <c r="BS98" s="301">
        <f t="shared" si="35"/>
        <v>0</v>
      </c>
      <c r="BT98" s="301">
        <f t="shared" si="35"/>
        <v>0</v>
      </c>
      <c r="BU98" s="301">
        <f t="shared" si="35"/>
        <v>0</v>
      </c>
      <c r="BV98" s="301">
        <f t="shared" si="35"/>
        <v>0</v>
      </c>
      <c r="BW98" s="301">
        <f t="shared" si="35"/>
        <v>0</v>
      </c>
      <c r="BX98" s="301">
        <f t="shared" si="35"/>
        <v>0</v>
      </c>
      <c r="BY98" s="780">
        <f>BZ91</f>
        <v>-117218683.33000001</v>
      </c>
      <c r="BZ98" s="781"/>
      <c r="CA98" s="226"/>
      <c r="CB98" s="226"/>
      <c r="CC98" s="226"/>
    </row>
    <row r="99" spans="1:81" ht="16">
      <c r="A99" s="603"/>
      <c r="B99" s="605"/>
      <c r="C99" s="605"/>
      <c r="D99" s="302"/>
      <c r="E99" s="303"/>
      <c r="F99" s="303"/>
      <c r="G99" s="303"/>
      <c r="H99" s="303">
        <f>H98</f>
        <v>-10737799.354999999</v>
      </c>
      <c r="I99" s="303">
        <f t="shared" ref="I99:R99" si="36">H99+I98</f>
        <v>-12605495.549999999</v>
      </c>
      <c r="J99" s="303">
        <f t="shared" si="36"/>
        <v>-14423119.215</v>
      </c>
      <c r="K99" s="303">
        <f t="shared" si="36"/>
        <v>-15325993.092</v>
      </c>
      <c r="L99" s="303">
        <f t="shared" si="36"/>
        <v>-20364187.171999998</v>
      </c>
      <c r="M99" s="303">
        <f t="shared" si="36"/>
        <v>-31125690.131999999</v>
      </c>
      <c r="N99" s="303">
        <f t="shared" si="36"/>
        <v>-51195536.332000002</v>
      </c>
      <c r="O99" s="303">
        <f t="shared" si="36"/>
        <v>-60954406.811999999</v>
      </c>
      <c r="P99" s="303">
        <f t="shared" si="36"/>
        <v>-73843730.185000002</v>
      </c>
      <c r="Q99" s="303">
        <f t="shared" si="36"/>
        <v>-84362654.585999995</v>
      </c>
      <c r="R99" s="303">
        <f t="shared" si="36"/>
        <v>-87269930.415937498</v>
      </c>
      <c r="S99" s="304"/>
      <c r="T99" s="304"/>
      <c r="U99" s="303"/>
      <c r="V99" s="303"/>
      <c r="W99" s="303"/>
      <c r="X99" s="304"/>
      <c r="Y99" s="304"/>
      <c r="Z99" s="304"/>
      <c r="AA99" s="304"/>
      <c r="AB99" s="304"/>
      <c r="AC99" s="303"/>
      <c r="AD99" s="304"/>
      <c r="AE99" s="304"/>
      <c r="AF99" s="304"/>
      <c r="AG99" s="304"/>
      <c r="AH99" s="304"/>
      <c r="AI99" s="304"/>
      <c r="AJ99" s="304"/>
      <c r="AK99" s="304"/>
      <c r="AL99" s="304"/>
      <c r="AM99" s="304"/>
      <c r="AN99" s="304"/>
      <c r="AO99" s="303"/>
      <c r="AP99" s="304"/>
      <c r="AQ99" s="304"/>
      <c r="AR99" s="304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  <c r="BJ99" s="303"/>
      <c r="BK99" s="303"/>
      <c r="BL99" s="305"/>
      <c r="BM99" s="305"/>
      <c r="BN99" s="305"/>
      <c r="BO99" s="305"/>
      <c r="BP99" s="305"/>
      <c r="BQ99" s="305"/>
      <c r="BR99" s="305"/>
      <c r="BS99" s="305"/>
      <c r="BT99" s="305"/>
      <c r="BU99" s="305"/>
      <c r="BV99" s="305"/>
      <c r="BW99" s="305"/>
      <c r="BX99" s="305"/>
      <c r="BY99" s="306"/>
      <c r="BZ99" s="306"/>
      <c r="CA99" s="226"/>
      <c r="CB99" s="226"/>
      <c r="CC99" s="226"/>
    </row>
    <row r="100" spans="1:81" ht="16">
      <c r="A100" s="603"/>
      <c r="B100" s="791" t="s">
        <v>335</v>
      </c>
      <c r="C100" s="774"/>
      <c r="D100" s="307"/>
      <c r="E100" s="303">
        <f t="shared" ref="E100:BX100" si="37">E16+E98</f>
        <v>0</v>
      </c>
      <c r="F100" s="303">
        <f t="shared" si="37"/>
        <v>0</v>
      </c>
      <c r="G100" s="303">
        <f t="shared" si="37"/>
        <v>0</v>
      </c>
      <c r="H100" s="303">
        <f t="shared" si="37"/>
        <v>5627202.6450000014</v>
      </c>
      <c r="I100" s="303">
        <f t="shared" si="37"/>
        <v>-1861469.1950000001</v>
      </c>
      <c r="J100" s="303">
        <f t="shared" si="37"/>
        <v>-1803035.665</v>
      </c>
      <c r="K100" s="303">
        <f t="shared" si="37"/>
        <v>439594.12299999991</v>
      </c>
      <c r="L100" s="303">
        <f t="shared" si="37"/>
        <v>-3040677.0799999991</v>
      </c>
      <c r="M100" s="304">
        <f t="shared" si="37"/>
        <v>57291.090000001714</v>
      </c>
      <c r="N100" s="303">
        <f t="shared" si="37"/>
        <v>-75913.25</v>
      </c>
      <c r="O100" s="304">
        <f t="shared" si="37"/>
        <v>32310.750000001863</v>
      </c>
      <c r="P100" s="304">
        <f t="shared" si="37"/>
        <v>72433.306999998167</v>
      </c>
      <c r="Q100" s="304">
        <f t="shared" si="37"/>
        <v>1568038.199000001</v>
      </c>
      <c r="R100" s="304">
        <f t="shared" si="37"/>
        <v>-1334837.6645655995</v>
      </c>
      <c r="S100" s="304">
        <f t="shared" si="37"/>
        <v>3165595.0650400817</v>
      </c>
      <c r="T100" s="304">
        <f t="shared" si="37"/>
        <v>6956442.4317078516</v>
      </c>
      <c r="U100" s="303">
        <f t="shared" si="37"/>
        <v>-13668.717719730921</v>
      </c>
      <c r="V100" s="303">
        <f t="shared" si="37"/>
        <v>-1043993.8472128091</v>
      </c>
      <c r="W100" s="303">
        <f t="shared" si="37"/>
        <v>-135403.97055991739</v>
      </c>
      <c r="X100" s="304">
        <f t="shared" si="37"/>
        <v>-35403.97055991739</v>
      </c>
      <c r="Y100" s="304">
        <f t="shared" si="37"/>
        <v>164596.02944008261</v>
      </c>
      <c r="Z100" s="304">
        <f t="shared" si="37"/>
        <v>-460520.58272534725</v>
      </c>
      <c r="AA100" s="304">
        <f t="shared" si="37"/>
        <v>469487.87416631903</v>
      </c>
      <c r="AB100" s="304">
        <f t="shared" si="37"/>
        <v>503274.88948842644</v>
      </c>
      <c r="AC100" s="303">
        <f t="shared" si="37"/>
        <v>418657.51197881909</v>
      </c>
      <c r="AD100" s="304">
        <f t="shared" si="37"/>
        <v>416921.97478873638</v>
      </c>
      <c r="AE100" s="304">
        <f t="shared" si="37"/>
        <v>416921.97478873638</v>
      </c>
      <c r="AF100" s="304">
        <f t="shared" si="37"/>
        <v>19592067.3090581</v>
      </c>
      <c r="AG100" s="304">
        <f t="shared" si="37"/>
        <v>0</v>
      </c>
      <c r="AH100" s="304">
        <f t="shared" si="37"/>
        <v>0</v>
      </c>
      <c r="AI100" s="304">
        <f t="shared" si="37"/>
        <v>0</v>
      </c>
      <c r="AJ100" s="304">
        <f t="shared" si="37"/>
        <v>0</v>
      </c>
      <c r="AK100" s="304">
        <f t="shared" si="37"/>
        <v>0</v>
      </c>
      <c r="AL100" s="304">
        <f t="shared" si="37"/>
        <v>0</v>
      </c>
      <c r="AM100" s="304">
        <f t="shared" si="37"/>
        <v>0</v>
      </c>
      <c r="AN100" s="304">
        <f t="shared" si="37"/>
        <v>0</v>
      </c>
      <c r="AO100" s="303">
        <f t="shared" si="37"/>
        <v>0</v>
      </c>
      <c r="AP100" s="304">
        <f t="shared" si="37"/>
        <v>0</v>
      </c>
      <c r="AQ100" s="304">
        <f t="shared" si="37"/>
        <v>0</v>
      </c>
      <c r="AR100" s="304">
        <f t="shared" si="37"/>
        <v>0</v>
      </c>
      <c r="AS100" s="303">
        <f t="shared" si="37"/>
        <v>0</v>
      </c>
      <c r="AT100" s="303">
        <f t="shared" si="37"/>
        <v>0</v>
      </c>
      <c r="AU100" s="303">
        <f t="shared" si="37"/>
        <v>0</v>
      </c>
      <c r="AV100" s="303">
        <f t="shared" si="37"/>
        <v>0</v>
      </c>
      <c r="AW100" s="303">
        <f t="shared" si="37"/>
        <v>0</v>
      </c>
      <c r="AX100" s="303">
        <f t="shared" si="37"/>
        <v>0</v>
      </c>
      <c r="AY100" s="303">
        <f t="shared" si="37"/>
        <v>0</v>
      </c>
      <c r="AZ100" s="303">
        <f t="shared" si="37"/>
        <v>0</v>
      </c>
      <c r="BA100" s="303">
        <f t="shared" si="37"/>
        <v>0</v>
      </c>
      <c r="BB100" s="303">
        <f t="shared" si="37"/>
        <v>0</v>
      </c>
      <c r="BC100" s="303">
        <f t="shared" si="37"/>
        <v>0</v>
      </c>
      <c r="BD100" s="303">
        <f t="shared" si="37"/>
        <v>0</v>
      </c>
      <c r="BE100" s="303">
        <f t="shared" si="37"/>
        <v>0</v>
      </c>
      <c r="BF100" s="303">
        <f t="shared" si="37"/>
        <v>0</v>
      </c>
      <c r="BG100" s="303">
        <f t="shared" si="37"/>
        <v>0</v>
      </c>
      <c r="BH100" s="303">
        <f t="shared" si="37"/>
        <v>0</v>
      </c>
      <c r="BI100" s="303">
        <f t="shared" si="37"/>
        <v>0</v>
      </c>
      <c r="BJ100" s="303">
        <f t="shared" si="37"/>
        <v>0</v>
      </c>
      <c r="BK100" s="303">
        <f t="shared" si="37"/>
        <v>0</v>
      </c>
      <c r="BL100" s="308">
        <f t="shared" si="37"/>
        <v>0</v>
      </c>
      <c r="BM100" s="308">
        <f t="shared" si="37"/>
        <v>0</v>
      </c>
      <c r="BN100" s="308">
        <f t="shared" si="37"/>
        <v>0</v>
      </c>
      <c r="BO100" s="308">
        <f t="shared" si="37"/>
        <v>0</v>
      </c>
      <c r="BP100" s="308">
        <f t="shared" si="37"/>
        <v>0</v>
      </c>
      <c r="BQ100" s="308">
        <f t="shared" si="37"/>
        <v>0</v>
      </c>
      <c r="BR100" s="308">
        <f t="shared" si="37"/>
        <v>0</v>
      </c>
      <c r="BS100" s="308">
        <f t="shared" si="37"/>
        <v>0</v>
      </c>
      <c r="BT100" s="308">
        <f t="shared" si="37"/>
        <v>0</v>
      </c>
      <c r="BU100" s="308">
        <f t="shared" si="37"/>
        <v>0</v>
      </c>
      <c r="BV100" s="308">
        <f t="shared" si="37"/>
        <v>0</v>
      </c>
      <c r="BW100" s="308">
        <f t="shared" si="37"/>
        <v>0</v>
      </c>
      <c r="BX100" s="308">
        <f t="shared" si="37"/>
        <v>0</v>
      </c>
      <c r="BY100" s="782">
        <f>BY16+BY90+BY98</f>
        <v>29581392.231113851</v>
      </c>
      <c r="BZ100" s="783"/>
      <c r="CA100" s="226"/>
      <c r="CB100" s="226"/>
      <c r="CC100" s="226"/>
    </row>
    <row r="101" spans="1:81">
      <c r="A101" s="603"/>
      <c r="B101" s="792" t="s">
        <v>336</v>
      </c>
      <c r="C101" s="774"/>
      <c r="D101" s="309"/>
      <c r="E101" s="310">
        <f>E100</f>
        <v>0</v>
      </c>
      <c r="F101" s="310">
        <f>F100+E101</f>
        <v>0</v>
      </c>
      <c r="G101" s="310">
        <f>655760.63+24.98*24.5-16.85*22</f>
        <v>656001.94000000006</v>
      </c>
      <c r="H101" s="310">
        <f>H100+G101-66</f>
        <v>6283138.5850000018</v>
      </c>
      <c r="I101" s="310">
        <f t="shared" ref="I101:BX101" si="38">I100+H101</f>
        <v>4421669.3900000015</v>
      </c>
      <c r="J101" s="310">
        <f t="shared" si="38"/>
        <v>2618633.7250000015</v>
      </c>
      <c r="K101" s="310">
        <f t="shared" si="38"/>
        <v>3058227.8480000012</v>
      </c>
      <c r="L101" s="310">
        <f t="shared" si="38"/>
        <v>17550.768000002019</v>
      </c>
      <c r="M101" s="310">
        <f t="shared" si="38"/>
        <v>74841.858000003733</v>
      </c>
      <c r="N101" s="310">
        <f t="shared" si="38"/>
        <v>-1071.3919999962673</v>
      </c>
      <c r="O101" s="310">
        <f t="shared" si="38"/>
        <v>31239.358000005595</v>
      </c>
      <c r="P101" s="310">
        <f t="shared" si="38"/>
        <v>103672.66500000376</v>
      </c>
      <c r="Q101" s="310">
        <f t="shared" si="38"/>
        <v>1671710.8640000047</v>
      </c>
      <c r="R101" s="310">
        <f t="shared" si="38"/>
        <v>336873.19943440519</v>
      </c>
      <c r="S101" s="310">
        <f t="shared" si="38"/>
        <v>3502468.2644744869</v>
      </c>
      <c r="T101" s="310">
        <f t="shared" si="38"/>
        <v>10458910.696182339</v>
      </c>
      <c r="U101" s="310">
        <f t="shared" si="38"/>
        <v>10445241.978462607</v>
      </c>
      <c r="V101" s="310">
        <f t="shared" si="38"/>
        <v>9401248.1312497966</v>
      </c>
      <c r="W101" s="310">
        <f t="shared" si="38"/>
        <v>9265844.1606898792</v>
      </c>
      <c r="X101" s="310">
        <f t="shared" si="38"/>
        <v>9230440.1901299618</v>
      </c>
      <c r="Y101" s="310">
        <f t="shared" si="38"/>
        <v>9395036.2195700444</v>
      </c>
      <c r="Z101" s="310">
        <f t="shared" si="38"/>
        <v>8934515.6368446965</v>
      </c>
      <c r="AA101" s="310">
        <f t="shared" si="38"/>
        <v>9404003.5110110156</v>
      </c>
      <c r="AB101" s="310">
        <f t="shared" si="38"/>
        <v>9907278.4004994426</v>
      </c>
      <c r="AC101" s="310">
        <f t="shared" si="38"/>
        <v>10325935.912478263</v>
      </c>
      <c r="AD101" s="310">
        <f t="shared" si="38"/>
        <v>10742857.887266999</v>
      </c>
      <c r="AE101" s="310">
        <f t="shared" si="38"/>
        <v>11159779.862055736</v>
      </c>
      <c r="AF101" s="310">
        <f t="shared" si="38"/>
        <v>30751847.171113834</v>
      </c>
      <c r="AG101" s="310">
        <f t="shared" si="38"/>
        <v>30751847.171113834</v>
      </c>
      <c r="AH101" s="310">
        <f t="shared" si="38"/>
        <v>30751847.171113834</v>
      </c>
      <c r="AI101" s="310">
        <f t="shared" si="38"/>
        <v>30751847.171113834</v>
      </c>
      <c r="AJ101" s="310">
        <f t="shared" si="38"/>
        <v>30751847.171113834</v>
      </c>
      <c r="AK101" s="310">
        <f t="shared" si="38"/>
        <v>30751847.171113834</v>
      </c>
      <c r="AL101" s="310">
        <f t="shared" si="38"/>
        <v>30751847.171113834</v>
      </c>
      <c r="AM101" s="310">
        <f t="shared" si="38"/>
        <v>30751847.171113834</v>
      </c>
      <c r="AN101" s="310">
        <f t="shared" si="38"/>
        <v>30751847.171113834</v>
      </c>
      <c r="AO101" s="310">
        <f t="shared" si="38"/>
        <v>30751847.171113834</v>
      </c>
      <c r="AP101" s="310">
        <f t="shared" si="38"/>
        <v>30751847.171113834</v>
      </c>
      <c r="AQ101" s="310">
        <f t="shared" si="38"/>
        <v>30751847.171113834</v>
      </c>
      <c r="AR101" s="310">
        <f t="shared" si="38"/>
        <v>30751847.171113834</v>
      </c>
      <c r="AS101" s="310">
        <f t="shared" si="38"/>
        <v>30751847.171113834</v>
      </c>
      <c r="AT101" s="310">
        <f t="shared" si="38"/>
        <v>30751847.171113834</v>
      </c>
      <c r="AU101" s="310">
        <f t="shared" si="38"/>
        <v>30751847.171113834</v>
      </c>
      <c r="AV101" s="310">
        <f t="shared" si="38"/>
        <v>30751847.171113834</v>
      </c>
      <c r="AW101" s="310">
        <f t="shared" si="38"/>
        <v>30751847.171113834</v>
      </c>
      <c r="AX101" s="310">
        <f t="shared" si="38"/>
        <v>30751847.171113834</v>
      </c>
      <c r="AY101" s="310">
        <f t="shared" si="38"/>
        <v>30751847.171113834</v>
      </c>
      <c r="AZ101" s="310">
        <f t="shared" si="38"/>
        <v>30751847.171113834</v>
      </c>
      <c r="BA101" s="310">
        <f t="shared" si="38"/>
        <v>30751847.171113834</v>
      </c>
      <c r="BB101" s="310">
        <f t="shared" si="38"/>
        <v>30751847.171113834</v>
      </c>
      <c r="BC101" s="310">
        <f t="shared" si="38"/>
        <v>30751847.171113834</v>
      </c>
      <c r="BD101" s="310">
        <f t="shared" si="38"/>
        <v>30751847.171113834</v>
      </c>
      <c r="BE101" s="310">
        <f t="shared" si="38"/>
        <v>30751847.171113834</v>
      </c>
      <c r="BF101" s="310">
        <f t="shared" si="38"/>
        <v>30751847.171113834</v>
      </c>
      <c r="BG101" s="310">
        <f t="shared" si="38"/>
        <v>30751847.171113834</v>
      </c>
      <c r="BH101" s="310">
        <f t="shared" si="38"/>
        <v>30751847.171113834</v>
      </c>
      <c r="BI101" s="310">
        <f t="shared" si="38"/>
        <v>30751847.171113834</v>
      </c>
      <c r="BJ101" s="310">
        <f t="shared" si="38"/>
        <v>30751847.171113834</v>
      </c>
      <c r="BK101" s="310">
        <f t="shared" si="38"/>
        <v>30751847.171113834</v>
      </c>
      <c r="BL101" s="310">
        <f t="shared" si="38"/>
        <v>30751847.171113834</v>
      </c>
      <c r="BM101" s="310">
        <f t="shared" si="38"/>
        <v>30751847.171113834</v>
      </c>
      <c r="BN101" s="310">
        <f t="shared" si="38"/>
        <v>30751847.171113834</v>
      </c>
      <c r="BO101" s="310">
        <f t="shared" si="38"/>
        <v>30751847.171113834</v>
      </c>
      <c r="BP101" s="310">
        <f t="shared" si="38"/>
        <v>30751847.171113834</v>
      </c>
      <c r="BQ101" s="310">
        <f t="shared" si="38"/>
        <v>30751847.171113834</v>
      </c>
      <c r="BR101" s="310">
        <f t="shared" si="38"/>
        <v>30751847.171113834</v>
      </c>
      <c r="BS101" s="310">
        <f t="shared" si="38"/>
        <v>30751847.171113834</v>
      </c>
      <c r="BT101" s="310">
        <f t="shared" si="38"/>
        <v>30751847.171113834</v>
      </c>
      <c r="BU101" s="310">
        <f t="shared" si="38"/>
        <v>30751847.171113834</v>
      </c>
      <c r="BV101" s="310">
        <f t="shared" si="38"/>
        <v>30751847.171113834</v>
      </c>
      <c r="BW101" s="310">
        <f t="shared" si="38"/>
        <v>30751847.171113834</v>
      </c>
      <c r="BX101" s="310">
        <f t="shared" si="38"/>
        <v>30751847.171113834</v>
      </c>
      <c r="BY101" s="226"/>
      <c r="BZ101" s="226"/>
      <c r="CA101" s="226"/>
      <c r="CB101" s="226"/>
      <c r="CC101" s="226"/>
    </row>
    <row r="102" spans="1:81">
      <c r="A102" s="226"/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26"/>
      <c r="AG102" s="226"/>
      <c r="AH102" s="226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6"/>
      <c r="AT102" s="226"/>
      <c r="AU102" s="226"/>
      <c r="AV102" s="226"/>
      <c r="AW102" s="226"/>
      <c r="AX102" s="226"/>
      <c r="AY102" s="226"/>
      <c r="AZ102" s="226"/>
      <c r="BA102" s="226"/>
      <c r="BB102" s="226"/>
      <c r="BC102" s="226"/>
      <c r="BD102" s="226"/>
      <c r="BE102" s="226"/>
      <c r="BF102" s="226"/>
      <c r="BG102" s="226"/>
      <c r="BH102" s="226"/>
      <c r="BI102" s="226"/>
      <c r="BJ102" s="226"/>
      <c r="BK102" s="226"/>
      <c r="BL102" s="226"/>
      <c r="BM102" s="226"/>
      <c r="BN102" s="226"/>
      <c r="BO102" s="226"/>
      <c r="BP102" s="226"/>
      <c r="BQ102" s="226"/>
      <c r="BR102" s="226"/>
      <c r="BS102" s="226"/>
      <c r="BT102" s="226"/>
      <c r="BU102" s="226"/>
      <c r="BV102" s="226"/>
      <c r="BW102" s="226"/>
      <c r="BX102" s="226"/>
      <c r="BY102" s="311"/>
      <c r="BZ102" s="226"/>
      <c r="CA102" s="226"/>
      <c r="CB102" s="226"/>
      <c r="CC102" s="226"/>
    </row>
    <row r="103" spans="1:81" hidden="1">
      <c r="A103" s="226"/>
      <c r="B103" s="226"/>
      <c r="C103" s="226"/>
      <c r="D103" s="312" t="s">
        <v>337</v>
      </c>
      <c r="E103" s="312"/>
      <c r="F103" s="312"/>
      <c r="G103" s="312"/>
      <c r="H103" s="312"/>
      <c r="I103" s="312"/>
      <c r="J103" s="312"/>
      <c r="K103" s="312"/>
      <c r="L103" s="312"/>
      <c r="M103" s="312"/>
      <c r="N103" s="312"/>
      <c r="O103" s="312"/>
      <c r="P103" s="312"/>
      <c r="Q103" s="312"/>
      <c r="R103" s="312"/>
      <c r="S103" s="312"/>
      <c r="T103" s="312"/>
      <c r="U103" s="312"/>
      <c r="V103" s="313"/>
      <c r="W103" s="313"/>
      <c r="X103" s="313"/>
      <c r="Y103" s="313"/>
      <c r="Z103" s="313"/>
      <c r="AA103" s="313"/>
      <c r="AB103" s="313"/>
      <c r="AC103" s="313"/>
      <c r="AD103" s="313"/>
      <c r="AE103" s="313"/>
      <c r="AF103" s="313"/>
      <c r="AG103" s="313"/>
      <c r="AH103" s="313"/>
      <c r="AI103" s="313"/>
      <c r="AJ103" s="313"/>
      <c r="AK103" s="313"/>
      <c r="AL103" s="313"/>
      <c r="AM103" s="313"/>
      <c r="AN103" s="313"/>
      <c r="AO103" s="313"/>
      <c r="AP103" s="313"/>
      <c r="AQ103" s="313"/>
      <c r="AR103" s="313"/>
      <c r="AS103" s="313"/>
      <c r="AT103" s="313"/>
      <c r="AU103" s="313"/>
      <c r="AV103" s="313"/>
      <c r="AW103" s="313"/>
      <c r="AX103" s="313"/>
      <c r="AY103" s="313"/>
      <c r="AZ103" s="313"/>
      <c r="BA103" s="313"/>
      <c r="BB103" s="313"/>
      <c r="BC103" s="313"/>
      <c r="BD103" s="313"/>
      <c r="BE103" s="313"/>
      <c r="BF103" s="313"/>
      <c r="BG103" s="313"/>
      <c r="BH103" s="313"/>
      <c r="BI103" s="313"/>
      <c r="BJ103" s="313"/>
      <c r="BK103" s="313"/>
      <c r="BL103" s="313"/>
      <c r="BM103" s="313"/>
      <c r="BN103" s="313"/>
      <c r="BO103" s="313"/>
      <c r="BP103" s="313"/>
      <c r="BQ103" s="313"/>
      <c r="BR103" s="313"/>
      <c r="BS103" s="313"/>
      <c r="BT103" s="313"/>
      <c r="BU103" s="313"/>
      <c r="BV103" s="313"/>
      <c r="BW103" s="313"/>
      <c r="BX103" s="313"/>
      <c r="BY103" s="311"/>
      <c r="BZ103" s="226"/>
      <c r="CA103" s="226"/>
      <c r="CB103" s="226"/>
      <c r="CC103" s="226"/>
    </row>
    <row r="104" spans="1:81" hidden="1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6"/>
      <c r="BN104" s="226"/>
      <c r="BO104" s="226"/>
      <c r="BP104" s="226"/>
      <c r="BQ104" s="226"/>
      <c r="BR104" s="226"/>
      <c r="BS104" s="226"/>
      <c r="BT104" s="226"/>
      <c r="BU104" s="226"/>
      <c r="BV104" s="226"/>
      <c r="BW104" s="226"/>
      <c r="BX104" s="226"/>
      <c r="BY104" s="311"/>
      <c r="BZ104" s="226"/>
      <c r="CA104" s="226"/>
      <c r="CB104" s="226"/>
      <c r="CC104" s="226"/>
    </row>
    <row r="105" spans="1:81" hidden="1">
      <c r="A105" s="226"/>
      <c r="B105" s="226"/>
      <c r="C105" s="314" t="s">
        <v>338</v>
      </c>
      <c r="D105" s="315"/>
      <c r="E105" s="316">
        <f>E113+E131+E163+E179</f>
        <v>0</v>
      </c>
      <c r="F105" s="316">
        <f t="shared" ref="F105:BW105" si="39">F113+F179</f>
        <v>0</v>
      </c>
      <c r="G105" s="316">
        <f t="shared" si="39"/>
        <v>0</v>
      </c>
      <c r="H105" s="316">
        <f t="shared" si="39"/>
        <v>-5341205.5</v>
      </c>
      <c r="I105" s="316">
        <f t="shared" si="39"/>
        <v>0</v>
      </c>
      <c r="J105" s="316">
        <f t="shared" si="39"/>
        <v>0</v>
      </c>
      <c r="K105" s="316">
        <f t="shared" si="39"/>
        <v>-885000</v>
      </c>
      <c r="L105" s="316">
        <f t="shared" si="39"/>
        <v>-1940000</v>
      </c>
      <c r="M105" s="316">
        <f t="shared" si="39"/>
        <v>-4260000</v>
      </c>
      <c r="N105" s="316">
        <f t="shared" si="39"/>
        <v>0</v>
      </c>
      <c r="O105" s="316">
        <f t="shared" si="39"/>
        <v>-320000</v>
      </c>
      <c r="P105" s="316">
        <f t="shared" si="39"/>
        <v>-320000</v>
      </c>
      <c r="Q105" s="316">
        <f t="shared" si="39"/>
        <v>0</v>
      </c>
      <c r="R105" s="316">
        <f t="shared" si="39"/>
        <v>-1500000</v>
      </c>
      <c r="S105" s="316">
        <f t="shared" si="39"/>
        <v>-2300000</v>
      </c>
      <c r="T105" s="316">
        <f t="shared" si="39"/>
        <v>-1958794.5</v>
      </c>
      <c r="U105" s="316">
        <f t="shared" si="39"/>
        <v>-5000000</v>
      </c>
      <c r="V105" s="316">
        <f t="shared" si="39"/>
        <v>-1000000</v>
      </c>
      <c r="W105" s="316">
        <f t="shared" si="39"/>
        <v>0</v>
      </c>
      <c r="X105" s="316">
        <f t="shared" si="39"/>
        <v>0</v>
      </c>
      <c r="Y105" s="316">
        <f t="shared" si="39"/>
        <v>0</v>
      </c>
      <c r="Z105" s="316">
        <f t="shared" si="39"/>
        <v>0</v>
      </c>
      <c r="AA105" s="316">
        <f t="shared" si="39"/>
        <v>0</v>
      </c>
      <c r="AB105" s="316">
        <f t="shared" si="39"/>
        <v>0</v>
      </c>
      <c r="AC105" s="316">
        <f t="shared" si="39"/>
        <v>0</v>
      </c>
      <c r="AD105" s="316">
        <f t="shared" si="39"/>
        <v>0</v>
      </c>
      <c r="AE105" s="316">
        <f t="shared" si="39"/>
        <v>0</v>
      </c>
      <c r="AF105" s="316">
        <f t="shared" si="39"/>
        <v>41190002</v>
      </c>
      <c r="AG105" s="316">
        <f t="shared" si="39"/>
        <v>0</v>
      </c>
      <c r="AH105" s="316">
        <f t="shared" si="39"/>
        <v>0</v>
      </c>
      <c r="AI105" s="316">
        <f t="shared" si="39"/>
        <v>0</v>
      </c>
      <c r="AJ105" s="316">
        <f t="shared" si="39"/>
        <v>0</v>
      </c>
      <c r="AK105" s="316">
        <f t="shared" si="39"/>
        <v>0</v>
      </c>
      <c r="AL105" s="316">
        <f t="shared" si="39"/>
        <v>0</v>
      </c>
      <c r="AM105" s="316">
        <f t="shared" si="39"/>
        <v>0</v>
      </c>
      <c r="AN105" s="316">
        <f t="shared" si="39"/>
        <v>0</v>
      </c>
      <c r="AO105" s="316">
        <f t="shared" si="39"/>
        <v>0</v>
      </c>
      <c r="AP105" s="316">
        <f t="shared" si="39"/>
        <v>0</v>
      </c>
      <c r="AQ105" s="316">
        <f t="shared" si="39"/>
        <v>0</v>
      </c>
      <c r="AR105" s="316">
        <f t="shared" si="39"/>
        <v>0</v>
      </c>
      <c r="AS105" s="316">
        <f t="shared" si="39"/>
        <v>0</v>
      </c>
      <c r="AT105" s="316">
        <f t="shared" si="39"/>
        <v>0</v>
      </c>
      <c r="AU105" s="316">
        <f t="shared" si="39"/>
        <v>0</v>
      </c>
      <c r="AV105" s="316">
        <f t="shared" si="39"/>
        <v>0</v>
      </c>
      <c r="AW105" s="316">
        <f t="shared" si="39"/>
        <v>0</v>
      </c>
      <c r="AX105" s="316">
        <f t="shared" si="39"/>
        <v>0</v>
      </c>
      <c r="AY105" s="316">
        <f t="shared" si="39"/>
        <v>0</v>
      </c>
      <c r="AZ105" s="316">
        <f t="shared" si="39"/>
        <v>0</v>
      </c>
      <c r="BA105" s="316">
        <f t="shared" si="39"/>
        <v>0</v>
      </c>
      <c r="BB105" s="316">
        <f t="shared" si="39"/>
        <v>0</v>
      </c>
      <c r="BC105" s="316">
        <f t="shared" si="39"/>
        <v>0</v>
      </c>
      <c r="BD105" s="316">
        <f t="shared" si="39"/>
        <v>0</v>
      </c>
      <c r="BE105" s="316">
        <f t="shared" si="39"/>
        <v>0</v>
      </c>
      <c r="BF105" s="316">
        <f t="shared" si="39"/>
        <v>0</v>
      </c>
      <c r="BG105" s="316">
        <f t="shared" si="39"/>
        <v>0</v>
      </c>
      <c r="BH105" s="316">
        <f t="shared" si="39"/>
        <v>0</v>
      </c>
      <c r="BI105" s="316">
        <f t="shared" si="39"/>
        <v>0</v>
      </c>
      <c r="BJ105" s="316">
        <f t="shared" si="39"/>
        <v>0</v>
      </c>
      <c r="BK105" s="316">
        <f t="shared" si="39"/>
        <v>0</v>
      </c>
      <c r="BL105" s="316">
        <f t="shared" si="39"/>
        <v>0</v>
      </c>
      <c r="BM105" s="316">
        <f t="shared" si="39"/>
        <v>0</v>
      </c>
      <c r="BN105" s="316">
        <f t="shared" si="39"/>
        <v>0</v>
      </c>
      <c r="BO105" s="316">
        <f t="shared" si="39"/>
        <v>0</v>
      </c>
      <c r="BP105" s="316">
        <f t="shared" si="39"/>
        <v>0</v>
      </c>
      <c r="BQ105" s="316">
        <f t="shared" si="39"/>
        <v>0</v>
      </c>
      <c r="BR105" s="316">
        <f t="shared" si="39"/>
        <v>0</v>
      </c>
      <c r="BS105" s="316">
        <f t="shared" si="39"/>
        <v>0</v>
      </c>
      <c r="BT105" s="316">
        <f t="shared" si="39"/>
        <v>0</v>
      </c>
      <c r="BU105" s="316">
        <f t="shared" si="39"/>
        <v>0</v>
      </c>
      <c r="BV105" s="316">
        <f t="shared" si="39"/>
        <v>0</v>
      </c>
      <c r="BW105" s="316">
        <f t="shared" si="39"/>
        <v>0</v>
      </c>
      <c r="BX105" s="316">
        <f>BX113+BX179+BX101</f>
        <v>30751847.171113834</v>
      </c>
      <c r="BY105" s="311"/>
      <c r="BZ105" s="226"/>
      <c r="CA105" s="226"/>
      <c r="CB105" s="226"/>
      <c r="CC105" s="226"/>
    </row>
    <row r="106" spans="1:81" hidden="1">
      <c r="A106" s="226"/>
      <c r="B106" s="226"/>
      <c r="C106" s="317" t="s">
        <v>339</v>
      </c>
      <c r="D106" s="793">
        <f>IRR(E105:BX105)*12</f>
        <v>0.45482117008524003</v>
      </c>
      <c r="E106" s="768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AY106" s="226"/>
      <c r="AZ106" s="226"/>
      <c r="BA106" s="226"/>
      <c r="BB106" s="226"/>
      <c r="BC106" s="226"/>
      <c r="BD106" s="226"/>
      <c r="BE106" s="226"/>
      <c r="BF106" s="226"/>
      <c r="BG106" s="226"/>
      <c r="BH106" s="226"/>
      <c r="BI106" s="226"/>
      <c r="BJ106" s="226"/>
      <c r="BK106" s="226"/>
      <c r="BL106" s="226"/>
      <c r="BM106" s="226"/>
      <c r="BN106" s="226"/>
      <c r="BO106" s="226"/>
      <c r="BP106" s="226"/>
      <c r="BQ106" s="226"/>
      <c r="BR106" s="226"/>
      <c r="BS106" s="226"/>
      <c r="BT106" s="226"/>
      <c r="BU106" s="226"/>
      <c r="BV106" s="226"/>
      <c r="BW106" s="226"/>
      <c r="BX106" s="226"/>
      <c r="BY106" s="311"/>
      <c r="BZ106" s="226"/>
      <c r="CA106" s="226"/>
      <c r="CB106" s="226"/>
      <c r="CC106" s="226"/>
    </row>
    <row r="107" spans="1:81" hidden="1">
      <c r="A107" s="226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  <c r="CA107" s="226"/>
      <c r="CB107" s="226"/>
      <c r="CC107" s="226"/>
    </row>
    <row r="108" spans="1:81" hidden="1">
      <c r="A108" s="226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  <c r="AY108" s="226"/>
      <c r="AZ108" s="226"/>
      <c r="BA108" s="226"/>
      <c r="BB108" s="226"/>
      <c r="BC108" s="226"/>
      <c r="BD108" s="226"/>
      <c r="BE108" s="226"/>
      <c r="BF108" s="226"/>
      <c r="BG108" s="226"/>
      <c r="BH108" s="226"/>
      <c r="BI108" s="226"/>
      <c r="BJ108" s="226"/>
      <c r="BK108" s="226"/>
      <c r="BL108" s="226"/>
      <c r="BM108" s="226"/>
      <c r="BN108" s="226"/>
      <c r="BO108" s="226"/>
      <c r="BP108" s="226"/>
      <c r="BQ108" s="226"/>
      <c r="BR108" s="226"/>
      <c r="BS108" s="226"/>
      <c r="BT108" s="226"/>
      <c r="BU108" s="226"/>
      <c r="BV108" s="226"/>
      <c r="BW108" s="226"/>
      <c r="BX108" s="226"/>
      <c r="BY108" s="311"/>
      <c r="BZ108" s="226"/>
      <c r="CA108" s="226"/>
      <c r="CB108" s="226"/>
      <c r="CC108" s="226"/>
    </row>
    <row r="109" spans="1:81" ht="17" hidden="1">
      <c r="A109" s="226"/>
      <c r="B109" s="226"/>
      <c r="C109" s="314" t="s">
        <v>340</v>
      </c>
      <c r="D109" s="794"/>
      <c r="E109" s="767"/>
      <c r="F109" s="767"/>
      <c r="G109" s="767"/>
      <c r="H109" s="767"/>
      <c r="I109" s="767"/>
      <c r="J109" s="767"/>
      <c r="K109" s="767"/>
      <c r="L109" s="767"/>
      <c r="M109" s="767"/>
      <c r="N109" s="767"/>
      <c r="O109" s="767"/>
      <c r="P109" s="767"/>
      <c r="Q109" s="767"/>
      <c r="R109" s="767"/>
      <c r="S109" s="767"/>
      <c r="T109" s="767"/>
      <c r="U109" s="767"/>
      <c r="V109" s="767"/>
      <c r="W109" s="767"/>
      <c r="X109" s="767"/>
      <c r="Y109" s="767"/>
      <c r="Z109" s="767"/>
      <c r="AA109" s="767"/>
      <c r="AB109" s="767"/>
      <c r="AC109" s="767"/>
      <c r="AD109" s="767"/>
      <c r="AE109" s="767"/>
      <c r="AF109" s="767"/>
      <c r="AG109" s="767"/>
      <c r="AH109" s="767"/>
      <c r="AI109" s="767"/>
      <c r="AJ109" s="767"/>
      <c r="AK109" s="767"/>
      <c r="AL109" s="767"/>
      <c r="AM109" s="767"/>
      <c r="AN109" s="767"/>
      <c r="AO109" s="767"/>
      <c r="AP109" s="767"/>
      <c r="AQ109" s="767"/>
      <c r="AR109" s="767"/>
      <c r="AS109" s="767"/>
      <c r="AT109" s="767"/>
      <c r="AU109" s="767"/>
      <c r="AV109" s="767"/>
      <c r="AW109" s="767"/>
      <c r="AX109" s="767"/>
      <c r="AY109" s="767"/>
      <c r="AZ109" s="767"/>
      <c r="BA109" s="767"/>
      <c r="BB109" s="767"/>
      <c r="BC109" s="767"/>
      <c r="BD109" s="767"/>
      <c r="BE109" s="767"/>
      <c r="BF109" s="767"/>
      <c r="BG109" s="767"/>
      <c r="BH109" s="767"/>
      <c r="BI109" s="767"/>
      <c r="BJ109" s="767"/>
      <c r="BK109" s="767"/>
      <c r="BL109" s="767"/>
      <c r="BM109" s="767"/>
      <c r="BN109" s="767"/>
      <c r="BO109" s="767"/>
      <c r="BP109" s="767"/>
      <c r="BQ109" s="767"/>
      <c r="BR109" s="767"/>
      <c r="BS109" s="767"/>
      <c r="BT109" s="767"/>
      <c r="BU109" s="767"/>
      <c r="BV109" s="767"/>
      <c r="BW109" s="768"/>
      <c r="BX109" s="319">
        <f>BX101*C110</f>
        <v>6150369.4342227671</v>
      </c>
      <c r="BY109" s="311"/>
      <c r="BZ109" s="226"/>
      <c r="CA109" s="226"/>
      <c r="CB109" s="226"/>
      <c r="CC109" s="226"/>
    </row>
    <row r="110" spans="1:81" ht="19" hidden="1">
      <c r="A110" s="226"/>
      <c r="B110" s="226"/>
      <c r="C110" s="320">
        <v>0.2</v>
      </c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6"/>
      <c r="BF110" s="226"/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6"/>
      <c r="BQ110" s="226"/>
      <c r="BR110" s="226"/>
      <c r="BS110" s="226"/>
      <c r="BT110" s="226"/>
      <c r="BU110" s="226"/>
      <c r="BV110" s="226"/>
      <c r="BW110" s="226"/>
      <c r="BX110" s="226"/>
      <c r="BY110" s="311"/>
      <c r="BZ110" s="226"/>
      <c r="CA110" s="226"/>
      <c r="CB110" s="226"/>
      <c r="CC110" s="226"/>
    </row>
    <row r="113" spans="3:76">
      <c r="C113" s="314" t="s">
        <v>341</v>
      </c>
      <c r="D113" s="315"/>
      <c r="E113" s="316">
        <f t="shared" ref="E113:G113" si="40">-(E5+E6+E91+E92)</f>
        <v>0</v>
      </c>
      <c r="F113" s="316">
        <f t="shared" si="40"/>
        <v>0</v>
      </c>
      <c r="G113" s="316">
        <f t="shared" si="40"/>
        <v>0</v>
      </c>
      <c r="H113" s="316">
        <f>-(+H6+H91+H92)</f>
        <v>0</v>
      </c>
      <c r="I113" s="316">
        <f t="shared" ref="I113:BM113" si="41">-(I5+I6+I91+I92)</f>
        <v>0</v>
      </c>
      <c r="J113" s="316">
        <f t="shared" si="41"/>
        <v>0</v>
      </c>
      <c r="K113" s="316">
        <f t="shared" si="41"/>
        <v>-885000</v>
      </c>
      <c r="L113" s="316">
        <f t="shared" si="41"/>
        <v>-1940000</v>
      </c>
      <c r="M113" s="316">
        <f t="shared" si="41"/>
        <v>-4260000</v>
      </c>
      <c r="N113" s="316">
        <f t="shared" si="41"/>
        <v>0</v>
      </c>
      <c r="O113" s="316">
        <f t="shared" si="41"/>
        <v>-320000</v>
      </c>
      <c r="P113" s="316">
        <f t="shared" si="41"/>
        <v>-320000</v>
      </c>
      <c r="Q113" s="316">
        <f t="shared" si="41"/>
        <v>0</v>
      </c>
      <c r="R113" s="316">
        <f t="shared" si="41"/>
        <v>-1500000</v>
      </c>
      <c r="S113" s="316">
        <f t="shared" si="41"/>
        <v>-2300000</v>
      </c>
      <c r="T113" s="316">
        <f t="shared" si="41"/>
        <v>-7300000</v>
      </c>
      <c r="U113" s="316">
        <f t="shared" si="41"/>
        <v>-5000000</v>
      </c>
      <c r="V113" s="316">
        <f t="shared" si="41"/>
        <v>-1000000</v>
      </c>
      <c r="W113" s="316">
        <f t="shared" si="41"/>
        <v>0</v>
      </c>
      <c r="X113" s="316">
        <f t="shared" si="41"/>
        <v>0</v>
      </c>
      <c r="Y113" s="316">
        <f t="shared" si="41"/>
        <v>0</v>
      </c>
      <c r="Z113" s="316">
        <f t="shared" si="41"/>
        <v>0</v>
      </c>
      <c r="AA113" s="316">
        <f t="shared" si="41"/>
        <v>0</v>
      </c>
      <c r="AB113" s="316">
        <f t="shared" si="41"/>
        <v>0</v>
      </c>
      <c r="AC113" s="316">
        <f t="shared" si="41"/>
        <v>0</v>
      </c>
      <c r="AD113" s="316">
        <f t="shared" si="41"/>
        <v>0</v>
      </c>
      <c r="AE113" s="316">
        <f t="shared" si="41"/>
        <v>0</v>
      </c>
      <c r="AF113" s="316">
        <f t="shared" si="41"/>
        <v>41190002</v>
      </c>
      <c r="AG113" s="316">
        <f t="shared" si="41"/>
        <v>0</v>
      </c>
      <c r="AH113" s="316">
        <f t="shared" si="41"/>
        <v>0</v>
      </c>
      <c r="AI113" s="316">
        <f t="shared" si="41"/>
        <v>0</v>
      </c>
      <c r="AJ113" s="316">
        <f t="shared" si="41"/>
        <v>0</v>
      </c>
      <c r="AK113" s="316">
        <f t="shared" si="41"/>
        <v>0</v>
      </c>
      <c r="AL113" s="316">
        <f t="shared" si="41"/>
        <v>0</v>
      </c>
      <c r="AM113" s="316">
        <f t="shared" si="41"/>
        <v>0</v>
      </c>
      <c r="AN113" s="316">
        <f t="shared" si="41"/>
        <v>0</v>
      </c>
      <c r="AO113" s="316">
        <f t="shared" si="41"/>
        <v>0</v>
      </c>
      <c r="AP113" s="316">
        <f t="shared" si="41"/>
        <v>0</v>
      </c>
      <c r="AQ113" s="316">
        <f t="shared" si="41"/>
        <v>0</v>
      </c>
      <c r="AR113" s="316">
        <f t="shared" si="41"/>
        <v>0</v>
      </c>
      <c r="AS113" s="316">
        <f t="shared" si="41"/>
        <v>0</v>
      </c>
      <c r="AT113" s="316">
        <f t="shared" si="41"/>
        <v>0</v>
      </c>
      <c r="AU113" s="316">
        <f t="shared" si="41"/>
        <v>0</v>
      </c>
      <c r="AV113" s="316">
        <f t="shared" si="41"/>
        <v>0</v>
      </c>
      <c r="AW113" s="316">
        <f t="shared" si="41"/>
        <v>0</v>
      </c>
      <c r="AX113" s="316">
        <f t="shared" si="41"/>
        <v>0</v>
      </c>
      <c r="AY113" s="316">
        <f t="shared" si="41"/>
        <v>0</v>
      </c>
      <c r="AZ113" s="316">
        <f t="shared" si="41"/>
        <v>0</v>
      </c>
      <c r="BA113" s="316">
        <f t="shared" si="41"/>
        <v>0</v>
      </c>
      <c r="BB113" s="316">
        <f t="shared" si="41"/>
        <v>0</v>
      </c>
      <c r="BC113" s="316">
        <f t="shared" si="41"/>
        <v>0</v>
      </c>
      <c r="BD113" s="316">
        <f t="shared" si="41"/>
        <v>0</v>
      </c>
      <c r="BE113" s="316">
        <f t="shared" si="41"/>
        <v>0</v>
      </c>
      <c r="BF113" s="316">
        <f t="shared" si="41"/>
        <v>0</v>
      </c>
      <c r="BG113" s="316">
        <f t="shared" si="41"/>
        <v>0</v>
      </c>
      <c r="BH113" s="316">
        <f t="shared" si="41"/>
        <v>0</v>
      </c>
      <c r="BI113" s="316">
        <f t="shared" si="41"/>
        <v>0</v>
      </c>
      <c r="BJ113" s="316">
        <f t="shared" si="41"/>
        <v>0</v>
      </c>
      <c r="BK113" s="316">
        <f t="shared" si="41"/>
        <v>0</v>
      </c>
      <c r="BL113" s="316">
        <f t="shared" si="41"/>
        <v>0</v>
      </c>
      <c r="BM113" s="316">
        <f t="shared" si="41"/>
        <v>0</v>
      </c>
      <c r="BN113" s="316">
        <f t="shared" ref="BN113:BX113" si="42">-(BN5+BN91)</f>
        <v>0</v>
      </c>
      <c r="BO113" s="316">
        <f t="shared" si="42"/>
        <v>0</v>
      </c>
      <c r="BP113" s="316">
        <f t="shared" si="42"/>
        <v>0</v>
      </c>
      <c r="BQ113" s="316">
        <f t="shared" si="42"/>
        <v>0</v>
      </c>
      <c r="BR113" s="316">
        <f t="shared" si="42"/>
        <v>0</v>
      </c>
      <c r="BS113" s="316">
        <f t="shared" si="42"/>
        <v>0</v>
      </c>
      <c r="BT113" s="316">
        <f t="shared" si="42"/>
        <v>0</v>
      </c>
      <c r="BU113" s="316">
        <f t="shared" si="42"/>
        <v>0</v>
      </c>
      <c r="BV113" s="316">
        <f t="shared" si="42"/>
        <v>0</v>
      </c>
      <c r="BW113" s="316">
        <f t="shared" si="42"/>
        <v>0</v>
      </c>
      <c r="BX113" s="316">
        <f t="shared" si="42"/>
        <v>0</v>
      </c>
    </row>
    <row r="114" spans="3:76">
      <c r="C114" s="314" t="s">
        <v>342</v>
      </c>
      <c r="D114" s="323"/>
      <c r="E114" s="315"/>
      <c r="F114" s="315"/>
      <c r="G114" s="315"/>
      <c r="H114" s="315">
        <f>-Businessplan_prodej!F9</f>
        <v>-8333333</v>
      </c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15"/>
      <c r="AH114" s="315"/>
      <c r="AI114" s="315"/>
      <c r="AJ114" s="315"/>
      <c r="AK114" s="315"/>
      <c r="AL114" s="315"/>
      <c r="AM114" s="315"/>
      <c r="AN114" s="315"/>
      <c r="AO114" s="315"/>
      <c r="AP114" s="315"/>
      <c r="AQ114" s="315"/>
      <c r="AR114" s="315"/>
      <c r="AS114" s="315"/>
      <c r="AT114" s="315"/>
      <c r="AU114" s="315"/>
      <c r="AV114" s="315"/>
      <c r="AW114" s="315"/>
      <c r="AX114" s="315"/>
      <c r="AY114" s="315"/>
      <c r="AZ114" s="315"/>
      <c r="BA114" s="315"/>
      <c r="BB114" s="315"/>
      <c r="BC114" s="315"/>
      <c r="BD114" s="315"/>
      <c r="BE114" s="315"/>
      <c r="BF114" s="315"/>
      <c r="BG114" s="315"/>
      <c r="BH114" s="315"/>
      <c r="BI114" s="315"/>
      <c r="BJ114" s="315"/>
      <c r="BK114" s="315"/>
      <c r="BL114" s="315"/>
      <c r="BM114" s="315"/>
      <c r="BN114" s="315"/>
      <c r="BO114" s="315"/>
      <c r="BP114" s="315"/>
      <c r="BQ114" s="315"/>
      <c r="BR114" s="315"/>
      <c r="BS114" s="315"/>
      <c r="BT114" s="315"/>
      <c r="BU114" s="315"/>
      <c r="BV114" s="315"/>
      <c r="BW114" s="315"/>
      <c r="BX114" s="315"/>
    </row>
    <row r="115" spans="3:76">
      <c r="C115" s="314" t="s">
        <v>343</v>
      </c>
      <c r="D115" s="323"/>
      <c r="E115" s="315">
        <f t="shared" ref="E115:S115" si="43">-E56</f>
        <v>0</v>
      </c>
      <c r="F115" s="315">
        <f t="shared" si="43"/>
        <v>0</v>
      </c>
      <c r="G115" s="315">
        <f t="shared" si="43"/>
        <v>0</v>
      </c>
      <c r="H115" s="315">
        <f t="shared" si="43"/>
        <v>0</v>
      </c>
      <c r="I115" s="315">
        <f t="shared" si="43"/>
        <v>0</v>
      </c>
      <c r="J115" s="315">
        <f t="shared" si="43"/>
        <v>0</v>
      </c>
      <c r="K115" s="315">
        <f t="shared" si="43"/>
        <v>0</v>
      </c>
      <c r="L115" s="315">
        <f t="shared" si="43"/>
        <v>0</v>
      </c>
      <c r="M115" s="315">
        <f t="shared" si="43"/>
        <v>0</v>
      </c>
      <c r="N115" s="315">
        <f t="shared" si="43"/>
        <v>0</v>
      </c>
      <c r="O115" s="315">
        <f t="shared" si="43"/>
        <v>0</v>
      </c>
      <c r="P115" s="315">
        <f t="shared" si="43"/>
        <v>0</v>
      </c>
      <c r="Q115" s="315">
        <f t="shared" si="43"/>
        <v>0</v>
      </c>
      <c r="R115" s="315">
        <f t="shared" si="43"/>
        <v>0</v>
      </c>
      <c r="S115" s="315">
        <f t="shared" si="43"/>
        <v>0</v>
      </c>
      <c r="T115" s="315">
        <f>-T56-T57</f>
        <v>0</v>
      </c>
      <c r="U115" s="315">
        <f t="shared" ref="U115:Z115" si="44">-U56</f>
        <v>0</v>
      </c>
      <c r="V115" s="315">
        <f t="shared" si="44"/>
        <v>0</v>
      </c>
      <c r="W115" s="315">
        <f t="shared" si="44"/>
        <v>0</v>
      </c>
      <c r="X115" s="315">
        <f t="shared" si="44"/>
        <v>0</v>
      </c>
      <c r="Y115" s="315">
        <f t="shared" si="44"/>
        <v>0</v>
      </c>
      <c r="Z115" s="315">
        <f t="shared" si="44"/>
        <v>0</v>
      </c>
      <c r="AA115" s="315">
        <f>-AA56-AA57</f>
        <v>0</v>
      </c>
      <c r="AB115" s="315">
        <f t="shared" ref="AB115:AE115" si="45">-AB56</f>
        <v>0</v>
      </c>
      <c r="AC115" s="315">
        <f t="shared" si="45"/>
        <v>0</v>
      </c>
      <c r="AD115" s="315">
        <f t="shared" si="45"/>
        <v>0</v>
      </c>
      <c r="AE115" s="315">
        <f t="shared" si="45"/>
        <v>0</v>
      </c>
      <c r="AF115" s="315">
        <f>-AF56-AF57</f>
        <v>5258331.4628493153</v>
      </c>
      <c r="AG115" s="315">
        <f t="shared" ref="AG115:BX115" si="46">-AG56</f>
        <v>0</v>
      </c>
      <c r="AH115" s="315">
        <f t="shared" si="46"/>
        <v>0</v>
      </c>
      <c r="AI115" s="315">
        <f t="shared" si="46"/>
        <v>0</v>
      </c>
      <c r="AJ115" s="315">
        <f t="shared" si="46"/>
        <v>0</v>
      </c>
      <c r="AK115" s="315">
        <f t="shared" si="46"/>
        <v>0</v>
      </c>
      <c r="AL115" s="315">
        <f t="shared" si="46"/>
        <v>0</v>
      </c>
      <c r="AM115" s="315">
        <f t="shared" si="46"/>
        <v>0</v>
      </c>
      <c r="AN115" s="315">
        <f t="shared" si="46"/>
        <v>0</v>
      </c>
      <c r="AO115" s="315">
        <f t="shared" si="46"/>
        <v>0</v>
      </c>
      <c r="AP115" s="315">
        <f t="shared" si="46"/>
        <v>0</v>
      </c>
      <c r="AQ115" s="315">
        <f t="shared" si="46"/>
        <v>0</v>
      </c>
      <c r="AR115" s="315">
        <f t="shared" si="46"/>
        <v>0</v>
      </c>
      <c r="AS115" s="315">
        <f t="shared" si="46"/>
        <v>0</v>
      </c>
      <c r="AT115" s="315">
        <f t="shared" si="46"/>
        <v>0</v>
      </c>
      <c r="AU115" s="315">
        <f t="shared" si="46"/>
        <v>0</v>
      </c>
      <c r="AV115" s="315">
        <f t="shared" si="46"/>
        <v>0</v>
      </c>
      <c r="AW115" s="315">
        <f t="shared" si="46"/>
        <v>0</v>
      </c>
      <c r="AX115" s="315">
        <f t="shared" si="46"/>
        <v>0</v>
      </c>
      <c r="AY115" s="315">
        <f t="shared" si="46"/>
        <v>0</v>
      </c>
      <c r="AZ115" s="315">
        <f t="shared" si="46"/>
        <v>0</v>
      </c>
      <c r="BA115" s="315">
        <f t="shared" si="46"/>
        <v>0</v>
      </c>
      <c r="BB115" s="315">
        <f t="shared" si="46"/>
        <v>0</v>
      </c>
      <c r="BC115" s="315">
        <f t="shared" si="46"/>
        <v>0</v>
      </c>
      <c r="BD115" s="315">
        <f t="shared" si="46"/>
        <v>0</v>
      </c>
      <c r="BE115" s="315">
        <f t="shared" si="46"/>
        <v>0</v>
      </c>
      <c r="BF115" s="315">
        <f t="shared" si="46"/>
        <v>0</v>
      </c>
      <c r="BG115" s="315">
        <f t="shared" si="46"/>
        <v>0</v>
      </c>
      <c r="BH115" s="315">
        <f t="shared" si="46"/>
        <v>0</v>
      </c>
      <c r="BI115" s="315">
        <f t="shared" si="46"/>
        <v>0</v>
      </c>
      <c r="BJ115" s="315">
        <f t="shared" si="46"/>
        <v>0</v>
      </c>
      <c r="BK115" s="315">
        <f t="shared" si="46"/>
        <v>0</v>
      </c>
      <c r="BL115" s="315">
        <f t="shared" si="46"/>
        <v>0</v>
      </c>
      <c r="BM115" s="315">
        <f t="shared" si="46"/>
        <v>0</v>
      </c>
      <c r="BN115" s="315">
        <f t="shared" si="46"/>
        <v>0</v>
      </c>
      <c r="BO115" s="315">
        <f t="shared" si="46"/>
        <v>0</v>
      </c>
      <c r="BP115" s="315">
        <f t="shared" si="46"/>
        <v>0</v>
      </c>
      <c r="BQ115" s="315">
        <f t="shared" si="46"/>
        <v>0</v>
      </c>
      <c r="BR115" s="315">
        <f t="shared" si="46"/>
        <v>0</v>
      </c>
      <c r="BS115" s="315">
        <f t="shared" si="46"/>
        <v>0</v>
      </c>
      <c r="BT115" s="315">
        <f t="shared" si="46"/>
        <v>0</v>
      </c>
      <c r="BU115" s="315">
        <f t="shared" si="46"/>
        <v>0</v>
      </c>
      <c r="BV115" s="315">
        <f t="shared" si="46"/>
        <v>0</v>
      </c>
      <c r="BW115" s="315">
        <f t="shared" si="46"/>
        <v>0</v>
      </c>
      <c r="BX115" s="315">
        <f t="shared" si="46"/>
        <v>0</v>
      </c>
    </row>
    <row r="116" spans="3:76">
      <c r="C116" s="314" t="s">
        <v>344</v>
      </c>
      <c r="D116" s="323"/>
      <c r="E116" s="315"/>
      <c r="F116" s="315"/>
      <c r="G116" s="315"/>
      <c r="H116" s="315">
        <f>-H5</f>
        <v>-16365002</v>
      </c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>
        <f>AF101</f>
        <v>30751847.171113834</v>
      </c>
      <c r="AG116" s="315"/>
      <c r="AH116" s="315"/>
      <c r="AI116" s="315"/>
      <c r="AJ116" s="315"/>
      <c r="AK116" s="315"/>
      <c r="AL116" s="315"/>
      <c r="AM116" s="315"/>
      <c r="AN116" s="315"/>
      <c r="AO116" s="315"/>
      <c r="AP116" s="315"/>
      <c r="AQ116" s="315"/>
      <c r="AR116" s="315"/>
      <c r="AS116" s="315"/>
      <c r="AT116" s="315"/>
      <c r="AU116" s="315"/>
      <c r="AV116" s="315"/>
      <c r="AW116" s="315"/>
      <c r="AX116" s="315"/>
      <c r="AY116" s="315"/>
      <c r="AZ116" s="315"/>
      <c r="BA116" s="315"/>
      <c r="BB116" s="315"/>
      <c r="BC116" s="315"/>
      <c r="BD116" s="315"/>
      <c r="BE116" s="315"/>
      <c r="BF116" s="315"/>
      <c r="BG116" s="315"/>
      <c r="BH116" s="315"/>
      <c r="BI116" s="315"/>
      <c r="BJ116" s="315"/>
      <c r="BK116" s="315"/>
      <c r="BL116" s="315"/>
      <c r="BM116" s="315"/>
      <c r="BN116" s="315"/>
      <c r="BO116" s="315"/>
      <c r="BP116" s="315"/>
      <c r="BQ116" s="315"/>
      <c r="BR116" s="315"/>
      <c r="BS116" s="315"/>
      <c r="BT116" s="315"/>
      <c r="BU116" s="315"/>
      <c r="BV116" s="315"/>
      <c r="BW116" s="315"/>
      <c r="BX116" s="315">
        <f>IF(D106&gt;0.25,(BX101-BX109)*D118,BX101*D118)</f>
        <v>24601477.736891069</v>
      </c>
    </row>
    <row r="117" spans="3:76">
      <c r="C117" s="314" t="s">
        <v>340</v>
      </c>
      <c r="D117" s="323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15"/>
      <c r="AH117" s="315"/>
      <c r="AI117" s="315"/>
      <c r="AJ117" s="315"/>
      <c r="AK117" s="315"/>
      <c r="AL117" s="315"/>
      <c r="AM117" s="315"/>
      <c r="AN117" s="315"/>
      <c r="AO117" s="315"/>
      <c r="AP117" s="315"/>
      <c r="AQ117" s="315"/>
      <c r="AR117" s="315"/>
      <c r="AS117" s="315"/>
      <c r="AT117" s="315"/>
      <c r="AU117" s="315"/>
      <c r="AV117" s="315"/>
      <c r="AW117" s="315"/>
      <c r="AX117" s="315"/>
      <c r="AY117" s="315"/>
      <c r="AZ117" s="315"/>
      <c r="BA117" s="315"/>
      <c r="BB117" s="315"/>
      <c r="BC117" s="315"/>
      <c r="BD117" s="315"/>
      <c r="BE117" s="315"/>
      <c r="BF117" s="315"/>
      <c r="BG117" s="315"/>
      <c r="BH117" s="315"/>
      <c r="BI117" s="315"/>
      <c r="BJ117" s="315"/>
      <c r="BK117" s="315"/>
      <c r="BL117" s="315"/>
      <c r="BM117" s="315"/>
      <c r="BN117" s="315"/>
      <c r="BO117" s="315"/>
      <c r="BP117" s="315"/>
      <c r="BQ117" s="315"/>
      <c r="BR117" s="315"/>
      <c r="BS117" s="315"/>
      <c r="BT117" s="315"/>
      <c r="BU117" s="315"/>
      <c r="BV117" s="315"/>
      <c r="BW117" s="315"/>
      <c r="BX117" s="315">
        <f>IF(D106&gt;0.25,BX109,0)</f>
        <v>6150369.4342227671</v>
      </c>
    </row>
    <row r="118" spans="3:76">
      <c r="C118" s="317" t="s">
        <v>345</v>
      </c>
      <c r="D118" s="323">
        <v>1</v>
      </c>
      <c r="E118" s="246"/>
      <c r="F118" s="246"/>
      <c r="G118" s="246"/>
      <c r="H118" s="246"/>
      <c r="I118" s="246"/>
      <c r="J118" s="246"/>
      <c r="K118" s="246"/>
      <c r="L118" s="246"/>
      <c r="M118" s="246"/>
      <c r="N118" s="246"/>
      <c r="O118" s="246"/>
      <c r="P118" s="246"/>
      <c r="Q118" s="246"/>
      <c r="R118" s="246"/>
      <c r="S118" s="246"/>
      <c r="T118" s="246"/>
      <c r="U118" s="246"/>
      <c r="V118" s="246"/>
      <c r="W118" s="246"/>
      <c r="X118" s="246"/>
      <c r="Y118" s="246"/>
      <c r="Z118" s="246"/>
      <c r="AA118" s="246"/>
      <c r="AB118" s="246"/>
      <c r="AC118" s="246"/>
      <c r="AD118" s="246"/>
      <c r="AE118" s="246"/>
      <c r="AF118" s="246"/>
      <c r="AG118" s="246"/>
      <c r="AH118" s="246"/>
      <c r="AI118" s="246"/>
      <c r="AJ118" s="246"/>
      <c r="AK118" s="246"/>
      <c r="AL118" s="246"/>
      <c r="AM118" s="246"/>
      <c r="AN118" s="246"/>
      <c r="AO118" s="246"/>
      <c r="AP118" s="246"/>
      <c r="AQ118" s="246"/>
      <c r="AR118" s="246"/>
      <c r="AS118" s="246"/>
      <c r="AT118" s="246"/>
      <c r="AU118" s="246"/>
      <c r="AV118" s="246"/>
      <c r="AW118" s="246"/>
      <c r="AX118" s="246"/>
      <c r="AY118" s="246"/>
      <c r="AZ118" s="246"/>
      <c r="BA118" s="246"/>
      <c r="BB118" s="246"/>
      <c r="BC118" s="324"/>
      <c r="BD118" s="246"/>
      <c r="BE118" s="246"/>
      <c r="BF118" s="246"/>
      <c r="BG118" s="246"/>
      <c r="BH118" s="246"/>
      <c r="BI118" s="246"/>
      <c r="BJ118" s="246"/>
      <c r="BK118" s="246"/>
      <c r="BL118" s="246"/>
      <c r="BM118" s="246"/>
      <c r="BN118" s="246"/>
      <c r="BO118" s="246"/>
      <c r="BP118" s="246"/>
      <c r="BQ118" s="246"/>
      <c r="BR118" s="246"/>
      <c r="BS118" s="246"/>
      <c r="BT118" s="246"/>
      <c r="BU118" s="246"/>
      <c r="BV118" s="246"/>
      <c r="BW118" s="246"/>
      <c r="BX118" s="246"/>
    </row>
    <row r="119" spans="3:76">
      <c r="C119" s="314" t="s">
        <v>346</v>
      </c>
      <c r="D119" s="318"/>
      <c r="E119" s="325">
        <f t="shared" ref="E119:BW119" si="47">E113+E114+E115+E116+E118</f>
        <v>0</v>
      </c>
      <c r="F119" s="325">
        <f t="shared" si="47"/>
        <v>0</v>
      </c>
      <c r="G119" s="325">
        <f t="shared" si="47"/>
        <v>0</v>
      </c>
      <c r="H119" s="325">
        <f t="shared" si="47"/>
        <v>-24698335</v>
      </c>
      <c r="I119" s="325">
        <f t="shared" si="47"/>
        <v>0</v>
      </c>
      <c r="J119" s="325">
        <f t="shared" si="47"/>
        <v>0</v>
      </c>
      <c r="K119" s="325">
        <f t="shared" si="47"/>
        <v>-885000</v>
      </c>
      <c r="L119" s="325">
        <f t="shared" si="47"/>
        <v>-1940000</v>
      </c>
      <c r="M119" s="325">
        <f t="shared" si="47"/>
        <v>-4260000</v>
      </c>
      <c r="N119" s="325">
        <f t="shared" si="47"/>
        <v>0</v>
      </c>
      <c r="O119" s="325">
        <f t="shared" si="47"/>
        <v>-320000</v>
      </c>
      <c r="P119" s="325">
        <f t="shared" si="47"/>
        <v>-320000</v>
      </c>
      <c r="Q119" s="325">
        <f t="shared" si="47"/>
        <v>0</v>
      </c>
      <c r="R119" s="325">
        <f t="shared" si="47"/>
        <v>-1500000</v>
      </c>
      <c r="S119" s="325">
        <f t="shared" si="47"/>
        <v>-2300000</v>
      </c>
      <c r="T119" s="325">
        <f t="shared" si="47"/>
        <v>-7300000</v>
      </c>
      <c r="U119" s="325">
        <f t="shared" si="47"/>
        <v>-5000000</v>
      </c>
      <c r="V119" s="325">
        <f t="shared" si="47"/>
        <v>-1000000</v>
      </c>
      <c r="W119" s="325">
        <f t="shared" si="47"/>
        <v>0</v>
      </c>
      <c r="X119" s="325">
        <f t="shared" si="47"/>
        <v>0</v>
      </c>
      <c r="Y119" s="325">
        <f t="shared" si="47"/>
        <v>0</v>
      </c>
      <c r="Z119" s="325">
        <f t="shared" si="47"/>
        <v>0</v>
      </c>
      <c r="AA119" s="325">
        <f t="shared" si="47"/>
        <v>0</v>
      </c>
      <c r="AB119" s="325">
        <f t="shared" si="47"/>
        <v>0</v>
      </c>
      <c r="AC119" s="325">
        <f t="shared" si="47"/>
        <v>0</v>
      </c>
      <c r="AD119" s="325">
        <f t="shared" si="47"/>
        <v>0</v>
      </c>
      <c r="AE119" s="325">
        <f t="shared" si="47"/>
        <v>0</v>
      </c>
      <c r="AF119" s="325">
        <f t="shared" si="47"/>
        <v>77200180.633963153</v>
      </c>
      <c r="AG119" s="325">
        <f t="shared" si="47"/>
        <v>0</v>
      </c>
      <c r="AH119" s="325">
        <f t="shared" si="47"/>
        <v>0</v>
      </c>
      <c r="AI119" s="325">
        <f t="shared" si="47"/>
        <v>0</v>
      </c>
      <c r="AJ119" s="325">
        <f t="shared" si="47"/>
        <v>0</v>
      </c>
      <c r="AK119" s="325">
        <f t="shared" si="47"/>
        <v>0</v>
      </c>
      <c r="AL119" s="325">
        <f t="shared" si="47"/>
        <v>0</v>
      </c>
      <c r="AM119" s="325">
        <f t="shared" si="47"/>
        <v>0</v>
      </c>
      <c r="AN119" s="325">
        <f t="shared" si="47"/>
        <v>0</v>
      </c>
      <c r="AO119" s="325">
        <f t="shared" si="47"/>
        <v>0</v>
      </c>
      <c r="AP119" s="325">
        <f t="shared" si="47"/>
        <v>0</v>
      </c>
      <c r="AQ119" s="325">
        <f t="shared" si="47"/>
        <v>0</v>
      </c>
      <c r="AR119" s="325">
        <f t="shared" si="47"/>
        <v>0</v>
      </c>
      <c r="AS119" s="325">
        <f t="shared" si="47"/>
        <v>0</v>
      </c>
      <c r="AT119" s="325">
        <f t="shared" si="47"/>
        <v>0</v>
      </c>
      <c r="AU119" s="325">
        <f t="shared" si="47"/>
        <v>0</v>
      </c>
      <c r="AV119" s="325">
        <f t="shared" si="47"/>
        <v>0</v>
      </c>
      <c r="AW119" s="325">
        <f t="shared" si="47"/>
        <v>0</v>
      </c>
      <c r="AX119" s="325">
        <f t="shared" si="47"/>
        <v>0</v>
      </c>
      <c r="AY119" s="325">
        <f t="shared" si="47"/>
        <v>0</v>
      </c>
      <c r="AZ119" s="325">
        <f t="shared" si="47"/>
        <v>0</v>
      </c>
      <c r="BA119" s="325">
        <f t="shared" si="47"/>
        <v>0</v>
      </c>
      <c r="BB119" s="325">
        <f t="shared" si="47"/>
        <v>0</v>
      </c>
      <c r="BC119" s="325">
        <f t="shared" si="47"/>
        <v>0</v>
      </c>
      <c r="BD119" s="325">
        <f t="shared" si="47"/>
        <v>0</v>
      </c>
      <c r="BE119" s="325">
        <f t="shared" si="47"/>
        <v>0</v>
      </c>
      <c r="BF119" s="325">
        <f t="shared" si="47"/>
        <v>0</v>
      </c>
      <c r="BG119" s="325">
        <f t="shared" si="47"/>
        <v>0</v>
      </c>
      <c r="BH119" s="325">
        <f t="shared" si="47"/>
        <v>0</v>
      </c>
      <c r="BI119" s="325">
        <f t="shared" si="47"/>
        <v>0</v>
      </c>
      <c r="BJ119" s="325">
        <f t="shared" si="47"/>
        <v>0</v>
      </c>
      <c r="BK119" s="325">
        <f t="shared" si="47"/>
        <v>0</v>
      </c>
      <c r="BL119" s="325">
        <f t="shared" si="47"/>
        <v>0</v>
      </c>
      <c r="BM119" s="325">
        <f t="shared" si="47"/>
        <v>0</v>
      </c>
      <c r="BN119" s="325">
        <f t="shared" si="47"/>
        <v>0</v>
      </c>
      <c r="BO119" s="325">
        <f t="shared" si="47"/>
        <v>0</v>
      </c>
      <c r="BP119" s="325">
        <f t="shared" si="47"/>
        <v>0</v>
      </c>
      <c r="BQ119" s="325">
        <f t="shared" si="47"/>
        <v>0</v>
      </c>
      <c r="BR119" s="325">
        <f t="shared" si="47"/>
        <v>0</v>
      </c>
      <c r="BS119" s="325">
        <f t="shared" si="47"/>
        <v>0</v>
      </c>
      <c r="BT119" s="325">
        <f t="shared" si="47"/>
        <v>0</v>
      </c>
      <c r="BU119" s="325">
        <f t="shared" si="47"/>
        <v>0</v>
      </c>
      <c r="BV119" s="325">
        <f t="shared" si="47"/>
        <v>0</v>
      </c>
      <c r="BW119" s="325">
        <f t="shared" si="47"/>
        <v>0</v>
      </c>
      <c r="BX119" s="325">
        <f>BX113+BX114+BX115+BX116+BX117+BX118</f>
        <v>30751847.171113834</v>
      </c>
    </row>
    <row r="120" spans="3:76">
      <c r="C120" s="317" t="s">
        <v>339</v>
      </c>
      <c r="D120" s="326">
        <f>IRR(H119:AF119)*12</f>
        <v>0.277418197790813</v>
      </c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6"/>
      <c r="BQ120" s="226"/>
      <c r="BR120" s="226"/>
      <c r="BS120" s="226"/>
      <c r="BT120" s="226"/>
      <c r="BU120" s="226"/>
      <c r="BV120" s="226"/>
      <c r="BW120" s="226"/>
      <c r="BX120" s="226"/>
    </row>
    <row r="121" spans="3:76">
      <c r="C121" s="327" t="s">
        <v>347</v>
      </c>
      <c r="D121" s="328">
        <f>SUM(BY5:BY6)</f>
        <v>41190002</v>
      </c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  <c r="BX121" s="226"/>
    </row>
    <row r="122" spans="3:76">
      <c r="C122" s="327" t="s">
        <v>348</v>
      </c>
      <c r="D122" s="328">
        <f>-SUM(E114:BM114)</f>
        <v>8333333</v>
      </c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>
        <f>AF119</f>
        <v>77200180.633963153</v>
      </c>
      <c r="AG122" s="226">
        <f>AF122-AF113-AF115</f>
        <v>30751847.171113838</v>
      </c>
      <c r="AH122" s="226">
        <f>AG122-D122</f>
        <v>22418514.171113838</v>
      </c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  <c r="BX122" s="226"/>
    </row>
    <row r="123" spans="3:76">
      <c r="C123" s="317" t="s">
        <v>349</v>
      </c>
      <c r="D123" s="329">
        <f>D121+D122</f>
        <v>49523335</v>
      </c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784"/>
      <c r="T123" s="772"/>
      <c r="U123" s="226"/>
      <c r="V123" s="226"/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>
        <f>AF122-D123</f>
        <v>27676845.633963153</v>
      </c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Y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  <c r="BX123" s="226"/>
    </row>
    <row r="124" spans="3:76">
      <c r="C124" s="317" t="s">
        <v>350</v>
      </c>
      <c r="D124" s="329">
        <f>AF115+AF116</f>
        <v>36010178.633963153</v>
      </c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784"/>
      <c r="T124" s="772"/>
      <c r="U124" s="226"/>
      <c r="V124" s="226"/>
      <c r="W124" s="226"/>
      <c r="X124" s="226"/>
      <c r="Y124" s="226"/>
      <c r="Z124" s="226"/>
      <c r="AA124" s="226"/>
      <c r="AB124" s="226"/>
      <c r="AC124" s="226"/>
      <c r="AD124" s="226"/>
      <c r="AE124" s="226"/>
      <c r="AF124" s="226"/>
      <c r="AG124" s="226"/>
      <c r="AH124" s="226"/>
      <c r="AI124" s="226"/>
      <c r="AJ124" s="226"/>
      <c r="AK124" s="226"/>
      <c r="AL124" s="226"/>
      <c r="AM124" s="226"/>
      <c r="AN124" s="226"/>
      <c r="AO124" s="226"/>
      <c r="AP124" s="226"/>
      <c r="AQ124" s="226"/>
      <c r="AR124" s="226"/>
      <c r="AS124" s="226"/>
      <c r="AT124" s="226"/>
      <c r="AU124" s="226"/>
      <c r="AV124" s="226"/>
      <c r="AW124" s="226"/>
      <c r="AX124" s="226"/>
      <c r="AY124" s="226"/>
      <c r="AZ124" s="226"/>
      <c r="BA124" s="226"/>
      <c r="BB124" s="226"/>
      <c r="BC124" s="226"/>
      <c r="BD124" s="226"/>
      <c r="BE124" s="226"/>
      <c r="BF124" s="226"/>
      <c r="BG124" s="226"/>
      <c r="BH124" s="226"/>
      <c r="BI124" s="226"/>
      <c r="BJ124" s="226"/>
      <c r="BK124" s="226"/>
      <c r="BL124" s="226"/>
      <c r="BM124" s="226"/>
      <c r="BN124" s="226"/>
      <c r="BO124" s="226"/>
      <c r="BP124" s="226"/>
      <c r="BQ124" s="226"/>
      <c r="BR124" s="226"/>
      <c r="BS124" s="226"/>
      <c r="BT124" s="226"/>
      <c r="BU124" s="226"/>
      <c r="BV124" s="226"/>
      <c r="BW124" s="226"/>
      <c r="BX124" s="226"/>
    </row>
    <row r="125" spans="3:76">
      <c r="C125" s="317" t="s">
        <v>351</v>
      </c>
      <c r="D125" s="326">
        <f>(D124-D122)/D123</f>
        <v>0.55886473788494162</v>
      </c>
      <c r="E125" s="226"/>
      <c r="F125" s="242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/>
      <c r="T125" s="226"/>
      <c r="U125" s="226"/>
      <c r="V125" s="226"/>
      <c r="W125" s="226"/>
      <c r="X125" s="226"/>
      <c r="Y125" s="226"/>
      <c r="Z125" s="226"/>
      <c r="AA125" s="226"/>
      <c r="AB125" s="226"/>
      <c r="AC125" s="226"/>
      <c r="AD125" s="226"/>
      <c r="AE125" s="226"/>
      <c r="AF125" s="226">
        <f>D123</f>
        <v>49523335</v>
      </c>
      <c r="AG125" s="226"/>
      <c r="AH125" s="226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AY125" s="226"/>
      <c r="AZ125" s="226"/>
      <c r="BA125" s="226"/>
      <c r="BB125" s="226"/>
      <c r="BC125" s="226"/>
      <c r="BD125" s="226"/>
      <c r="BE125" s="226"/>
      <c r="BF125" s="226"/>
      <c r="BG125" s="226"/>
      <c r="BH125" s="226"/>
      <c r="BI125" s="226"/>
      <c r="BJ125" s="226"/>
      <c r="BK125" s="226"/>
      <c r="BL125" s="226"/>
      <c r="BM125" s="226"/>
      <c r="BN125" s="226"/>
      <c r="BO125" s="226"/>
      <c r="BP125" s="226"/>
      <c r="BQ125" s="226"/>
      <c r="BR125" s="226"/>
      <c r="BS125" s="226"/>
      <c r="BT125" s="226"/>
      <c r="BU125" s="226"/>
      <c r="BV125" s="226"/>
      <c r="BW125" s="226"/>
      <c r="BX125" s="226"/>
    </row>
    <row r="126" spans="3:76"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42"/>
      <c r="W126" s="226"/>
      <c r="X126" s="226"/>
      <c r="Y126" s="226"/>
      <c r="Z126" s="226"/>
      <c r="AA126" s="226"/>
      <c r="AB126" s="226"/>
      <c r="AC126" s="226"/>
      <c r="AD126" s="226"/>
      <c r="AE126" s="226"/>
      <c r="AF126" s="226"/>
      <c r="AG126" s="226"/>
      <c r="AH126" s="226"/>
      <c r="AI126" s="226"/>
      <c r="AJ126" s="226"/>
      <c r="AK126" s="226"/>
      <c r="AL126" s="226"/>
      <c r="AM126" s="226"/>
      <c r="AN126" s="226"/>
      <c r="AO126" s="226"/>
      <c r="AP126" s="226"/>
      <c r="AQ126" s="226"/>
      <c r="AR126" s="226"/>
      <c r="AS126" s="226"/>
      <c r="AT126" s="226"/>
      <c r="AU126" s="226"/>
      <c r="AV126" s="226"/>
      <c r="AW126" s="226"/>
      <c r="AX126" s="226"/>
      <c r="AY126" s="226"/>
      <c r="AZ126" s="226"/>
      <c r="BA126" s="226"/>
      <c r="BB126" s="226"/>
      <c r="BC126" s="226"/>
      <c r="BD126" s="226"/>
      <c r="BE126" s="226"/>
      <c r="BF126" s="226"/>
      <c r="BG126" s="226"/>
      <c r="BH126" s="226"/>
      <c r="BI126" s="226"/>
      <c r="BJ126" s="226"/>
      <c r="BK126" s="226"/>
      <c r="BL126" s="226"/>
      <c r="BM126" s="226"/>
      <c r="BN126" s="226"/>
      <c r="BO126" s="226"/>
      <c r="BP126" s="226"/>
      <c r="BQ126" s="226"/>
      <c r="BR126" s="226"/>
      <c r="BS126" s="226"/>
      <c r="BT126" s="226"/>
      <c r="BU126" s="226"/>
      <c r="BV126" s="226"/>
      <c r="BW126" s="226"/>
      <c r="BX126" s="226"/>
    </row>
    <row r="127" spans="3:76">
      <c r="E127" s="226"/>
      <c r="F127" s="226"/>
      <c r="G127" s="226"/>
      <c r="H127" s="226"/>
      <c r="I127" s="226"/>
      <c r="J127" s="226"/>
      <c r="K127" s="226"/>
      <c r="L127" s="22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26"/>
      <c r="X127" s="226"/>
      <c r="Y127" s="226"/>
      <c r="Z127" s="226"/>
      <c r="AA127" s="226"/>
      <c r="AB127" s="226"/>
      <c r="AC127" s="226"/>
      <c r="AD127" s="226"/>
      <c r="AE127" s="226"/>
      <c r="AF127" s="226"/>
      <c r="AG127" s="226"/>
      <c r="AH127" s="226"/>
      <c r="AI127" s="226"/>
      <c r="AJ127" s="226"/>
      <c r="AK127" s="226"/>
      <c r="AL127" s="226"/>
      <c r="AM127" s="226"/>
      <c r="AN127" s="226"/>
      <c r="AO127" s="226"/>
      <c r="AP127" s="226"/>
      <c r="AQ127" s="226"/>
      <c r="AR127" s="226"/>
      <c r="AS127" s="226"/>
      <c r="AT127" s="226"/>
      <c r="AU127" s="226"/>
      <c r="AV127" s="226"/>
      <c r="AW127" s="226"/>
      <c r="AX127" s="226"/>
      <c r="AY127" s="226"/>
      <c r="AZ127" s="226"/>
      <c r="BA127" s="226"/>
      <c r="BB127" s="226"/>
      <c r="BC127" s="226"/>
      <c r="BD127" s="226"/>
      <c r="BE127" s="226"/>
      <c r="BF127" s="226"/>
      <c r="BG127" s="226"/>
      <c r="BH127" s="226"/>
      <c r="BI127" s="226"/>
      <c r="BJ127" s="226"/>
      <c r="BK127" s="226"/>
      <c r="BL127" s="226"/>
      <c r="BM127" s="226"/>
      <c r="BN127" s="226"/>
      <c r="BO127" s="226"/>
      <c r="BP127" s="226"/>
      <c r="BQ127" s="226"/>
      <c r="BR127" s="226"/>
      <c r="BS127" s="226"/>
      <c r="BT127" s="226"/>
      <c r="BU127" s="226"/>
      <c r="BV127" s="226"/>
      <c r="BW127" s="226"/>
      <c r="BX127" s="226"/>
    </row>
    <row r="128" spans="3:76" hidden="1">
      <c r="E128" s="226"/>
      <c r="F128" s="226"/>
      <c r="G128" s="226"/>
      <c r="H128" s="226">
        <f t="shared" ref="H128:Z128" si="48">-SUM(H5:H6)</f>
        <v>-16365002</v>
      </c>
      <c r="I128" s="226">
        <f t="shared" si="48"/>
        <v>0</v>
      </c>
      <c r="J128" s="226">
        <f t="shared" si="48"/>
        <v>0</v>
      </c>
      <c r="K128" s="226">
        <f t="shared" si="48"/>
        <v>-885000</v>
      </c>
      <c r="L128" s="226">
        <f t="shared" si="48"/>
        <v>-1940000</v>
      </c>
      <c r="M128" s="226">
        <f t="shared" si="48"/>
        <v>-4260000</v>
      </c>
      <c r="N128" s="226">
        <f t="shared" si="48"/>
        <v>0</v>
      </c>
      <c r="O128" s="226">
        <f t="shared" si="48"/>
        <v>-320000</v>
      </c>
      <c r="P128" s="226">
        <f t="shared" si="48"/>
        <v>-320000</v>
      </c>
      <c r="Q128" s="226">
        <f t="shared" si="48"/>
        <v>0</v>
      </c>
      <c r="R128" s="226">
        <f t="shared" si="48"/>
        <v>-1500000</v>
      </c>
      <c r="S128" s="226">
        <f t="shared" si="48"/>
        <v>-2300000</v>
      </c>
      <c r="T128" s="226">
        <f t="shared" si="48"/>
        <v>-7300000</v>
      </c>
      <c r="U128" s="226">
        <f t="shared" si="48"/>
        <v>-5000000</v>
      </c>
      <c r="V128" s="226">
        <f t="shared" si="48"/>
        <v>-1000000</v>
      </c>
      <c r="W128" s="226">
        <f t="shared" si="48"/>
        <v>0</v>
      </c>
      <c r="X128" s="226">
        <f t="shared" si="48"/>
        <v>0</v>
      </c>
      <c r="Y128" s="226">
        <f t="shared" si="48"/>
        <v>0</v>
      </c>
      <c r="Z128" s="226">
        <f t="shared" si="48"/>
        <v>0</v>
      </c>
      <c r="AA128" s="226">
        <f>-SUM(H128:Z128)+AA101-AA56-AA57-5000000</f>
        <v>45594005.511011019</v>
      </c>
      <c r="AB128" s="226">
        <f>AA128+SUM(H128:Z128)</f>
        <v>4404003.5110110193</v>
      </c>
      <c r="AC128" s="242">
        <f>AB128/-SUM(H128:Z128)</f>
        <v>0.10691923518263047</v>
      </c>
      <c r="AD128" s="226"/>
      <c r="AE128" s="226"/>
      <c r="AF128" s="226"/>
      <c r="AG128" s="226"/>
      <c r="AH128" s="226"/>
      <c r="AI128" s="226"/>
      <c r="AJ128" s="226"/>
      <c r="AK128" s="226"/>
      <c r="AL128" s="226"/>
      <c r="AM128" s="226"/>
      <c r="AN128" s="226"/>
      <c r="AO128" s="242">
        <f>AC128/20*12</f>
        <v>6.4151541109578269E-2</v>
      </c>
      <c r="AP128" s="226"/>
      <c r="AQ128" s="226"/>
      <c r="AR128" s="226"/>
      <c r="AS128" s="226"/>
      <c r="AT128" s="226"/>
      <c r="AU128" s="226"/>
      <c r="AV128" s="226"/>
      <c r="AW128" s="226"/>
      <c r="AX128" s="226"/>
      <c r="AY128" s="226"/>
      <c r="AZ128" s="226"/>
      <c r="BA128" s="226"/>
      <c r="BB128" s="226"/>
      <c r="BC128" s="226"/>
      <c r="BD128" s="226"/>
      <c r="BE128" s="226"/>
      <c r="BF128" s="226"/>
      <c r="BG128" s="226"/>
      <c r="BH128" s="226"/>
      <c r="BI128" s="226"/>
      <c r="BJ128" s="226"/>
      <c r="BK128" s="226"/>
      <c r="BL128" s="226"/>
      <c r="BM128" s="226"/>
      <c r="BN128" s="226"/>
      <c r="BO128" s="226"/>
      <c r="BP128" s="226"/>
      <c r="BQ128" s="226"/>
      <c r="BR128" s="226"/>
      <c r="BS128" s="226"/>
      <c r="BT128" s="226"/>
      <c r="BU128" s="226"/>
      <c r="BV128" s="226"/>
      <c r="BW128" s="226"/>
      <c r="BX128" s="226"/>
    </row>
    <row r="129" spans="3:76" hidden="1">
      <c r="E129" s="226"/>
      <c r="F129" s="226"/>
      <c r="G129" s="242">
        <f>IRR(H128:AA128)*12</f>
        <v>9.264490187534502E-2</v>
      </c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26"/>
      <c r="X129" s="226"/>
      <c r="Y129" s="226"/>
      <c r="Z129" s="226"/>
      <c r="AA129" s="226"/>
      <c r="AB129" s="226"/>
      <c r="AC129" s="226"/>
      <c r="AD129" s="226"/>
      <c r="AE129" s="226"/>
      <c r="AF129" s="226"/>
      <c r="AG129" s="226"/>
      <c r="AH129" s="226"/>
      <c r="AI129" s="226"/>
      <c r="AJ129" s="226"/>
      <c r="AK129" s="226"/>
      <c r="AL129" s="226"/>
      <c r="AM129" s="226"/>
      <c r="AN129" s="226"/>
      <c r="AO129" s="226"/>
      <c r="AP129" s="226"/>
      <c r="AQ129" s="226"/>
      <c r="AR129" s="226"/>
      <c r="AS129" s="226"/>
      <c r="AT129" s="226"/>
      <c r="AU129" s="226"/>
      <c r="AV129" s="226"/>
      <c r="AW129" s="226"/>
      <c r="AX129" s="226"/>
      <c r="AY129" s="226"/>
      <c r="AZ129" s="226"/>
      <c r="BA129" s="226"/>
      <c r="BB129" s="226"/>
      <c r="BC129" s="226"/>
      <c r="BD129" s="226"/>
      <c r="BE129" s="226"/>
      <c r="BF129" s="226"/>
      <c r="BG129" s="226"/>
      <c r="BH129" s="226"/>
      <c r="BI129" s="226"/>
      <c r="BJ129" s="226"/>
      <c r="BK129" s="226"/>
      <c r="BL129" s="226"/>
      <c r="BM129" s="226"/>
      <c r="BN129" s="226"/>
      <c r="BO129" s="226"/>
      <c r="BP129" s="226"/>
      <c r="BQ129" s="226"/>
      <c r="BR129" s="226"/>
      <c r="BS129" s="226"/>
      <c r="BT129" s="226"/>
      <c r="BU129" s="226"/>
      <c r="BV129" s="226"/>
      <c r="BW129" s="226"/>
      <c r="BX129" s="226"/>
    </row>
    <row r="130" spans="3:76" hidden="1"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26"/>
      <c r="S130" s="226"/>
      <c r="T130" s="226"/>
      <c r="U130" s="226"/>
      <c r="V130" s="226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26"/>
      <c r="AG130" s="226"/>
      <c r="AH130" s="226"/>
      <c r="AI130" s="226"/>
      <c r="AJ130" s="226"/>
      <c r="AK130" s="226"/>
      <c r="AL130" s="226"/>
      <c r="AM130" s="226"/>
      <c r="AN130" s="226"/>
      <c r="AO130" s="226"/>
      <c r="AP130" s="226"/>
      <c r="AQ130" s="226"/>
      <c r="AR130" s="226"/>
      <c r="AS130" s="226"/>
      <c r="AT130" s="226"/>
      <c r="AU130" s="226"/>
      <c r="AV130" s="226"/>
      <c r="AW130" s="226"/>
      <c r="AX130" s="226"/>
      <c r="AY130" s="226"/>
      <c r="AZ130" s="226"/>
      <c r="BA130" s="226"/>
      <c r="BB130" s="226"/>
      <c r="BC130" s="226"/>
      <c r="BD130" s="226"/>
      <c r="BE130" s="226"/>
      <c r="BF130" s="226"/>
      <c r="BG130" s="226"/>
      <c r="BH130" s="226"/>
      <c r="BI130" s="226"/>
      <c r="BJ130" s="226"/>
      <c r="BK130" s="226"/>
      <c r="BL130" s="226"/>
      <c r="BM130" s="226"/>
      <c r="BN130" s="226"/>
      <c r="BO130" s="226"/>
      <c r="BP130" s="226"/>
      <c r="BQ130" s="226"/>
      <c r="BR130" s="226"/>
      <c r="BS130" s="226"/>
      <c r="BT130" s="226"/>
      <c r="BU130" s="226"/>
      <c r="BV130" s="226"/>
      <c r="BW130" s="226"/>
      <c r="BX130" s="226"/>
    </row>
    <row r="131" spans="3:76" hidden="1">
      <c r="C131" s="314" t="s">
        <v>352</v>
      </c>
      <c r="D131" s="315"/>
      <c r="E131" s="315">
        <f t="shared" ref="E131:BX131" si="49">-(E6+E92)</f>
        <v>0</v>
      </c>
      <c r="F131" s="315">
        <f t="shared" si="49"/>
        <v>0</v>
      </c>
      <c r="G131" s="315">
        <f t="shared" si="49"/>
        <v>0</v>
      </c>
      <c r="H131" s="315">
        <f t="shared" si="49"/>
        <v>0</v>
      </c>
      <c r="I131" s="315">
        <f t="shared" si="49"/>
        <v>0</v>
      </c>
      <c r="J131" s="315">
        <f t="shared" si="49"/>
        <v>0</v>
      </c>
      <c r="K131" s="315">
        <f t="shared" si="49"/>
        <v>-885000</v>
      </c>
      <c r="L131" s="315">
        <f t="shared" si="49"/>
        <v>-1940000</v>
      </c>
      <c r="M131" s="315">
        <f t="shared" si="49"/>
        <v>-4260000</v>
      </c>
      <c r="N131" s="315">
        <f t="shared" si="49"/>
        <v>0</v>
      </c>
      <c r="O131" s="315">
        <f t="shared" si="49"/>
        <v>-320000</v>
      </c>
      <c r="P131" s="315">
        <f t="shared" si="49"/>
        <v>-320000</v>
      </c>
      <c r="Q131" s="315">
        <f t="shared" si="49"/>
        <v>0</v>
      </c>
      <c r="R131" s="315">
        <f t="shared" si="49"/>
        <v>-1500000</v>
      </c>
      <c r="S131" s="315">
        <f t="shared" si="49"/>
        <v>-2300000</v>
      </c>
      <c r="T131" s="315">
        <f t="shared" si="49"/>
        <v>-7300000</v>
      </c>
      <c r="U131" s="315">
        <f t="shared" si="49"/>
        <v>-5000000</v>
      </c>
      <c r="V131" s="315">
        <f t="shared" si="49"/>
        <v>-1000000</v>
      </c>
      <c r="W131" s="315">
        <f t="shared" si="49"/>
        <v>0</v>
      </c>
      <c r="X131" s="315">
        <f t="shared" si="49"/>
        <v>0</v>
      </c>
      <c r="Y131" s="315">
        <f t="shared" si="49"/>
        <v>0</v>
      </c>
      <c r="Z131" s="315">
        <f t="shared" si="49"/>
        <v>0</v>
      </c>
      <c r="AA131" s="315">
        <f t="shared" si="49"/>
        <v>0</v>
      </c>
      <c r="AB131" s="315">
        <f t="shared" si="49"/>
        <v>0</v>
      </c>
      <c r="AC131" s="315">
        <f t="shared" si="49"/>
        <v>0</v>
      </c>
      <c r="AD131" s="315">
        <f t="shared" si="49"/>
        <v>0</v>
      </c>
      <c r="AE131" s="315">
        <f t="shared" si="49"/>
        <v>0</v>
      </c>
      <c r="AF131" s="315">
        <f t="shared" si="49"/>
        <v>24825000</v>
      </c>
      <c r="AG131" s="315">
        <f t="shared" si="49"/>
        <v>0</v>
      </c>
      <c r="AH131" s="315">
        <f t="shared" si="49"/>
        <v>0</v>
      </c>
      <c r="AI131" s="315">
        <f t="shared" si="49"/>
        <v>0</v>
      </c>
      <c r="AJ131" s="315">
        <f t="shared" si="49"/>
        <v>0</v>
      </c>
      <c r="AK131" s="315">
        <f t="shared" si="49"/>
        <v>0</v>
      </c>
      <c r="AL131" s="315">
        <f t="shared" si="49"/>
        <v>0</v>
      </c>
      <c r="AM131" s="315">
        <f t="shared" si="49"/>
        <v>0</v>
      </c>
      <c r="AN131" s="315">
        <f t="shared" si="49"/>
        <v>0</v>
      </c>
      <c r="AO131" s="315">
        <f t="shared" si="49"/>
        <v>0</v>
      </c>
      <c r="AP131" s="315">
        <f t="shared" si="49"/>
        <v>0</v>
      </c>
      <c r="AQ131" s="315">
        <f t="shared" si="49"/>
        <v>0</v>
      </c>
      <c r="AR131" s="315">
        <f t="shared" si="49"/>
        <v>0</v>
      </c>
      <c r="AS131" s="315">
        <f t="shared" si="49"/>
        <v>0</v>
      </c>
      <c r="AT131" s="315">
        <f t="shared" si="49"/>
        <v>0</v>
      </c>
      <c r="AU131" s="315">
        <f t="shared" si="49"/>
        <v>0</v>
      </c>
      <c r="AV131" s="315">
        <f t="shared" si="49"/>
        <v>0</v>
      </c>
      <c r="AW131" s="315">
        <f t="shared" si="49"/>
        <v>0</v>
      </c>
      <c r="AX131" s="315">
        <f t="shared" si="49"/>
        <v>0</v>
      </c>
      <c r="AY131" s="315">
        <f t="shared" si="49"/>
        <v>0</v>
      </c>
      <c r="AZ131" s="315">
        <f t="shared" si="49"/>
        <v>0</v>
      </c>
      <c r="BA131" s="315">
        <f t="shared" si="49"/>
        <v>0</v>
      </c>
      <c r="BB131" s="315">
        <f t="shared" si="49"/>
        <v>0</v>
      </c>
      <c r="BC131" s="315">
        <f t="shared" si="49"/>
        <v>0</v>
      </c>
      <c r="BD131" s="315">
        <f t="shared" si="49"/>
        <v>0</v>
      </c>
      <c r="BE131" s="315">
        <f t="shared" si="49"/>
        <v>0</v>
      </c>
      <c r="BF131" s="315">
        <f t="shared" si="49"/>
        <v>0</v>
      </c>
      <c r="BG131" s="315">
        <f t="shared" si="49"/>
        <v>0</v>
      </c>
      <c r="BH131" s="315">
        <f t="shared" si="49"/>
        <v>0</v>
      </c>
      <c r="BI131" s="315">
        <f t="shared" si="49"/>
        <v>0</v>
      </c>
      <c r="BJ131" s="315">
        <f t="shared" si="49"/>
        <v>0</v>
      </c>
      <c r="BK131" s="315">
        <f t="shared" si="49"/>
        <v>0</v>
      </c>
      <c r="BL131" s="315">
        <f t="shared" si="49"/>
        <v>0</v>
      </c>
      <c r="BM131" s="315">
        <f t="shared" si="49"/>
        <v>0</v>
      </c>
      <c r="BN131" s="315">
        <f t="shared" si="49"/>
        <v>0</v>
      </c>
      <c r="BO131" s="315">
        <f t="shared" si="49"/>
        <v>0</v>
      </c>
      <c r="BP131" s="315">
        <f t="shared" si="49"/>
        <v>0</v>
      </c>
      <c r="BQ131" s="315">
        <f t="shared" si="49"/>
        <v>0</v>
      </c>
      <c r="BR131" s="315">
        <f t="shared" si="49"/>
        <v>0</v>
      </c>
      <c r="BS131" s="315">
        <f t="shared" si="49"/>
        <v>0</v>
      </c>
      <c r="BT131" s="315">
        <f t="shared" si="49"/>
        <v>0</v>
      </c>
      <c r="BU131" s="315">
        <f t="shared" si="49"/>
        <v>0</v>
      </c>
      <c r="BV131" s="315">
        <f t="shared" si="49"/>
        <v>0</v>
      </c>
      <c r="BW131" s="315">
        <f t="shared" si="49"/>
        <v>0</v>
      </c>
      <c r="BX131" s="315">
        <f t="shared" si="49"/>
        <v>0</v>
      </c>
    </row>
    <row r="132" spans="3:76" hidden="1">
      <c r="C132" s="314" t="s">
        <v>353</v>
      </c>
      <c r="D132" s="323"/>
      <c r="E132" s="315"/>
      <c r="F132" s="315"/>
      <c r="G132" s="315"/>
      <c r="H132" s="315"/>
      <c r="I132" s="315"/>
      <c r="J132" s="315"/>
      <c r="K132" s="315"/>
      <c r="L132" s="315"/>
      <c r="M132" s="315"/>
      <c r="N132" s="315"/>
      <c r="O132" s="315"/>
      <c r="P132" s="315"/>
      <c r="Q132" s="315"/>
      <c r="R132" s="315"/>
      <c r="S132" s="315"/>
      <c r="T132" s="315"/>
      <c r="U132" s="315"/>
      <c r="V132" s="315"/>
      <c r="W132" s="315"/>
      <c r="X132" s="315"/>
      <c r="Y132" s="315"/>
      <c r="Z132" s="315"/>
      <c r="AA132" s="315"/>
      <c r="AB132" s="315"/>
      <c r="AC132" s="315"/>
      <c r="AD132" s="315"/>
      <c r="AE132" s="315"/>
      <c r="AF132" s="315"/>
      <c r="AG132" s="315"/>
      <c r="AH132" s="315"/>
      <c r="AI132" s="315"/>
      <c r="AJ132" s="315"/>
      <c r="AK132" s="315"/>
      <c r="AL132" s="315"/>
      <c r="AM132" s="315"/>
      <c r="AN132" s="315"/>
      <c r="AO132" s="315"/>
      <c r="AP132" s="315"/>
      <c r="AQ132" s="315"/>
      <c r="AR132" s="315"/>
      <c r="AS132" s="315"/>
      <c r="AT132" s="315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</row>
    <row r="133" spans="3:76" hidden="1">
      <c r="C133" s="314" t="s">
        <v>343</v>
      </c>
      <c r="D133" s="323"/>
      <c r="E133" s="315">
        <f t="shared" ref="E133:BX133" si="50">-E57</f>
        <v>0</v>
      </c>
      <c r="F133" s="315">
        <f t="shared" si="50"/>
        <v>0</v>
      </c>
      <c r="G133" s="315">
        <f t="shared" si="50"/>
        <v>0</v>
      </c>
      <c r="H133" s="315">
        <f t="shared" si="50"/>
        <v>0</v>
      </c>
      <c r="I133" s="315">
        <f t="shared" si="50"/>
        <v>0</v>
      </c>
      <c r="J133" s="315">
        <f t="shared" si="50"/>
        <v>0</v>
      </c>
      <c r="K133" s="315">
        <f t="shared" si="50"/>
        <v>0</v>
      </c>
      <c r="L133" s="315">
        <f t="shared" si="50"/>
        <v>0</v>
      </c>
      <c r="M133" s="315">
        <f t="shared" si="50"/>
        <v>0</v>
      </c>
      <c r="N133" s="315">
        <f t="shared" si="50"/>
        <v>0</v>
      </c>
      <c r="O133" s="315">
        <f t="shared" si="50"/>
        <v>0</v>
      </c>
      <c r="P133" s="315">
        <f t="shared" si="50"/>
        <v>0</v>
      </c>
      <c r="Q133" s="315">
        <f t="shared" si="50"/>
        <v>0</v>
      </c>
      <c r="R133" s="315">
        <f t="shared" si="50"/>
        <v>0</v>
      </c>
      <c r="S133" s="315">
        <f t="shared" si="50"/>
        <v>0</v>
      </c>
      <c r="T133" s="315">
        <f t="shared" si="50"/>
        <v>0</v>
      </c>
      <c r="U133" s="315">
        <f t="shared" si="50"/>
        <v>0</v>
      </c>
      <c r="V133" s="315">
        <f t="shared" si="50"/>
        <v>0</v>
      </c>
      <c r="W133" s="315">
        <f t="shared" si="50"/>
        <v>0</v>
      </c>
      <c r="X133" s="315">
        <f t="shared" si="50"/>
        <v>0</v>
      </c>
      <c r="Y133" s="315">
        <f t="shared" si="50"/>
        <v>0</v>
      </c>
      <c r="Z133" s="315">
        <f t="shared" si="50"/>
        <v>0</v>
      </c>
      <c r="AA133" s="315">
        <f t="shared" si="50"/>
        <v>0</v>
      </c>
      <c r="AB133" s="315">
        <f t="shared" si="50"/>
        <v>0</v>
      </c>
      <c r="AC133" s="315">
        <f t="shared" si="50"/>
        <v>0</v>
      </c>
      <c r="AD133" s="315">
        <f t="shared" si="50"/>
        <v>0</v>
      </c>
      <c r="AE133" s="315">
        <f t="shared" si="50"/>
        <v>0</v>
      </c>
      <c r="AF133" s="315">
        <f t="shared" si="50"/>
        <v>2535912.5</v>
      </c>
      <c r="AG133" s="315">
        <f t="shared" si="50"/>
        <v>0</v>
      </c>
      <c r="AH133" s="315">
        <f t="shared" si="50"/>
        <v>0</v>
      </c>
      <c r="AI133" s="315">
        <f t="shared" si="50"/>
        <v>0</v>
      </c>
      <c r="AJ133" s="315">
        <f t="shared" si="50"/>
        <v>0</v>
      </c>
      <c r="AK133" s="315">
        <f t="shared" si="50"/>
        <v>0</v>
      </c>
      <c r="AL133" s="315">
        <f t="shared" si="50"/>
        <v>0</v>
      </c>
      <c r="AM133" s="315">
        <f t="shared" si="50"/>
        <v>0</v>
      </c>
      <c r="AN133" s="315">
        <f t="shared" si="50"/>
        <v>0</v>
      </c>
      <c r="AO133" s="315">
        <f t="shared" si="50"/>
        <v>0</v>
      </c>
      <c r="AP133" s="315">
        <f t="shared" si="50"/>
        <v>0</v>
      </c>
      <c r="AQ133" s="315">
        <f t="shared" si="50"/>
        <v>0</v>
      </c>
      <c r="AR133" s="315">
        <f t="shared" si="50"/>
        <v>0</v>
      </c>
      <c r="AS133" s="315">
        <f t="shared" si="50"/>
        <v>0</v>
      </c>
      <c r="AT133" s="315">
        <f t="shared" si="50"/>
        <v>0</v>
      </c>
      <c r="AU133" s="315">
        <f t="shared" si="50"/>
        <v>0</v>
      </c>
      <c r="AV133" s="315">
        <f t="shared" si="50"/>
        <v>0</v>
      </c>
      <c r="AW133" s="315">
        <f t="shared" si="50"/>
        <v>0</v>
      </c>
      <c r="AX133" s="315">
        <f t="shared" si="50"/>
        <v>0</v>
      </c>
      <c r="AY133" s="315">
        <f t="shared" si="50"/>
        <v>0</v>
      </c>
      <c r="AZ133" s="315">
        <f t="shared" si="50"/>
        <v>0</v>
      </c>
      <c r="BA133" s="315">
        <f t="shared" si="50"/>
        <v>0</v>
      </c>
      <c r="BB133" s="315">
        <f t="shared" si="50"/>
        <v>0</v>
      </c>
      <c r="BC133" s="315">
        <f t="shared" si="50"/>
        <v>0</v>
      </c>
      <c r="BD133" s="315">
        <f t="shared" si="50"/>
        <v>0</v>
      </c>
      <c r="BE133" s="315">
        <f t="shared" si="50"/>
        <v>0</v>
      </c>
      <c r="BF133" s="315">
        <f t="shared" si="50"/>
        <v>0</v>
      </c>
      <c r="BG133" s="315">
        <f t="shared" si="50"/>
        <v>0</v>
      </c>
      <c r="BH133" s="315">
        <f t="shared" si="50"/>
        <v>0</v>
      </c>
      <c r="BI133" s="315">
        <f t="shared" si="50"/>
        <v>0</v>
      </c>
      <c r="BJ133" s="315">
        <f t="shared" si="50"/>
        <v>0</v>
      </c>
      <c r="BK133" s="315">
        <f t="shared" si="50"/>
        <v>0</v>
      </c>
      <c r="BL133" s="315">
        <f t="shared" si="50"/>
        <v>0</v>
      </c>
      <c r="BM133" s="315">
        <f t="shared" si="50"/>
        <v>0</v>
      </c>
      <c r="BN133" s="315">
        <f t="shared" si="50"/>
        <v>0</v>
      </c>
      <c r="BO133" s="315">
        <f t="shared" si="50"/>
        <v>0</v>
      </c>
      <c r="BP133" s="315">
        <f t="shared" si="50"/>
        <v>0</v>
      </c>
      <c r="BQ133" s="315">
        <f t="shared" si="50"/>
        <v>0</v>
      </c>
      <c r="BR133" s="315">
        <f t="shared" si="50"/>
        <v>0</v>
      </c>
      <c r="BS133" s="315">
        <f t="shared" si="50"/>
        <v>0</v>
      </c>
      <c r="BT133" s="315">
        <f t="shared" si="50"/>
        <v>0</v>
      </c>
      <c r="BU133" s="315">
        <f t="shared" si="50"/>
        <v>0</v>
      </c>
      <c r="BV133" s="315">
        <f t="shared" si="50"/>
        <v>0</v>
      </c>
      <c r="BW133" s="315">
        <f t="shared" si="50"/>
        <v>0</v>
      </c>
      <c r="BX133" s="315">
        <f t="shared" si="50"/>
        <v>0</v>
      </c>
    </row>
    <row r="134" spans="3:76" hidden="1">
      <c r="C134" s="314" t="s">
        <v>344</v>
      </c>
      <c r="D134" s="323"/>
      <c r="E134" s="315"/>
      <c r="F134" s="315"/>
      <c r="G134" s="315"/>
      <c r="H134" s="315"/>
      <c r="I134" s="315"/>
      <c r="J134" s="315"/>
      <c r="K134" s="315"/>
      <c r="L134" s="315"/>
      <c r="M134" s="315"/>
      <c r="N134" s="315"/>
      <c r="O134" s="315"/>
      <c r="P134" s="315"/>
      <c r="Q134" s="315"/>
      <c r="R134" s="315"/>
      <c r="S134" s="315"/>
      <c r="T134" s="315">
        <f>T101-T150-T166-T182</f>
        <v>-541089.30381766148</v>
      </c>
      <c r="U134" s="315"/>
      <c r="V134" s="315"/>
      <c r="W134" s="315"/>
      <c r="X134" s="315"/>
      <c r="Y134" s="315"/>
      <c r="Z134" s="315"/>
      <c r="AA134" s="315"/>
      <c r="AB134" s="315"/>
      <c r="AC134" s="315"/>
      <c r="AD134" s="315"/>
      <c r="AE134" s="315"/>
      <c r="AF134" s="315"/>
      <c r="AG134" s="315"/>
      <c r="AH134" s="315"/>
      <c r="AI134" s="315"/>
      <c r="AJ134" s="315"/>
      <c r="AK134" s="315"/>
      <c r="AL134" s="315"/>
      <c r="AM134" s="315"/>
      <c r="AN134" s="315"/>
      <c r="AO134" s="315"/>
      <c r="AP134" s="315"/>
      <c r="AQ134" s="315"/>
      <c r="AR134" s="315"/>
      <c r="AS134" s="315"/>
      <c r="AT134" s="315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>
        <f>IF(D106&gt;0.25,(BX101-BX109)*D135,BX101*D135)</f>
        <v>0</v>
      </c>
    </row>
    <row r="135" spans="3:76" hidden="1">
      <c r="C135" s="317" t="s">
        <v>345</v>
      </c>
      <c r="D135" s="323">
        <v>0</v>
      </c>
      <c r="E135" s="246"/>
      <c r="F135" s="246"/>
      <c r="G135" s="246"/>
      <c r="H135" s="246"/>
      <c r="I135" s="246"/>
      <c r="J135" s="246"/>
      <c r="K135" s="246"/>
      <c r="L135" s="246"/>
      <c r="M135" s="246"/>
      <c r="N135" s="246"/>
      <c r="O135" s="246"/>
      <c r="P135" s="246"/>
      <c r="Q135" s="246"/>
      <c r="R135" s="246"/>
      <c r="S135" s="246"/>
      <c r="T135" s="246"/>
      <c r="U135" s="246"/>
      <c r="V135" s="246"/>
      <c r="W135" s="246"/>
      <c r="X135" s="246"/>
      <c r="Y135" s="246"/>
      <c r="Z135" s="246"/>
      <c r="AA135" s="246"/>
      <c r="AB135" s="246"/>
      <c r="AC135" s="246"/>
      <c r="AD135" s="246"/>
      <c r="AE135" s="246"/>
      <c r="AF135" s="246"/>
      <c r="AG135" s="246"/>
      <c r="AH135" s="246"/>
      <c r="AI135" s="246"/>
      <c r="AJ135" s="246"/>
      <c r="AK135" s="246"/>
      <c r="AL135" s="246"/>
      <c r="AM135" s="246"/>
      <c r="AN135" s="246"/>
      <c r="AO135" s="246"/>
      <c r="AP135" s="246"/>
      <c r="AQ135" s="246"/>
      <c r="AR135" s="246"/>
      <c r="AS135" s="246"/>
      <c r="AT135" s="246"/>
      <c r="AU135" s="246"/>
      <c r="AV135" s="246"/>
      <c r="AW135" s="246"/>
      <c r="AX135" s="246"/>
      <c r="AY135" s="246"/>
      <c r="AZ135" s="246"/>
      <c r="BA135" s="246"/>
      <c r="BB135" s="246"/>
      <c r="BC135" s="246"/>
      <c r="BD135" s="246"/>
      <c r="BE135" s="246"/>
      <c r="BF135" s="246"/>
      <c r="BG135" s="246"/>
      <c r="BH135" s="246"/>
      <c r="BI135" s="246"/>
      <c r="BJ135" s="246"/>
      <c r="BK135" s="246"/>
      <c r="BL135" s="246"/>
      <c r="BM135" s="246"/>
      <c r="BN135" s="246"/>
      <c r="BO135" s="246"/>
      <c r="BP135" s="246"/>
      <c r="BQ135" s="246"/>
      <c r="BR135" s="246"/>
      <c r="BS135" s="246"/>
      <c r="BT135" s="246"/>
      <c r="BU135" s="246"/>
      <c r="BV135" s="246"/>
      <c r="BW135" s="246"/>
      <c r="BX135" s="246"/>
    </row>
    <row r="136" spans="3:76" hidden="1">
      <c r="C136" s="314" t="s">
        <v>346</v>
      </c>
      <c r="D136" s="315"/>
      <c r="E136" s="325">
        <f t="shared" ref="E136:BX136" si="51">E131+E132+E133+E134+E135</f>
        <v>0</v>
      </c>
      <c r="F136" s="325">
        <f t="shared" si="51"/>
        <v>0</v>
      </c>
      <c r="G136" s="325">
        <f t="shared" si="51"/>
        <v>0</v>
      </c>
      <c r="H136" s="325">
        <f t="shared" si="51"/>
        <v>0</v>
      </c>
      <c r="I136" s="325">
        <f t="shared" si="51"/>
        <v>0</v>
      </c>
      <c r="J136" s="325">
        <f t="shared" si="51"/>
        <v>0</v>
      </c>
      <c r="K136" s="325">
        <f t="shared" si="51"/>
        <v>-885000</v>
      </c>
      <c r="L136" s="325">
        <f t="shared" si="51"/>
        <v>-1940000</v>
      </c>
      <c r="M136" s="325">
        <f t="shared" si="51"/>
        <v>-4260000</v>
      </c>
      <c r="N136" s="325">
        <f t="shared" si="51"/>
        <v>0</v>
      </c>
      <c r="O136" s="325">
        <f t="shared" si="51"/>
        <v>-320000</v>
      </c>
      <c r="P136" s="325">
        <f t="shared" si="51"/>
        <v>-320000</v>
      </c>
      <c r="Q136" s="325">
        <f t="shared" si="51"/>
        <v>0</v>
      </c>
      <c r="R136" s="325">
        <f t="shared" si="51"/>
        <v>-1500000</v>
      </c>
      <c r="S136" s="325">
        <f t="shared" si="51"/>
        <v>-2300000</v>
      </c>
      <c r="T136" s="325">
        <f t="shared" si="51"/>
        <v>-7841089.3038176615</v>
      </c>
      <c r="U136" s="325">
        <f t="shared" si="51"/>
        <v>-5000000</v>
      </c>
      <c r="V136" s="325">
        <f t="shared" si="51"/>
        <v>-1000000</v>
      </c>
      <c r="W136" s="325">
        <f t="shared" si="51"/>
        <v>0</v>
      </c>
      <c r="X136" s="325">
        <f t="shared" si="51"/>
        <v>0</v>
      </c>
      <c r="Y136" s="325">
        <f t="shared" si="51"/>
        <v>0</v>
      </c>
      <c r="Z136" s="325">
        <f t="shared" si="51"/>
        <v>0</v>
      </c>
      <c r="AA136" s="325">
        <f t="shared" si="51"/>
        <v>0</v>
      </c>
      <c r="AB136" s="325">
        <f t="shared" si="51"/>
        <v>0</v>
      </c>
      <c r="AC136" s="325">
        <f t="shared" si="51"/>
        <v>0</v>
      </c>
      <c r="AD136" s="325">
        <f t="shared" si="51"/>
        <v>0</v>
      </c>
      <c r="AE136" s="325">
        <f t="shared" si="51"/>
        <v>0</v>
      </c>
      <c r="AF136" s="325">
        <f t="shared" si="51"/>
        <v>27360912.5</v>
      </c>
      <c r="AG136" s="325">
        <f t="shared" si="51"/>
        <v>0</v>
      </c>
      <c r="AH136" s="325">
        <f t="shared" si="51"/>
        <v>0</v>
      </c>
      <c r="AI136" s="325">
        <f t="shared" si="51"/>
        <v>0</v>
      </c>
      <c r="AJ136" s="325">
        <f t="shared" si="51"/>
        <v>0</v>
      </c>
      <c r="AK136" s="325">
        <f t="shared" si="51"/>
        <v>0</v>
      </c>
      <c r="AL136" s="325">
        <f t="shared" si="51"/>
        <v>0</v>
      </c>
      <c r="AM136" s="325">
        <f t="shared" si="51"/>
        <v>0</v>
      </c>
      <c r="AN136" s="325">
        <f t="shared" si="51"/>
        <v>0</v>
      </c>
      <c r="AO136" s="325">
        <f t="shared" si="51"/>
        <v>0</v>
      </c>
      <c r="AP136" s="325">
        <f t="shared" si="51"/>
        <v>0</v>
      </c>
      <c r="AQ136" s="325">
        <f t="shared" si="51"/>
        <v>0</v>
      </c>
      <c r="AR136" s="325">
        <f t="shared" si="51"/>
        <v>0</v>
      </c>
      <c r="AS136" s="325">
        <f t="shared" si="51"/>
        <v>0</v>
      </c>
      <c r="AT136" s="325">
        <f t="shared" si="51"/>
        <v>0</v>
      </c>
      <c r="AU136" s="325">
        <f t="shared" si="51"/>
        <v>0</v>
      </c>
      <c r="AV136" s="325">
        <f t="shared" si="51"/>
        <v>0</v>
      </c>
      <c r="AW136" s="325">
        <f t="shared" si="51"/>
        <v>0</v>
      </c>
      <c r="AX136" s="325">
        <f t="shared" si="51"/>
        <v>0</v>
      </c>
      <c r="AY136" s="325">
        <f t="shared" si="51"/>
        <v>0</v>
      </c>
      <c r="AZ136" s="325">
        <f t="shared" si="51"/>
        <v>0</v>
      </c>
      <c r="BA136" s="325">
        <f t="shared" si="51"/>
        <v>0</v>
      </c>
      <c r="BB136" s="325">
        <f t="shared" si="51"/>
        <v>0</v>
      </c>
      <c r="BC136" s="325">
        <f t="shared" si="51"/>
        <v>0</v>
      </c>
      <c r="BD136" s="325">
        <f t="shared" si="51"/>
        <v>0</v>
      </c>
      <c r="BE136" s="325">
        <f t="shared" si="51"/>
        <v>0</v>
      </c>
      <c r="BF136" s="325">
        <f t="shared" si="51"/>
        <v>0</v>
      </c>
      <c r="BG136" s="325">
        <f t="shared" si="51"/>
        <v>0</v>
      </c>
      <c r="BH136" s="325">
        <f t="shared" si="51"/>
        <v>0</v>
      </c>
      <c r="BI136" s="325">
        <f t="shared" si="51"/>
        <v>0</v>
      </c>
      <c r="BJ136" s="325">
        <f t="shared" si="51"/>
        <v>0</v>
      </c>
      <c r="BK136" s="325">
        <f t="shared" si="51"/>
        <v>0</v>
      </c>
      <c r="BL136" s="325">
        <f t="shared" si="51"/>
        <v>0</v>
      </c>
      <c r="BM136" s="325">
        <f t="shared" si="51"/>
        <v>0</v>
      </c>
      <c r="BN136" s="325">
        <f t="shared" si="51"/>
        <v>0</v>
      </c>
      <c r="BO136" s="325">
        <f t="shared" si="51"/>
        <v>0</v>
      </c>
      <c r="BP136" s="325">
        <f t="shared" si="51"/>
        <v>0</v>
      </c>
      <c r="BQ136" s="325">
        <f t="shared" si="51"/>
        <v>0</v>
      </c>
      <c r="BR136" s="325">
        <f t="shared" si="51"/>
        <v>0</v>
      </c>
      <c r="BS136" s="325">
        <f t="shared" si="51"/>
        <v>0</v>
      </c>
      <c r="BT136" s="325">
        <f t="shared" si="51"/>
        <v>0</v>
      </c>
      <c r="BU136" s="325">
        <f t="shared" si="51"/>
        <v>0</v>
      </c>
      <c r="BV136" s="325">
        <f t="shared" si="51"/>
        <v>0</v>
      </c>
      <c r="BW136" s="325">
        <f t="shared" si="51"/>
        <v>0</v>
      </c>
      <c r="BX136" s="325">
        <f t="shared" si="51"/>
        <v>0</v>
      </c>
    </row>
    <row r="137" spans="3:76" hidden="1">
      <c r="C137" s="318"/>
      <c r="D137" s="326" t="s">
        <v>354</v>
      </c>
      <c r="E137" s="330">
        <f>E136</f>
        <v>0</v>
      </c>
      <c r="F137" s="330">
        <f t="shared" ref="F137:BX137" si="52">E137+F136</f>
        <v>0</v>
      </c>
      <c r="G137" s="330">
        <f t="shared" si="52"/>
        <v>0</v>
      </c>
      <c r="H137" s="330">
        <f t="shared" si="52"/>
        <v>0</v>
      </c>
      <c r="I137" s="330">
        <f t="shared" si="52"/>
        <v>0</v>
      </c>
      <c r="J137" s="330">
        <f t="shared" si="52"/>
        <v>0</v>
      </c>
      <c r="K137" s="330">
        <f t="shared" si="52"/>
        <v>-885000</v>
      </c>
      <c r="L137" s="330">
        <f t="shared" si="52"/>
        <v>-2825000</v>
      </c>
      <c r="M137" s="330">
        <f t="shared" si="52"/>
        <v>-7085000</v>
      </c>
      <c r="N137" s="330">
        <f t="shared" si="52"/>
        <v>-7085000</v>
      </c>
      <c r="O137" s="330">
        <f t="shared" si="52"/>
        <v>-7405000</v>
      </c>
      <c r="P137" s="330">
        <f t="shared" si="52"/>
        <v>-7725000</v>
      </c>
      <c r="Q137" s="330">
        <f t="shared" si="52"/>
        <v>-7725000</v>
      </c>
      <c r="R137" s="330">
        <f t="shared" si="52"/>
        <v>-9225000</v>
      </c>
      <c r="S137" s="330">
        <f t="shared" si="52"/>
        <v>-11525000</v>
      </c>
      <c r="T137" s="330">
        <f t="shared" si="52"/>
        <v>-19366089.30381766</v>
      </c>
      <c r="U137" s="330">
        <f t="shared" si="52"/>
        <v>-24366089.30381766</v>
      </c>
      <c r="V137" s="330">
        <f t="shared" si="52"/>
        <v>-25366089.30381766</v>
      </c>
      <c r="W137" s="330">
        <f t="shared" si="52"/>
        <v>-25366089.30381766</v>
      </c>
      <c r="X137" s="330">
        <f t="shared" si="52"/>
        <v>-25366089.30381766</v>
      </c>
      <c r="Y137" s="330">
        <f t="shared" si="52"/>
        <v>-25366089.30381766</v>
      </c>
      <c r="Z137" s="330">
        <f t="shared" si="52"/>
        <v>-25366089.30381766</v>
      </c>
      <c r="AA137" s="330">
        <f t="shared" si="52"/>
        <v>-25366089.30381766</v>
      </c>
      <c r="AB137" s="330">
        <f t="shared" si="52"/>
        <v>-25366089.30381766</v>
      </c>
      <c r="AC137" s="330">
        <f t="shared" si="52"/>
        <v>-25366089.30381766</v>
      </c>
      <c r="AD137" s="330">
        <f t="shared" si="52"/>
        <v>-25366089.30381766</v>
      </c>
      <c r="AE137" s="330">
        <f t="shared" si="52"/>
        <v>-25366089.30381766</v>
      </c>
      <c r="AF137" s="330">
        <f t="shared" si="52"/>
        <v>1994823.1961823404</v>
      </c>
      <c r="AG137" s="330">
        <f t="shared" si="52"/>
        <v>1994823.1961823404</v>
      </c>
      <c r="AH137" s="330">
        <f t="shared" si="52"/>
        <v>1994823.1961823404</v>
      </c>
      <c r="AI137" s="330">
        <f t="shared" si="52"/>
        <v>1994823.1961823404</v>
      </c>
      <c r="AJ137" s="330">
        <f t="shared" si="52"/>
        <v>1994823.1961823404</v>
      </c>
      <c r="AK137" s="330">
        <f t="shared" si="52"/>
        <v>1994823.1961823404</v>
      </c>
      <c r="AL137" s="330">
        <f t="shared" si="52"/>
        <v>1994823.1961823404</v>
      </c>
      <c r="AM137" s="330">
        <f t="shared" si="52"/>
        <v>1994823.1961823404</v>
      </c>
      <c r="AN137" s="330">
        <f t="shared" si="52"/>
        <v>1994823.1961823404</v>
      </c>
      <c r="AO137" s="330">
        <f t="shared" si="52"/>
        <v>1994823.1961823404</v>
      </c>
      <c r="AP137" s="330">
        <f t="shared" si="52"/>
        <v>1994823.1961823404</v>
      </c>
      <c r="AQ137" s="330">
        <f t="shared" si="52"/>
        <v>1994823.1961823404</v>
      </c>
      <c r="AR137" s="330">
        <f t="shared" si="52"/>
        <v>1994823.1961823404</v>
      </c>
      <c r="AS137" s="330">
        <f t="shared" si="52"/>
        <v>1994823.1961823404</v>
      </c>
      <c r="AT137" s="330">
        <f t="shared" si="52"/>
        <v>1994823.1961823404</v>
      </c>
      <c r="AU137" s="330">
        <f t="shared" si="52"/>
        <v>1994823.1961823404</v>
      </c>
      <c r="AV137" s="330">
        <f t="shared" si="52"/>
        <v>1994823.1961823404</v>
      </c>
      <c r="AW137" s="330">
        <f t="shared" si="52"/>
        <v>1994823.1961823404</v>
      </c>
      <c r="AX137" s="330">
        <f t="shared" si="52"/>
        <v>1994823.1961823404</v>
      </c>
      <c r="AY137" s="330">
        <f t="shared" si="52"/>
        <v>1994823.1961823404</v>
      </c>
      <c r="AZ137" s="330">
        <f t="shared" si="52"/>
        <v>1994823.1961823404</v>
      </c>
      <c r="BA137" s="330">
        <f t="shared" si="52"/>
        <v>1994823.1961823404</v>
      </c>
      <c r="BB137" s="330">
        <f t="shared" si="52"/>
        <v>1994823.1961823404</v>
      </c>
      <c r="BC137" s="330">
        <f t="shared" si="52"/>
        <v>1994823.1961823404</v>
      </c>
      <c r="BD137" s="330">
        <f t="shared" si="52"/>
        <v>1994823.1961823404</v>
      </c>
      <c r="BE137" s="330">
        <f t="shared" si="52"/>
        <v>1994823.1961823404</v>
      </c>
      <c r="BF137" s="330">
        <f t="shared" si="52"/>
        <v>1994823.1961823404</v>
      </c>
      <c r="BG137" s="330">
        <f t="shared" si="52"/>
        <v>1994823.1961823404</v>
      </c>
      <c r="BH137" s="330">
        <f t="shared" si="52"/>
        <v>1994823.1961823404</v>
      </c>
      <c r="BI137" s="330">
        <f t="shared" si="52"/>
        <v>1994823.1961823404</v>
      </c>
      <c r="BJ137" s="330">
        <f t="shared" si="52"/>
        <v>1994823.1961823404</v>
      </c>
      <c r="BK137" s="330">
        <f t="shared" si="52"/>
        <v>1994823.1961823404</v>
      </c>
      <c r="BL137" s="330">
        <f t="shared" si="52"/>
        <v>1994823.1961823404</v>
      </c>
      <c r="BM137" s="330">
        <f t="shared" si="52"/>
        <v>1994823.1961823404</v>
      </c>
      <c r="BN137" s="330">
        <f t="shared" si="52"/>
        <v>1994823.1961823404</v>
      </c>
      <c r="BO137" s="330">
        <f t="shared" si="52"/>
        <v>1994823.1961823404</v>
      </c>
      <c r="BP137" s="330">
        <f t="shared" si="52"/>
        <v>1994823.1961823404</v>
      </c>
      <c r="BQ137" s="330">
        <f t="shared" si="52"/>
        <v>1994823.1961823404</v>
      </c>
      <c r="BR137" s="330">
        <f t="shared" si="52"/>
        <v>1994823.1961823404</v>
      </c>
      <c r="BS137" s="330">
        <f t="shared" si="52"/>
        <v>1994823.1961823404</v>
      </c>
      <c r="BT137" s="330">
        <f t="shared" si="52"/>
        <v>1994823.1961823404</v>
      </c>
      <c r="BU137" s="330">
        <f t="shared" si="52"/>
        <v>1994823.1961823404</v>
      </c>
      <c r="BV137" s="330">
        <f t="shared" si="52"/>
        <v>1994823.1961823404</v>
      </c>
      <c r="BW137" s="330">
        <f t="shared" si="52"/>
        <v>1994823.1961823404</v>
      </c>
      <c r="BX137" s="330">
        <f t="shared" si="52"/>
        <v>1994823.1961823404</v>
      </c>
    </row>
    <row r="138" spans="3:76" hidden="1">
      <c r="C138" s="317" t="s">
        <v>339</v>
      </c>
      <c r="D138" s="326">
        <f>IRR(E136:BX136)*12</f>
        <v>6.4228155024194322E-2</v>
      </c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  <c r="AG138" s="226"/>
      <c r="AH138" s="226"/>
      <c r="AI138" s="226"/>
      <c r="AJ138" s="226"/>
      <c r="AK138" s="226"/>
      <c r="AL138" s="226"/>
      <c r="AM138" s="226"/>
      <c r="AN138" s="226"/>
      <c r="AO138" s="226"/>
      <c r="AP138" s="226"/>
      <c r="AQ138" s="226"/>
      <c r="AR138" s="226"/>
      <c r="AS138" s="226"/>
      <c r="AT138" s="226"/>
      <c r="AU138" s="226"/>
      <c r="AV138" s="226"/>
      <c r="AW138" s="226"/>
      <c r="AX138" s="226"/>
      <c r="AY138" s="226"/>
      <c r="AZ138" s="226"/>
      <c r="BA138" s="226"/>
      <c r="BB138" s="226"/>
      <c r="BC138" s="226"/>
      <c r="BD138" s="226"/>
      <c r="BE138" s="226"/>
      <c r="BF138" s="226"/>
      <c r="BG138" s="226"/>
      <c r="BH138" s="226"/>
      <c r="BI138" s="226"/>
      <c r="BJ138" s="226"/>
      <c r="BK138" s="226"/>
      <c r="BL138" s="226"/>
      <c r="BM138" s="226"/>
      <c r="BN138" s="226"/>
      <c r="BO138" s="226"/>
      <c r="BP138" s="226"/>
      <c r="BQ138" s="226"/>
      <c r="BR138" s="226"/>
      <c r="BS138" s="226"/>
      <c r="BT138" s="226"/>
      <c r="BU138" s="226"/>
      <c r="BV138" s="226"/>
      <c r="BW138" s="226"/>
      <c r="BX138" s="226"/>
    </row>
    <row r="139" spans="3:76" hidden="1">
      <c r="C139" s="327" t="s">
        <v>347</v>
      </c>
      <c r="D139" s="328">
        <f>-MIN(E131:BL131)</f>
        <v>7300000</v>
      </c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  <c r="AG139" s="226"/>
      <c r="AH139" s="226"/>
      <c r="AI139" s="226"/>
      <c r="AJ139" s="226"/>
      <c r="AK139" s="226"/>
      <c r="AL139" s="226"/>
      <c r="AM139" s="226"/>
      <c r="AN139" s="226"/>
      <c r="AO139" s="226"/>
      <c r="AP139" s="226"/>
      <c r="AQ139" s="226"/>
      <c r="AR139" s="226"/>
      <c r="AS139" s="226"/>
      <c r="AT139" s="226"/>
      <c r="AU139" s="226"/>
      <c r="AV139" s="226"/>
      <c r="AW139" s="226"/>
      <c r="AX139" s="226"/>
      <c r="AY139" s="226"/>
      <c r="AZ139" s="226"/>
      <c r="BA139" s="226"/>
      <c r="BB139" s="226"/>
      <c r="BC139" s="226"/>
      <c r="BD139" s="226"/>
      <c r="BE139" s="226"/>
      <c r="BF139" s="226"/>
      <c r="BG139" s="226"/>
      <c r="BH139" s="226"/>
      <c r="BI139" s="226"/>
      <c r="BJ139" s="226"/>
      <c r="BK139" s="226"/>
      <c r="BL139" s="226"/>
      <c r="BM139" s="226"/>
      <c r="BN139" s="226"/>
      <c r="BO139" s="226"/>
      <c r="BP139" s="226"/>
      <c r="BQ139" s="226"/>
      <c r="BR139" s="226"/>
      <c r="BS139" s="226"/>
      <c r="BT139" s="226"/>
      <c r="BU139" s="226"/>
      <c r="BV139" s="226"/>
      <c r="BW139" s="226"/>
      <c r="BX139" s="226"/>
    </row>
    <row r="140" spans="3:76" hidden="1">
      <c r="C140" s="327" t="s">
        <v>348</v>
      </c>
      <c r="D140" s="328">
        <f>-SUM(M135:BB135)</f>
        <v>0</v>
      </c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  <c r="AG140" s="226"/>
      <c r="AH140" s="226"/>
      <c r="AI140" s="226"/>
      <c r="AJ140" s="226"/>
      <c r="AK140" s="226"/>
      <c r="AL140" s="226"/>
      <c r="AM140" s="226"/>
      <c r="AN140" s="226"/>
      <c r="AO140" s="226"/>
      <c r="AP140" s="226"/>
      <c r="AQ140" s="226"/>
      <c r="AR140" s="226"/>
      <c r="AS140" s="226"/>
      <c r="AT140" s="226"/>
      <c r="AU140" s="226"/>
      <c r="AV140" s="226"/>
      <c r="AW140" s="226"/>
      <c r="AX140" s="226"/>
      <c r="AY140" s="226"/>
      <c r="AZ140" s="226"/>
      <c r="BA140" s="226"/>
      <c r="BB140" s="226"/>
      <c r="BC140" s="226"/>
      <c r="BD140" s="226"/>
      <c r="BE140" s="226"/>
      <c r="BF140" s="226"/>
      <c r="BG140" s="226"/>
      <c r="BH140" s="226"/>
      <c r="BI140" s="226"/>
      <c r="BJ140" s="226"/>
      <c r="BK140" s="226"/>
      <c r="BL140" s="226"/>
      <c r="BM140" s="226"/>
      <c r="BN140" s="226"/>
      <c r="BO140" s="226"/>
      <c r="BP140" s="226"/>
      <c r="BQ140" s="226"/>
      <c r="BR140" s="226"/>
      <c r="BS140" s="226"/>
      <c r="BT140" s="226"/>
      <c r="BU140" s="226"/>
      <c r="BV140" s="226"/>
      <c r="BW140" s="226"/>
      <c r="BX140" s="226"/>
    </row>
    <row r="141" spans="3:76" hidden="1">
      <c r="C141" s="317" t="s">
        <v>349</v>
      </c>
      <c r="D141" s="329">
        <f>D140+D139</f>
        <v>7300000</v>
      </c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  <c r="AE141" s="226"/>
      <c r="AF141" s="226"/>
      <c r="AG141" s="226"/>
      <c r="AH141" s="226"/>
      <c r="AI141" s="226"/>
      <c r="AJ141" s="226"/>
      <c r="AK141" s="226"/>
      <c r="AL141" s="226"/>
      <c r="AM141" s="226"/>
      <c r="AN141" s="226"/>
      <c r="AO141" s="226"/>
      <c r="AP141" s="226"/>
      <c r="AQ141" s="226"/>
      <c r="AR141" s="226"/>
      <c r="AS141" s="226"/>
      <c r="AT141" s="226"/>
      <c r="AU141" s="226"/>
      <c r="AV141" s="226"/>
      <c r="AW141" s="226"/>
      <c r="AX141" s="226"/>
      <c r="AY141" s="226"/>
      <c r="AZ141" s="226"/>
      <c r="BA141" s="226"/>
      <c r="BB141" s="226"/>
      <c r="BC141" s="226"/>
      <c r="BD141" s="226"/>
      <c r="BE141" s="226"/>
      <c r="BF141" s="226"/>
      <c r="BG141" s="226"/>
      <c r="BH141" s="226"/>
      <c r="BI141" s="226"/>
      <c r="BJ141" s="226"/>
      <c r="BK141" s="226"/>
      <c r="BL141" s="226"/>
      <c r="BM141" s="226"/>
      <c r="BN141" s="226"/>
      <c r="BO141" s="226"/>
      <c r="BP141" s="226"/>
      <c r="BQ141" s="226"/>
      <c r="BR141" s="226"/>
      <c r="BS141" s="226"/>
      <c r="BT141" s="226"/>
      <c r="BU141" s="226"/>
      <c r="BV141" s="226"/>
      <c r="BW141" s="226"/>
      <c r="BX141" s="226"/>
    </row>
    <row r="142" spans="3:76" hidden="1">
      <c r="C142" s="317" t="s">
        <v>350</v>
      </c>
      <c r="D142" s="329">
        <f>BX133+BX134</f>
        <v>0</v>
      </c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35">
        <v>1500000</v>
      </c>
      <c r="T142" s="235">
        <v>500000</v>
      </c>
      <c r="U142" s="235">
        <v>6750000</v>
      </c>
      <c r="V142" s="235">
        <v>4000000</v>
      </c>
      <c r="W142" s="235">
        <v>2000000</v>
      </c>
      <c r="X142" s="235"/>
      <c r="Y142" s="235"/>
      <c r="Z142" s="235"/>
      <c r="AA142" s="235">
        <v>1600000</v>
      </c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  <c r="AY142" s="226"/>
      <c r="AZ142" s="226"/>
      <c r="BA142" s="226"/>
      <c r="BB142" s="226"/>
      <c r="BC142" s="226"/>
      <c r="BD142" s="226"/>
      <c r="BE142" s="226"/>
      <c r="BF142" s="226"/>
      <c r="BG142" s="226"/>
      <c r="BH142" s="226"/>
      <c r="BI142" s="226"/>
      <c r="BJ142" s="226"/>
      <c r="BK142" s="226"/>
      <c r="BL142" s="226"/>
      <c r="BM142" s="226"/>
      <c r="BN142" s="226"/>
      <c r="BO142" s="226"/>
      <c r="BP142" s="226"/>
      <c r="BQ142" s="226"/>
      <c r="BR142" s="226"/>
      <c r="BS142" s="226"/>
      <c r="BT142" s="226"/>
      <c r="BU142" s="226"/>
      <c r="BV142" s="226"/>
      <c r="BW142" s="226"/>
      <c r="BX142" s="226"/>
    </row>
    <row r="143" spans="3:76" hidden="1">
      <c r="C143" s="317" t="s">
        <v>351</v>
      </c>
      <c r="D143" s="326">
        <f>(D142-D140)/D141</f>
        <v>0</v>
      </c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6"/>
      <c r="AT143" s="226"/>
      <c r="AU143" s="226"/>
      <c r="AV143" s="226"/>
      <c r="AW143" s="226"/>
      <c r="AX143" s="226"/>
      <c r="AY143" s="226"/>
      <c r="AZ143" s="226"/>
      <c r="BA143" s="226"/>
      <c r="BB143" s="226"/>
      <c r="BC143" s="226"/>
      <c r="BD143" s="226"/>
      <c r="BE143" s="226"/>
      <c r="BF143" s="226"/>
      <c r="BG143" s="226"/>
      <c r="BH143" s="226"/>
      <c r="BI143" s="226"/>
      <c r="BJ143" s="226"/>
      <c r="BK143" s="226"/>
      <c r="BL143" s="226"/>
      <c r="BM143" s="226"/>
      <c r="BN143" s="226"/>
      <c r="BO143" s="226"/>
      <c r="BP143" s="226"/>
      <c r="BQ143" s="226"/>
      <c r="BR143" s="226"/>
      <c r="BS143" s="226"/>
      <c r="BT143" s="226"/>
      <c r="BU143" s="226"/>
      <c r="BV143" s="226"/>
      <c r="BW143" s="226"/>
      <c r="BX143" s="226"/>
    </row>
    <row r="147" spans="3:76" hidden="1">
      <c r="C147" s="314" t="s">
        <v>355</v>
      </c>
      <c r="D147" s="315"/>
      <c r="E147" s="316">
        <f t="shared" ref="E147:G147" si="53">-(E24+E111)</f>
        <v>0</v>
      </c>
      <c r="F147" s="316">
        <f t="shared" si="53"/>
        <v>0</v>
      </c>
      <c r="G147" s="316">
        <f t="shared" si="53"/>
        <v>0</v>
      </c>
      <c r="H147" s="316">
        <f>-10682501</f>
        <v>-10682501</v>
      </c>
      <c r="I147" s="316">
        <v>0</v>
      </c>
      <c r="J147" s="316">
        <f>-(J24+J111)</f>
        <v>0</v>
      </c>
      <c r="K147" s="316">
        <v>0</v>
      </c>
      <c r="L147" s="316">
        <f t="shared" ref="L147:S147" si="54">-(L24+L111)</f>
        <v>15913.92</v>
      </c>
      <c r="M147" s="316">
        <f t="shared" si="54"/>
        <v>0</v>
      </c>
      <c r="N147" s="316">
        <f t="shared" si="54"/>
        <v>0</v>
      </c>
      <c r="O147" s="316">
        <f t="shared" si="54"/>
        <v>0</v>
      </c>
      <c r="P147" s="316">
        <f t="shared" si="54"/>
        <v>0</v>
      </c>
      <c r="Q147" s="316">
        <f t="shared" si="54"/>
        <v>36051</v>
      </c>
      <c r="R147" s="316">
        <f t="shared" si="54"/>
        <v>393250</v>
      </c>
      <c r="S147" s="316">
        <f t="shared" si="54"/>
        <v>0</v>
      </c>
      <c r="T147" s="316">
        <f>-H147</f>
        <v>10682501</v>
      </c>
      <c r="U147" s="316">
        <f t="shared" ref="U147:BX147" si="55">-(U24+U111)</f>
        <v>0</v>
      </c>
      <c r="V147" s="316">
        <f t="shared" si="55"/>
        <v>0</v>
      </c>
      <c r="W147" s="316">
        <f t="shared" si="55"/>
        <v>0</v>
      </c>
      <c r="X147" s="316">
        <f t="shared" si="55"/>
        <v>0</v>
      </c>
      <c r="Y147" s="316">
        <f t="shared" si="55"/>
        <v>0</v>
      </c>
      <c r="Z147" s="316">
        <f t="shared" si="55"/>
        <v>0</v>
      </c>
      <c r="AA147" s="316">
        <f t="shared" si="55"/>
        <v>0</v>
      </c>
      <c r="AB147" s="316">
        <f t="shared" si="55"/>
        <v>0</v>
      </c>
      <c r="AC147" s="316">
        <f t="shared" si="55"/>
        <v>0</v>
      </c>
      <c r="AD147" s="316">
        <f t="shared" si="55"/>
        <v>0</v>
      </c>
      <c r="AE147" s="316">
        <f t="shared" si="55"/>
        <v>0</v>
      </c>
      <c r="AF147" s="316">
        <f t="shared" si="55"/>
        <v>0</v>
      </c>
      <c r="AG147" s="316">
        <f t="shared" si="55"/>
        <v>0</v>
      </c>
      <c r="AH147" s="316">
        <f t="shared" si="55"/>
        <v>0</v>
      </c>
      <c r="AI147" s="316">
        <f t="shared" si="55"/>
        <v>0</v>
      </c>
      <c r="AJ147" s="316">
        <f t="shared" si="55"/>
        <v>0</v>
      </c>
      <c r="AK147" s="316">
        <f t="shared" si="55"/>
        <v>0</v>
      </c>
      <c r="AL147" s="316">
        <f t="shared" si="55"/>
        <v>0</v>
      </c>
      <c r="AM147" s="316">
        <f t="shared" si="55"/>
        <v>0</v>
      </c>
      <c r="AN147" s="316">
        <f t="shared" si="55"/>
        <v>0</v>
      </c>
      <c r="AO147" s="316">
        <f t="shared" si="55"/>
        <v>0</v>
      </c>
      <c r="AP147" s="316">
        <f t="shared" si="55"/>
        <v>0</v>
      </c>
      <c r="AQ147" s="316">
        <f t="shared" si="55"/>
        <v>0</v>
      </c>
      <c r="AR147" s="316">
        <f t="shared" si="55"/>
        <v>0</v>
      </c>
      <c r="AS147" s="316">
        <f t="shared" si="55"/>
        <v>0</v>
      </c>
      <c r="AT147" s="316">
        <f t="shared" si="55"/>
        <v>0</v>
      </c>
      <c r="AU147" s="316">
        <f t="shared" si="55"/>
        <v>0</v>
      </c>
      <c r="AV147" s="316">
        <f t="shared" si="55"/>
        <v>0</v>
      </c>
      <c r="AW147" s="316">
        <f t="shared" si="55"/>
        <v>0</v>
      </c>
      <c r="AX147" s="316">
        <f t="shared" si="55"/>
        <v>0</v>
      </c>
      <c r="AY147" s="316">
        <f t="shared" si="55"/>
        <v>0</v>
      </c>
      <c r="AZ147" s="316">
        <f t="shared" si="55"/>
        <v>0</v>
      </c>
      <c r="BA147" s="316">
        <f t="shared" si="55"/>
        <v>0</v>
      </c>
      <c r="BB147" s="316">
        <f t="shared" si="55"/>
        <v>0</v>
      </c>
      <c r="BC147" s="316">
        <f t="shared" si="55"/>
        <v>0</v>
      </c>
      <c r="BD147" s="316">
        <f t="shared" si="55"/>
        <v>0</v>
      </c>
      <c r="BE147" s="316">
        <f t="shared" si="55"/>
        <v>0</v>
      </c>
      <c r="BF147" s="316">
        <f t="shared" si="55"/>
        <v>0</v>
      </c>
      <c r="BG147" s="316">
        <f t="shared" si="55"/>
        <v>0</v>
      </c>
      <c r="BH147" s="316">
        <f t="shared" si="55"/>
        <v>0</v>
      </c>
      <c r="BI147" s="316">
        <f t="shared" si="55"/>
        <v>0</v>
      </c>
      <c r="BJ147" s="316">
        <f t="shared" si="55"/>
        <v>0</v>
      </c>
      <c r="BK147" s="316">
        <f t="shared" si="55"/>
        <v>0</v>
      </c>
      <c r="BL147" s="316">
        <f t="shared" si="55"/>
        <v>0</v>
      </c>
      <c r="BM147" s="316">
        <f t="shared" si="55"/>
        <v>0</v>
      </c>
      <c r="BN147" s="316">
        <f t="shared" si="55"/>
        <v>0</v>
      </c>
      <c r="BO147" s="316">
        <f t="shared" si="55"/>
        <v>0</v>
      </c>
      <c r="BP147" s="316">
        <f t="shared" si="55"/>
        <v>0</v>
      </c>
      <c r="BQ147" s="316">
        <f t="shared" si="55"/>
        <v>0</v>
      </c>
      <c r="BR147" s="316">
        <f t="shared" si="55"/>
        <v>0</v>
      </c>
      <c r="BS147" s="316">
        <f t="shared" si="55"/>
        <v>0</v>
      </c>
      <c r="BT147" s="316">
        <f t="shared" si="55"/>
        <v>0</v>
      </c>
      <c r="BU147" s="316">
        <f t="shared" si="55"/>
        <v>0</v>
      </c>
      <c r="BV147" s="316">
        <f t="shared" si="55"/>
        <v>0</v>
      </c>
      <c r="BW147" s="316">
        <f t="shared" si="55"/>
        <v>0</v>
      </c>
      <c r="BX147" s="316">
        <f t="shared" si="55"/>
        <v>0</v>
      </c>
    </row>
    <row r="148" spans="3:76" hidden="1">
      <c r="C148" s="314" t="s">
        <v>353</v>
      </c>
      <c r="D148" s="323"/>
      <c r="E148" s="315"/>
      <c r="F148" s="315"/>
      <c r="G148" s="315"/>
      <c r="H148" s="315"/>
      <c r="I148" s="315"/>
      <c r="J148" s="315"/>
      <c r="K148" s="315"/>
      <c r="L148" s="315"/>
      <c r="M148" s="315"/>
      <c r="N148" s="315"/>
      <c r="O148" s="315"/>
      <c r="P148" s="315"/>
      <c r="Q148" s="315"/>
      <c r="R148" s="315"/>
      <c r="S148" s="315"/>
      <c r="T148" s="315"/>
      <c r="U148" s="315"/>
      <c r="V148" s="315"/>
      <c r="W148" s="315"/>
      <c r="X148" s="315"/>
      <c r="Y148" s="315"/>
      <c r="Z148" s="315"/>
      <c r="AA148" s="315"/>
      <c r="AB148" s="315"/>
      <c r="AC148" s="315"/>
      <c r="AD148" s="315"/>
      <c r="AE148" s="315"/>
      <c r="AF148" s="315"/>
      <c r="AG148" s="315"/>
      <c r="AH148" s="315"/>
      <c r="AI148" s="315"/>
      <c r="AJ148" s="315"/>
      <c r="AK148" s="315"/>
      <c r="AL148" s="315"/>
      <c r="AM148" s="315"/>
      <c r="AN148" s="315"/>
      <c r="AO148" s="315"/>
      <c r="AP148" s="315"/>
      <c r="AQ148" s="315"/>
      <c r="AR148" s="315"/>
      <c r="AS148" s="315"/>
      <c r="AT148" s="315"/>
      <c r="AU148" s="315"/>
      <c r="AV148" s="315"/>
      <c r="AW148" s="315"/>
      <c r="AX148" s="315"/>
      <c r="AY148" s="315"/>
      <c r="AZ148" s="315"/>
      <c r="BA148" s="315"/>
      <c r="BB148" s="315"/>
      <c r="BC148" s="316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</row>
    <row r="149" spans="3:76" hidden="1">
      <c r="C149" s="314" t="s">
        <v>343</v>
      </c>
      <c r="D149" s="323"/>
      <c r="E149" s="315">
        <f t="shared" ref="E149:BX149" si="56">-E75</f>
        <v>0</v>
      </c>
      <c r="F149" s="315">
        <f t="shared" si="56"/>
        <v>0</v>
      </c>
      <c r="G149" s="315">
        <f t="shared" si="56"/>
        <v>0</v>
      </c>
      <c r="H149" s="315">
        <f t="shared" si="56"/>
        <v>0</v>
      </c>
      <c r="I149" s="315">
        <f t="shared" si="56"/>
        <v>0</v>
      </c>
      <c r="J149" s="315">
        <f t="shared" si="56"/>
        <v>0</v>
      </c>
      <c r="K149" s="315">
        <f t="shared" si="56"/>
        <v>0</v>
      </c>
      <c r="L149" s="315">
        <f t="shared" si="56"/>
        <v>0</v>
      </c>
      <c r="M149" s="315">
        <f t="shared" si="56"/>
        <v>0</v>
      </c>
      <c r="N149" s="315">
        <f t="shared" si="56"/>
        <v>0</v>
      </c>
      <c r="O149" s="315">
        <f t="shared" si="56"/>
        <v>0</v>
      </c>
      <c r="P149" s="315">
        <f t="shared" si="56"/>
        <v>0</v>
      </c>
      <c r="Q149" s="315">
        <f t="shared" si="56"/>
        <v>0</v>
      </c>
      <c r="R149" s="315">
        <f t="shared" si="56"/>
        <v>0</v>
      </c>
      <c r="S149" s="315">
        <f t="shared" si="56"/>
        <v>0</v>
      </c>
      <c r="T149" s="315">
        <f t="shared" si="56"/>
        <v>0</v>
      </c>
      <c r="U149" s="315">
        <f t="shared" si="56"/>
        <v>0</v>
      </c>
      <c r="V149" s="315">
        <f t="shared" si="56"/>
        <v>0</v>
      </c>
      <c r="W149" s="315">
        <f t="shared" si="56"/>
        <v>0</v>
      </c>
      <c r="X149" s="315">
        <f t="shared" si="56"/>
        <v>0</v>
      </c>
      <c r="Y149" s="315">
        <f t="shared" si="56"/>
        <v>0</v>
      </c>
      <c r="Z149" s="315">
        <f t="shared" si="56"/>
        <v>0</v>
      </c>
      <c r="AA149" s="315">
        <f t="shared" si="56"/>
        <v>0</v>
      </c>
      <c r="AB149" s="315">
        <f t="shared" si="56"/>
        <v>0</v>
      </c>
      <c r="AC149" s="315">
        <f t="shared" si="56"/>
        <v>0</v>
      </c>
      <c r="AD149" s="315">
        <f t="shared" si="56"/>
        <v>0</v>
      </c>
      <c r="AE149" s="315">
        <f t="shared" si="56"/>
        <v>0</v>
      </c>
      <c r="AF149" s="315">
        <f t="shared" si="56"/>
        <v>0</v>
      </c>
      <c r="AG149" s="315">
        <f t="shared" si="56"/>
        <v>0</v>
      </c>
      <c r="AH149" s="315">
        <f t="shared" si="56"/>
        <v>0</v>
      </c>
      <c r="AI149" s="315">
        <f t="shared" si="56"/>
        <v>0</v>
      </c>
      <c r="AJ149" s="315">
        <f t="shared" si="56"/>
        <v>0</v>
      </c>
      <c r="AK149" s="315">
        <f t="shared" si="56"/>
        <v>0</v>
      </c>
      <c r="AL149" s="315">
        <f t="shared" si="56"/>
        <v>0</v>
      </c>
      <c r="AM149" s="315">
        <f t="shared" si="56"/>
        <v>0</v>
      </c>
      <c r="AN149" s="315">
        <f t="shared" si="56"/>
        <v>0</v>
      </c>
      <c r="AO149" s="315">
        <f t="shared" si="56"/>
        <v>0</v>
      </c>
      <c r="AP149" s="315">
        <f t="shared" si="56"/>
        <v>0</v>
      </c>
      <c r="AQ149" s="315">
        <f t="shared" si="56"/>
        <v>0</v>
      </c>
      <c r="AR149" s="315">
        <f t="shared" si="56"/>
        <v>0</v>
      </c>
      <c r="AS149" s="315">
        <f t="shared" si="56"/>
        <v>0</v>
      </c>
      <c r="AT149" s="315">
        <f t="shared" si="56"/>
        <v>0</v>
      </c>
      <c r="AU149" s="315">
        <f t="shared" si="56"/>
        <v>0</v>
      </c>
      <c r="AV149" s="315">
        <f t="shared" si="56"/>
        <v>0</v>
      </c>
      <c r="AW149" s="315">
        <f t="shared" si="56"/>
        <v>0</v>
      </c>
      <c r="AX149" s="315">
        <f t="shared" si="56"/>
        <v>0</v>
      </c>
      <c r="AY149" s="315">
        <f t="shared" si="56"/>
        <v>0</v>
      </c>
      <c r="AZ149" s="315">
        <f t="shared" si="56"/>
        <v>0</v>
      </c>
      <c r="BA149" s="315">
        <f t="shared" si="56"/>
        <v>0</v>
      </c>
      <c r="BB149" s="315">
        <f t="shared" si="56"/>
        <v>0</v>
      </c>
      <c r="BC149" s="315">
        <f t="shared" si="56"/>
        <v>0</v>
      </c>
      <c r="BD149" s="315">
        <f t="shared" si="56"/>
        <v>0</v>
      </c>
      <c r="BE149" s="315">
        <f t="shared" si="56"/>
        <v>0</v>
      </c>
      <c r="BF149" s="315">
        <f t="shared" si="56"/>
        <v>0</v>
      </c>
      <c r="BG149" s="315">
        <f t="shared" si="56"/>
        <v>0</v>
      </c>
      <c r="BH149" s="315">
        <f t="shared" si="56"/>
        <v>0</v>
      </c>
      <c r="BI149" s="315">
        <f t="shared" si="56"/>
        <v>0</v>
      </c>
      <c r="BJ149" s="315">
        <f t="shared" si="56"/>
        <v>0</v>
      </c>
      <c r="BK149" s="315">
        <f t="shared" si="56"/>
        <v>0</v>
      </c>
      <c r="BL149" s="315">
        <f t="shared" si="56"/>
        <v>0</v>
      </c>
      <c r="BM149" s="315">
        <f t="shared" si="56"/>
        <v>0</v>
      </c>
      <c r="BN149" s="315">
        <f t="shared" si="56"/>
        <v>0</v>
      </c>
      <c r="BO149" s="315">
        <f t="shared" si="56"/>
        <v>0</v>
      </c>
      <c r="BP149" s="315">
        <f t="shared" si="56"/>
        <v>0</v>
      </c>
      <c r="BQ149" s="315">
        <f t="shared" si="56"/>
        <v>0</v>
      </c>
      <c r="BR149" s="315">
        <f t="shared" si="56"/>
        <v>0</v>
      </c>
      <c r="BS149" s="315">
        <f t="shared" si="56"/>
        <v>0</v>
      </c>
      <c r="BT149" s="315">
        <f t="shared" si="56"/>
        <v>0</v>
      </c>
      <c r="BU149" s="315">
        <f t="shared" si="56"/>
        <v>0</v>
      </c>
      <c r="BV149" s="315">
        <f t="shared" si="56"/>
        <v>0</v>
      </c>
      <c r="BW149" s="315">
        <f t="shared" si="56"/>
        <v>0</v>
      </c>
      <c r="BX149" s="315">
        <f t="shared" si="56"/>
        <v>0</v>
      </c>
    </row>
    <row r="150" spans="3:76" hidden="1">
      <c r="C150" s="314" t="s">
        <v>344</v>
      </c>
      <c r="D150" s="323"/>
      <c r="E150" s="315"/>
      <c r="F150" s="315"/>
      <c r="G150" s="315"/>
      <c r="H150" s="315"/>
      <c r="I150" s="315"/>
      <c r="J150" s="315"/>
      <c r="K150" s="315"/>
      <c r="L150" s="315"/>
      <c r="M150" s="315"/>
      <c r="N150" s="315"/>
      <c r="O150" s="315"/>
      <c r="P150" s="315"/>
      <c r="Q150" s="315"/>
      <c r="R150" s="315"/>
      <c r="S150" s="315"/>
      <c r="T150" s="315">
        <f>5500000</f>
        <v>5500000</v>
      </c>
      <c r="U150" s="315"/>
      <c r="V150" s="315"/>
      <c r="W150" s="315"/>
      <c r="X150" s="315"/>
      <c r="Y150" s="315"/>
      <c r="Z150" s="315"/>
      <c r="AA150" s="315"/>
      <c r="AB150" s="315"/>
      <c r="AC150" s="315"/>
      <c r="AD150" s="315"/>
      <c r="AE150" s="315"/>
      <c r="AF150" s="315"/>
      <c r="AG150" s="315"/>
      <c r="AH150" s="315"/>
      <c r="AI150" s="315"/>
      <c r="AJ150" s="315"/>
      <c r="AK150" s="315"/>
      <c r="AL150" s="315"/>
      <c r="AM150" s="315"/>
      <c r="AN150" s="315"/>
      <c r="AO150" s="315"/>
      <c r="AP150" s="315"/>
      <c r="AQ150" s="315"/>
      <c r="AR150" s="315"/>
      <c r="AS150" s="315"/>
      <c r="AT150" s="315"/>
      <c r="AU150" s="315"/>
      <c r="AV150" s="315"/>
      <c r="AW150" s="315"/>
      <c r="AX150" s="315"/>
      <c r="AY150" s="315"/>
      <c r="AZ150" s="315"/>
      <c r="BA150" s="315"/>
      <c r="BB150" s="315"/>
      <c r="BC150" s="316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>
        <f>IF(D122&gt;0.25,(BX117-BX125)*D151,BX117*D151)</f>
        <v>0</v>
      </c>
    </row>
    <row r="151" spans="3:76" hidden="1">
      <c r="C151" s="317" t="s">
        <v>345</v>
      </c>
      <c r="D151" s="323">
        <v>0</v>
      </c>
      <c r="E151" s="315"/>
      <c r="F151" s="315"/>
      <c r="G151" s="315"/>
      <c r="H151" s="315"/>
      <c r="I151" s="315"/>
      <c r="J151" s="315"/>
      <c r="K151" s="315"/>
      <c r="L151" s="315"/>
      <c r="M151" s="315"/>
      <c r="N151" s="315"/>
      <c r="O151" s="315"/>
      <c r="P151" s="315"/>
      <c r="Q151" s="315"/>
      <c r="R151" s="315"/>
      <c r="S151" s="315"/>
      <c r="T151" s="315"/>
      <c r="U151" s="315"/>
      <c r="V151" s="315"/>
      <c r="W151" s="315"/>
      <c r="X151" s="315"/>
      <c r="Y151" s="315"/>
      <c r="Z151" s="315"/>
      <c r="AA151" s="315"/>
      <c r="AB151" s="315"/>
      <c r="AC151" s="315"/>
      <c r="AD151" s="315"/>
      <c r="AE151" s="315"/>
      <c r="AF151" s="315"/>
      <c r="AG151" s="315"/>
      <c r="AH151" s="315"/>
      <c r="AI151" s="315"/>
      <c r="AJ151" s="315"/>
      <c r="AK151" s="315"/>
      <c r="AL151" s="315"/>
      <c r="AM151" s="315"/>
      <c r="AN151" s="315"/>
      <c r="AO151" s="315"/>
      <c r="AP151" s="315"/>
      <c r="AQ151" s="315"/>
      <c r="AR151" s="315"/>
      <c r="AS151" s="315"/>
      <c r="AT151" s="315"/>
      <c r="AU151" s="315"/>
      <c r="AV151" s="315"/>
      <c r="AW151" s="315"/>
      <c r="AX151" s="315"/>
      <c r="AY151" s="315"/>
      <c r="AZ151" s="315"/>
      <c r="BA151" s="315"/>
      <c r="BB151" s="315"/>
      <c r="BC151" s="316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</row>
    <row r="152" spans="3:76" hidden="1">
      <c r="C152" s="314" t="s">
        <v>346</v>
      </c>
      <c r="D152" s="315"/>
      <c r="E152" s="325">
        <f t="shared" ref="E152:BX152" si="57">E147+E148+E149+E150+E151</f>
        <v>0</v>
      </c>
      <c r="F152" s="325">
        <f t="shared" si="57"/>
        <v>0</v>
      </c>
      <c r="G152" s="325">
        <f t="shared" si="57"/>
        <v>0</v>
      </c>
      <c r="H152" s="325">
        <f t="shared" si="57"/>
        <v>-10682501</v>
      </c>
      <c r="I152" s="325">
        <f t="shared" si="57"/>
        <v>0</v>
      </c>
      <c r="J152" s="325">
        <f t="shared" si="57"/>
        <v>0</v>
      </c>
      <c r="K152" s="325">
        <f t="shared" si="57"/>
        <v>0</v>
      </c>
      <c r="L152" s="325">
        <f t="shared" si="57"/>
        <v>15913.92</v>
      </c>
      <c r="M152" s="325">
        <f t="shared" si="57"/>
        <v>0</v>
      </c>
      <c r="N152" s="325">
        <f t="shared" si="57"/>
        <v>0</v>
      </c>
      <c r="O152" s="325">
        <f t="shared" si="57"/>
        <v>0</v>
      </c>
      <c r="P152" s="325">
        <f t="shared" si="57"/>
        <v>0</v>
      </c>
      <c r="Q152" s="325">
        <f t="shared" si="57"/>
        <v>36051</v>
      </c>
      <c r="R152" s="325">
        <f t="shared" si="57"/>
        <v>393250</v>
      </c>
      <c r="S152" s="325">
        <f t="shared" si="57"/>
        <v>0</v>
      </c>
      <c r="T152" s="325">
        <f t="shared" si="57"/>
        <v>16182501</v>
      </c>
      <c r="U152" s="325">
        <f t="shared" si="57"/>
        <v>0</v>
      </c>
      <c r="V152" s="325">
        <f t="shared" si="57"/>
        <v>0</v>
      </c>
      <c r="W152" s="325">
        <f t="shared" si="57"/>
        <v>0</v>
      </c>
      <c r="X152" s="325">
        <f t="shared" si="57"/>
        <v>0</v>
      </c>
      <c r="Y152" s="325">
        <f t="shared" si="57"/>
        <v>0</v>
      </c>
      <c r="Z152" s="325">
        <f t="shared" si="57"/>
        <v>0</v>
      </c>
      <c r="AA152" s="325">
        <f t="shared" si="57"/>
        <v>0</v>
      </c>
      <c r="AB152" s="325">
        <f t="shared" si="57"/>
        <v>0</v>
      </c>
      <c r="AC152" s="325">
        <f t="shared" si="57"/>
        <v>0</v>
      </c>
      <c r="AD152" s="325">
        <f t="shared" si="57"/>
        <v>0</v>
      </c>
      <c r="AE152" s="325">
        <f t="shared" si="57"/>
        <v>0</v>
      </c>
      <c r="AF152" s="325">
        <f t="shared" si="57"/>
        <v>0</v>
      </c>
      <c r="AG152" s="325">
        <f t="shared" si="57"/>
        <v>0</v>
      </c>
      <c r="AH152" s="325">
        <f t="shared" si="57"/>
        <v>0</v>
      </c>
      <c r="AI152" s="325">
        <f t="shared" si="57"/>
        <v>0</v>
      </c>
      <c r="AJ152" s="325">
        <f t="shared" si="57"/>
        <v>0</v>
      </c>
      <c r="AK152" s="325">
        <f t="shared" si="57"/>
        <v>0</v>
      </c>
      <c r="AL152" s="325">
        <f t="shared" si="57"/>
        <v>0</v>
      </c>
      <c r="AM152" s="325">
        <f t="shared" si="57"/>
        <v>0</v>
      </c>
      <c r="AN152" s="325">
        <f t="shared" si="57"/>
        <v>0</v>
      </c>
      <c r="AO152" s="325">
        <f t="shared" si="57"/>
        <v>0</v>
      </c>
      <c r="AP152" s="325">
        <f t="shared" si="57"/>
        <v>0</v>
      </c>
      <c r="AQ152" s="325">
        <f t="shared" si="57"/>
        <v>0</v>
      </c>
      <c r="AR152" s="325">
        <f t="shared" si="57"/>
        <v>0</v>
      </c>
      <c r="AS152" s="325">
        <f t="shared" si="57"/>
        <v>0</v>
      </c>
      <c r="AT152" s="325">
        <f t="shared" si="57"/>
        <v>0</v>
      </c>
      <c r="AU152" s="325">
        <f t="shared" si="57"/>
        <v>0</v>
      </c>
      <c r="AV152" s="325">
        <f t="shared" si="57"/>
        <v>0</v>
      </c>
      <c r="AW152" s="325">
        <f t="shared" si="57"/>
        <v>0</v>
      </c>
      <c r="AX152" s="325">
        <f t="shared" si="57"/>
        <v>0</v>
      </c>
      <c r="AY152" s="325">
        <f t="shared" si="57"/>
        <v>0</v>
      </c>
      <c r="AZ152" s="325">
        <f t="shared" si="57"/>
        <v>0</v>
      </c>
      <c r="BA152" s="325">
        <f t="shared" si="57"/>
        <v>0</v>
      </c>
      <c r="BB152" s="325">
        <f t="shared" si="57"/>
        <v>0</v>
      </c>
      <c r="BC152" s="325">
        <f t="shared" si="57"/>
        <v>0</v>
      </c>
      <c r="BD152" s="325">
        <f t="shared" si="57"/>
        <v>0</v>
      </c>
      <c r="BE152" s="325">
        <f t="shared" si="57"/>
        <v>0</v>
      </c>
      <c r="BF152" s="325">
        <f t="shared" si="57"/>
        <v>0</v>
      </c>
      <c r="BG152" s="325">
        <f t="shared" si="57"/>
        <v>0</v>
      </c>
      <c r="BH152" s="325">
        <f t="shared" si="57"/>
        <v>0</v>
      </c>
      <c r="BI152" s="325">
        <f t="shared" si="57"/>
        <v>0</v>
      </c>
      <c r="BJ152" s="325">
        <f t="shared" si="57"/>
        <v>0</v>
      </c>
      <c r="BK152" s="325">
        <f t="shared" si="57"/>
        <v>0</v>
      </c>
      <c r="BL152" s="325">
        <f t="shared" si="57"/>
        <v>0</v>
      </c>
      <c r="BM152" s="325">
        <f t="shared" si="57"/>
        <v>0</v>
      </c>
      <c r="BN152" s="325">
        <f t="shared" si="57"/>
        <v>0</v>
      </c>
      <c r="BO152" s="325">
        <f t="shared" si="57"/>
        <v>0</v>
      </c>
      <c r="BP152" s="325">
        <f t="shared" si="57"/>
        <v>0</v>
      </c>
      <c r="BQ152" s="325">
        <f t="shared" si="57"/>
        <v>0</v>
      </c>
      <c r="BR152" s="325">
        <f t="shared" si="57"/>
        <v>0</v>
      </c>
      <c r="BS152" s="325">
        <f t="shared" si="57"/>
        <v>0</v>
      </c>
      <c r="BT152" s="325">
        <f t="shared" si="57"/>
        <v>0</v>
      </c>
      <c r="BU152" s="325">
        <f t="shared" si="57"/>
        <v>0</v>
      </c>
      <c r="BV152" s="325">
        <f t="shared" si="57"/>
        <v>0</v>
      </c>
      <c r="BW152" s="325">
        <f t="shared" si="57"/>
        <v>0</v>
      </c>
      <c r="BX152" s="325">
        <f t="shared" si="57"/>
        <v>0</v>
      </c>
    </row>
    <row r="153" spans="3:76" hidden="1">
      <c r="C153" s="318"/>
      <c r="D153" s="326" t="s">
        <v>354</v>
      </c>
      <c r="E153" s="330">
        <f>E152</f>
        <v>0</v>
      </c>
      <c r="F153" s="330">
        <f t="shared" ref="F153:BX153" si="58">E153+F152</f>
        <v>0</v>
      </c>
      <c r="G153" s="330">
        <f t="shared" si="58"/>
        <v>0</v>
      </c>
      <c r="H153" s="330">
        <f t="shared" si="58"/>
        <v>-10682501</v>
      </c>
      <c r="I153" s="330">
        <f t="shared" si="58"/>
        <v>-10682501</v>
      </c>
      <c r="J153" s="330">
        <f t="shared" si="58"/>
        <v>-10682501</v>
      </c>
      <c r="K153" s="330">
        <f t="shared" si="58"/>
        <v>-10682501</v>
      </c>
      <c r="L153" s="330">
        <f t="shared" si="58"/>
        <v>-10666587.08</v>
      </c>
      <c r="M153" s="330">
        <f t="shared" si="58"/>
        <v>-10666587.08</v>
      </c>
      <c r="N153" s="330">
        <f t="shared" si="58"/>
        <v>-10666587.08</v>
      </c>
      <c r="O153" s="330">
        <f t="shared" si="58"/>
        <v>-10666587.08</v>
      </c>
      <c r="P153" s="330">
        <f t="shared" si="58"/>
        <v>-10666587.08</v>
      </c>
      <c r="Q153" s="330">
        <f t="shared" si="58"/>
        <v>-10630536.08</v>
      </c>
      <c r="R153" s="330">
        <f t="shared" si="58"/>
        <v>-10237286.08</v>
      </c>
      <c r="S153" s="330">
        <f t="shared" si="58"/>
        <v>-10237286.08</v>
      </c>
      <c r="T153" s="330">
        <f t="shared" si="58"/>
        <v>5945214.9199999999</v>
      </c>
      <c r="U153" s="330">
        <f t="shared" si="58"/>
        <v>5945214.9199999999</v>
      </c>
      <c r="V153" s="331">
        <f t="shared" si="58"/>
        <v>5945214.9199999999</v>
      </c>
      <c r="W153" s="331">
        <f t="shared" si="58"/>
        <v>5945214.9199999999</v>
      </c>
      <c r="X153" s="331">
        <f t="shared" si="58"/>
        <v>5945214.9199999999</v>
      </c>
      <c r="Y153" s="331">
        <f t="shared" si="58"/>
        <v>5945214.9199999999</v>
      </c>
      <c r="Z153" s="331">
        <f t="shared" si="58"/>
        <v>5945214.9199999999</v>
      </c>
      <c r="AA153" s="331">
        <f t="shared" si="58"/>
        <v>5945214.9199999999</v>
      </c>
      <c r="AB153" s="331">
        <f t="shared" si="58"/>
        <v>5945214.9199999999</v>
      </c>
      <c r="AC153" s="331">
        <f t="shared" si="58"/>
        <v>5945214.9199999999</v>
      </c>
      <c r="AD153" s="331">
        <f t="shared" si="58"/>
        <v>5945214.9199999999</v>
      </c>
      <c r="AE153" s="331">
        <f t="shared" si="58"/>
        <v>5945214.9199999999</v>
      </c>
      <c r="AF153" s="331">
        <f t="shared" si="58"/>
        <v>5945214.9199999999</v>
      </c>
      <c r="AG153" s="331">
        <f t="shared" si="58"/>
        <v>5945214.9199999999</v>
      </c>
      <c r="AH153" s="331">
        <f t="shared" si="58"/>
        <v>5945214.9199999999</v>
      </c>
      <c r="AI153" s="331">
        <f t="shared" si="58"/>
        <v>5945214.9199999999</v>
      </c>
      <c r="AJ153" s="331">
        <f t="shared" si="58"/>
        <v>5945214.9199999999</v>
      </c>
      <c r="AK153" s="331">
        <f t="shared" si="58"/>
        <v>5945214.9199999999</v>
      </c>
      <c r="AL153" s="331">
        <f t="shared" si="58"/>
        <v>5945214.9199999999</v>
      </c>
      <c r="AM153" s="331">
        <f t="shared" si="58"/>
        <v>5945214.9199999999</v>
      </c>
      <c r="AN153" s="331">
        <f t="shared" si="58"/>
        <v>5945214.9199999999</v>
      </c>
      <c r="AO153" s="331">
        <f t="shared" si="58"/>
        <v>5945214.9199999999</v>
      </c>
      <c r="AP153" s="331">
        <f t="shared" si="58"/>
        <v>5945214.9199999999</v>
      </c>
      <c r="AQ153" s="331">
        <f t="shared" si="58"/>
        <v>5945214.9199999999</v>
      </c>
      <c r="AR153" s="331">
        <f t="shared" si="58"/>
        <v>5945214.9199999999</v>
      </c>
      <c r="AS153" s="331">
        <f t="shared" si="58"/>
        <v>5945214.9199999999</v>
      </c>
      <c r="AT153" s="331">
        <f t="shared" si="58"/>
        <v>5945214.9199999999</v>
      </c>
      <c r="AU153" s="331">
        <f t="shared" si="58"/>
        <v>5945214.9199999999</v>
      </c>
      <c r="AV153" s="331">
        <f t="shared" si="58"/>
        <v>5945214.9199999999</v>
      </c>
      <c r="AW153" s="331">
        <f t="shared" si="58"/>
        <v>5945214.9199999999</v>
      </c>
      <c r="AX153" s="331">
        <f t="shared" si="58"/>
        <v>5945214.9199999999</v>
      </c>
      <c r="AY153" s="331">
        <f t="shared" si="58"/>
        <v>5945214.9199999999</v>
      </c>
      <c r="AZ153" s="331">
        <f t="shared" si="58"/>
        <v>5945214.9199999999</v>
      </c>
      <c r="BA153" s="331">
        <f t="shared" si="58"/>
        <v>5945214.9199999999</v>
      </c>
      <c r="BB153" s="331">
        <f t="shared" si="58"/>
        <v>5945214.9199999999</v>
      </c>
      <c r="BC153" s="330">
        <f t="shared" si="58"/>
        <v>5945214.9199999999</v>
      </c>
      <c r="BD153" s="330">
        <f t="shared" si="58"/>
        <v>5945214.9199999999</v>
      </c>
      <c r="BE153" s="330">
        <f t="shared" si="58"/>
        <v>5945214.9199999999</v>
      </c>
      <c r="BF153" s="330">
        <f t="shared" si="58"/>
        <v>5945214.9199999999</v>
      </c>
      <c r="BG153" s="330">
        <f t="shared" si="58"/>
        <v>5945214.9199999999</v>
      </c>
      <c r="BH153" s="330">
        <f t="shared" si="58"/>
        <v>5945214.9199999999</v>
      </c>
      <c r="BI153" s="330">
        <f t="shared" si="58"/>
        <v>5945214.9199999999</v>
      </c>
      <c r="BJ153" s="330">
        <f t="shared" si="58"/>
        <v>5945214.9199999999</v>
      </c>
      <c r="BK153" s="330">
        <f t="shared" si="58"/>
        <v>5945214.9199999999</v>
      </c>
      <c r="BL153" s="330">
        <f t="shared" si="58"/>
        <v>5945214.9199999999</v>
      </c>
      <c r="BM153" s="330">
        <f t="shared" si="58"/>
        <v>5945214.9199999999</v>
      </c>
      <c r="BN153" s="330">
        <f t="shared" si="58"/>
        <v>5945214.9199999999</v>
      </c>
      <c r="BO153" s="330">
        <f t="shared" si="58"/>
        <v>5945214.9199999999</v>
      </c>
      <c r="BP153" s="330">
        <f t="shared" si="58"/>
        <v>5945214.9199999999</v>
      </c>
      <c r="BQ153" s="330">
        <f t="shared" si="58"/>
        <v>5945214.9199999999</v>
      </c>
      <c r="BR153" s="330">
        <f t="shared" si="58"/>
        <v>5945214.9199999999</v>
      </c>
      <c r="BS153" s="330">
        <f t="shared" si="58"/>
        <v>5945214.9199999999</v>
      </c>
      <c r="BT153" s="330">
        <f t="shared" si="58"/>
        <v>5945214.9199999999</v>
      </c>
      <c r="BU153" s="330">
        <f t="shared" si="58"/>
        <v>5945214.9199999999</v>
      </c>
      <c r="BV153" s="330">
        <f t="shared" si="58"/>
        <v>5945214.9199999999</v>
      </c>
      <c r="BW153" s="330">
        <f t="shared" si="58"/>
        <v>5945214.9199999999</v>
      </c>
      <c r="BX153" s="330">
        <f t="shared" si="58"/>
        <v>5945214.9199999999</v>
      </c>
    </row>
    <row r="154" spans="3:76" hidden="1">
      <c r="C154" s="317" t="s">
        <v>339</v>
      </c>
      <c r="D154" s="326">
        <f>IRR(H152:T152)*12</f>
        <v>0.45321567709639776</v>
      </c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  <c r="AG154" s="226"/>
      <c r="AH154" s="226"/>
      <c r="AI154" s="226"/>
      <c r="AJ154" s="226"/>
      <c r="AK154" s="226"/>
      <c r="AL154" s="226"/>
      <c r="AM154" s="226"/>
      <c r="AN154" s="226"/>
      <c r="AO154" s="226"/>
      <c r="AP154" s="226"/>
      <c r="AQ154" s="226"/>
      <c r="AR154" s="226"/>
      <c r="AS154" s="226"/>
      <c r="AT154" s="226"/>
      <c r="AU154" s="226"/>
      <c r="AV154" s="226"/>
      <c r="AW154" s="226"/>
      <c r="AX154" s="226"/>
      <c r="AY154" s="226"/>
      <c r="AZ154" s="226"/>
      <c r="BA154" s="226"/>
      <c r="BB154" s="226"/>
      <c r="BC154" s="226"/>
      <c r="BD154" s="226"/>
      <c r="BE154" s="226"/>
      <c r="BF154" s="226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6"/>
      <c r="BQ154" s="226"/>
      <c r="BR154" s="226"/>
      <c r="BS154" s="226"/>
      <c r="BT154" s="226"/>
      <c r="BU154" s="226"/>
      <c r="BV154" s="226"/>
      <c r="BW154" s="226"/>
      <c r="BX154" s="226"/>
    </row>
    <row r="155" spans="3:76" hidden="1">
      <c r="C155" s="327" t="s">
        <v>347</v>
      </c>
      <c r="D155" s="328">
        <f>-MIN(M153:BL153)-D156</f>
        <v>10666587.08</v>
      </c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Y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  <c r="BX155" s="226"/>
    </row>
    <row r="156" spans="3:76" hidden="1">
      <c r="C156" s="327" t="s">
        <v>348</v>
      </c>
      <c r="D156" s="328">
        <f>-SUM(M151:BB151)</f>
        <v>0</v>
      </c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  <c r="AG156" s="226"/>
      <c r="AH156" s="226"/>
      <c r="AI156" s="226"/>
      <c r="AJ156" s="226"/>
      <c r="AK156" s="226"/>
      <c r="AL156" s="226"/>
      <c r="AM156" s="226"/>
      <c r="AN156" s="226"/>
      <c r="AO156" s="226"/>
      <c r="AP156" s="226"/>
      <c r="AQ156" s="226"/>
      <c r="AR156" s="226"/>
      <c r="AS156" s="226"/>
      <c r="AT156" s="226"/>
      <c r="AU156" s="226"/>
      <c r="AV156" s="226"/>
      <c r="AW156" s="226"/>
      <c r="AX156" s="226"/>
      <c r="AY156" s="226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  <c r="BX156" s="226"/>
    </row>
    <row r="157" spans="3:76" hidden="1">
      <c r="C157" s="317" t="s">
        <v>349</v>
      </c>
      <c r="D157" s="329">
        <f>D156+D155</f>
        <v>10666587.08</v>
      </c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  <c r="AG157" s="226"/>
      <c r="AH157" s="226"/>
      <c r="AI157" s="226"/>
      <c r="AJ157" s="226"/>
      <c r="AK157" s="226"/>
      <c r="AL157" s="226"/>
      <c r="AM157" s="226"/>
      <c r="AN157" s="226"/>
      <c r="AO157" s="226"/>
      <c r="AP157" s="226"/>
      <c r="AQ157" s="226"/>
      <c r="AR157" s="226"/>
      <c r="AS157" s="226"/>
      <c r="AT157" s="226"/>
      <c r="AU157" s="226"/>
      <c r="AV157" s="226"/>
      <c r="AW157" s="226"/>
      <c r="AX157" s="226"/>
      <c r="AY157" s="226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  <c r="BX157" s="226"/>
    </row>
    <row r="158" spans="3:76" hidden="1">
      <c r="C158" s="317" t="s">
        <v>350</v>
      </c>
      <c r="D158" s="329">
        <f>BX149+BX150</f>
        <v>0</v>
      </c>
      <c r="E158" s="226"/>
      <c r="F158" s="226"/>
      <c r="G158" s="226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226"/>
      <c r="AG158" s="226"/>
      <c r="AH158" s="226"/>
      <c r="AI158" s="226"/>
      <c r="AJ158" s="226"/>
      <c r="AK158" s="226"/>
      <c r="AL158" s="226"/>
      <c r="AM158" s="226"/>
      <c r="AN158" s="226"/>
      <c r="AO158" s="226"/>
      <c r="AP158" s="226"/>
      <c r="AQ158" s="226"/>
      <c r="AR158" s="226"/>
      <c r="AS158" s="226"/>
      <c r="AT158" s="226"/>
      <c r="AU158" s="226"/>
      <c r="AV158" s="226"/>
      <c r="AW158" s="226"/>
      <c r="AX158" s="226"/>
      <c r="AY158" s="226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  <c r="BX158" s="226"/>
    </row>
    <row r="159" spans="3:76" hidden="1">
      <c r="C159" s="317" t="s">
        <v>351</v>
      </c>
      <c r="D159" s="326">
        <f>T150/T147</f>
        <v>0.51486070537227191</v>
      </c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  <c r="AG159" s="226"/>
      <c r="AH159" s="226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AY159" s="226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  <c r="BX159" s="226"/>
    </row>
    <row r="163" spans="3:76" hidden="1">
      <c r="C163" s="314" t="s">
        <v>356</v>
      </c>
      <c r="D163" s="315"/>
      <c r="E163" s="315">
        <f t="shared" ref="E163:G163" si="59">-(E7+E93)</f>
        <v>0</v>
      </c>
      <c r="F163" s="315">
        <f t="shared" si="59"/>
        <v>0</v>
      </c>
      <c r="G163" s="315">
        <f t="shared" si="59"/>
        <v>0</v>
      </c>
      <c r="H163" s="315">
        <f>-5341205.5</f>
        <v>-5341205.5</v>
      </c>
      <c r="I163" s="315">
        <f t="shared" ref="I163:S163" si="60">-(I7+I93)</f>
        <v>0</v>
      </c>
      <c r="J163" s="315">
        <f t="shared" si="60"/>
        <v>0</v>
      </c>
      <c r="K163" s="315">
        <f t="shared" si="60"/>
        <v>0</v>
      </c>
      <c r="L163" s="315">
        <f t="shared" si="60"/>
        <v>0</v>
      </c>
      <c r="M163" s="315">
        <f t="shared" si="60"/>
        <v>0</v>
      </c>
      <c r="N163" s="315">
        <f t="shared" si="60"/>
        <v>0</v>
      </c>
      <c r="O163" s="315">
        <f t="shared" si="60"/>
        <v>0</v>
      </c>
      <c r="P163" s="315">
        <f t="shared" si="60"/>
        <v>0</v>
      </c>
      <c r="Q163" s="315">
        <f t="shared" si="60"/>
        <v>0</v>
      </c>
      <c r="R163" s="315">
        <f t="shared" si="60"/>
        <v>0</v>
      </c>
      <c r="S163" s="315">
        <f t="shared" si="60"/>
        <v>0</v>
      </c>
      <c r="T163" s="315">
        <f>5341205.5</f>
        <v>5341205.5</v>
      </c>
      <c r="U163" s="315">
        <f t="shared" ref="U163:BX163" si="61">-(U7+U93)</f>
        <v>0</v>
      </c>
      <c r="V163" s="315">
        <f t="shared" si="61"/>
        <v>0</v>
      </c>
      <c r="W163" s="315">
        <f t="shared" si="61"/>
        <v>0</v>
      </c>
      <c r="X163" s="315">
        <f t="shared" si="61"/>
        <v>0</v>
      </c>
      <c r="Y163" s="315">
        <f t="shared" si="61"/>
        <v>0</v>
      </c>
      <c r="Z163" s="315">
        <f t="shared" si="61"/>
        <v>0</v>
      </c>
      <c r="AA163" s="315">
        <f t="shared" si="61"/>
        <v>0</v>
      </c>
      <c r="AB163" s="315">
        <f t="shared" si="61"/>
        <v>0</v>
      </c>
      <c r="AC163" s="315">
        <f t="shared" si="61"/>
        <v>0</v>
      </c>
      <c r="AD163" s="315">
        <f t="shared" si="61"/>
        <v>0</v>
      </c>
      <c r="AE163" s="315">
        <f t="shared" si="61"/>
        <v>0</v>
      </c>
      <c r="AF163" s="315">
        <f t="shared" si="61"/>
        <v>0</v>
      </c>
      <c r="AG163" s="315">
        <f t="shared" si="61"/>
        <v>0</v>
      </c>
      <c r="AH163" s="315">
        <f t="shared" si="61"/>
        <v>0</v>
      </c>
      <c r="AI163" s="315">
        <f t="shared" si="61"/>
        <v>0</v>
      </c>
      <c r="AJ163" s="315">
        <f t="shared" si="61"/>
        <v>0</v>
      </c>
      <c r="AK163" s="315">
        <f t="shared" si="61"/>
        <v>0</v>
      </c>
      <c r="AL163" s="315">
        <f t="shared" si="61"/>
        <v>0</v>
      </c>
      <c r="AM163" s="315">
        <f t="shared" si="61"/>
        <v>0</v>
      </c>
      <c r="AN163" s="315">
        <f t="shared" si="61"/>
        <v>0</v>
      </c>
      <c r="AO163" s="315">
        <f t="shared" si="61"/>
        <v>0</v>
      </c>
      <c r="AP163" s="315">
        <f t="shared" si="61"/>
        <v>0</v>
      </c>
      <c r="AQ163" s="315">
        <f t="shared" si="61"/>
        <v>0</v>
      </c>
      <c r="AR163" s="315">
        <f t="shared" si="61"/>
        <v>0</v>
      </c>
      <c r="AS163" s="315">
        <f t="shared" si="61"/>
        <v>0</v>
      </c>
      <c r="AT163" s="315">
        <f t="shared" si="61"/>
        <v>0</v>
      </c>
      <c r="AU163" s="315">
        <f t="shared" si="61"/>
        <v>0</v>
      </c>
      <c r="AV163" s="315">
        <f t="shared" si="61"/>
        <v>0</v>
      </c>
      <c r="AW163" s="315">
        <f t="shared" si="61"/>
        <v>0</v>
      </c>
      <c r="AX163" s="315">
        <f t="shared" si="61"/>
        <v>0</v>
      </c>
      <c r="AY163" s="315">
        <f t="shared" si="61"/>
        <v>0</v>
      </c>
      <c r="AZ163" s="315">
        <f t="shared" si="61"/>
        <v>0</v>
      </c>
      <c r="BA163" s="315">
        <f t="shared" si="61"/>
        <v>0</v>
      </c>
      <c r="BB163" s="315">
        <f t="shared" si="61"/>
        <v>0</v>
      </c>
      <c r="BC163" s="315">
        <f t="shared" si="61"/>
        <v>0</v>
      </c>
      <c r="BD163" s="315">
        <f t="shared" si="61"/>
        <v>0</v>
      </c>
      <c r="BE163" s="315">
        <f t="shared" si="61"/>
        <v>0</v>
      </c>
      <c r="BF163" s="315">
        <f t="shared" si="61"/>
        <v>0</v>
      </c>
      <c r="BG163" s="315">
        <f t="shared" si="61"/>
        <v>0</v>
      </c>
      <c r="BH163" s="315">
        <f t="shared" si="61"/>
        <v>0</v>
      </c>
      <c r="BI163" s="315">
        <f t="shared" si="61"/>
        <v>0</v>
      </c>
      <c r="BJ163" s="315">
        <f t="shared" si="61"/>
        <v>0</v>
      </c>
      <c r="BK163" s="315">
        <f t="shared" si="61"/>
        <v>0</v>
      </c>
      <c r="BL163" s="315">
        <f t="shared" si="61"/>
        <v>0</v>
      </c>
      <c r="BM163" s="315">
        <f t="shared" si="61"/>
        <v>0</v>
      </c>
      <c r="BN163" s="315">
        <f t="shared" si="61"/>
        <v>0</v>
      </c>
      <c r="BO163" s="315">
        <f t="shared" si="61"/>
        <v>0</v>
      </c>
      <c r="BP163" s="315">
        <f t="shared" si="61"/>
        <v>0</v>
      </c>
      <c r="BQ163" s="315">
        <f t="shared" si="61"/>
        <v>0</v>
      </c>
      <c r="BR163" s="315">
        <f t="shared" si="61"/>
        <v>0</v>
      </c>
      <c r="BS163" s="315">
        <f t="shared" si="61"/>
        <v>0</v>
      </c>
      <c r="BT163" s="315">
        <f t="shared" si="61"/>
        <v>0</v>
      </c>
      <c r="BU163" s="315">
        <f t="shared" si="61"/>
        <v>0</v>
      </c>
      <c r="BV163" s="315">
        <f t="shared" si="61"/>
        <v>0</v>
      </c>
      <c r="BW163" s="315">
        <f t="shared" si="61"/>
        <v>0</v>
      </c>
      <c r="BX163" s="315">
        <f t="shared" si="61"/>
        <v>0</v>
      </c>
    </row>
    <row r="164" spans="3:76" hidden="1">
      <c r="C164" s="314" t="s">
        <v>353</v>
      </c>
      <c r="D164" s="323"/>
      <c r="E164" s="315"/>
      <c r="F164" s="315"/>
      <c r="G164" s="315"/>
      <c r="H164" s="315"/>
      <c r="I164" s="315"/>
      <c r="J164" s="315"/>
      <c r="K164" s="315"/>
      <c r="L164" s="315"/>
      <c r="M164" s="315"/>
      <c r="N164" s="315"/>
      <c r="O164" s="315"/>
      <c r="P164" s="315"/>
      <c r="Q164" s="315"/>
      <c r="R164" s="315"/>
      <c r="S164" s="315"/>
      <c r="T164" s="315"/>
      <c r="U164" s="315"/>
      <c r="V164" s="315"/>
      <c r="W164" s="315"/>
      <c r="X164" s="315"/>
      <c r="Y164" s="315"/>
      <c r="Z164" s="315"/>
      <c r="AA164" s="315"/>
      <c r="AB164" s="315"/>
      <c r="AC164" s="315"/>
      <c r="AD164" s="315"/>
      <c r="AE164" s="315"/>
      <c r="AF164" s="315"/>
      <c r="AG164" s="315"/>
      <c r="AH164" s="315"/>
      <c r="AI164" s="315"/>
      <c r="AJ164" s="315"/>
      <c r="AK164" s="315"/>
      <c r="AL164" s="315"/>
      <c r="AM164" s="315"/>
      <c r="AN164" s="315"/>
      <c r="AO164" s="315"/>
      <c r="AP164" s="315"/>
      <c r="AQ164" s="315"/>
      <c r="AR164" s="315"/>
      <c r="AS164" s="315"/>
      <c r="AT164" s="315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</row>
    <row r="165" spans="3:76" hidden="1">
      <c r="C165" s="314" t="s">
        <v>343</v>
      </c>
      <c r="D165" s="323"/>
      <c r="E165" s="315">
        <f t="shared" ref="E165:BX165" si="62">-E58</f>
        <v>0</v>
      </c>
      <c r="F165" s="315">
        <f t="shared" si="62"/>
        <v>0</v>
      </c>
      <c r="G165" s="315">
        <f t="shared" si="62"/>
        <v>0</v>
      </c>
      <c r="H165" s="315">
        <f t="shared" si="62"/>
        <v>0</v>
      </c>
      <c r="I165" s="315">
        <f t="shared" si="62"/>
        <v>0</v>
      </c>
      <c r="J165" s="315">
        <f t="shared" si="62"/>
        <v>0</v>
      </c>
      <c r="K165" s="315">
        <f t="shared" si="62"/>
        <v>0</v>
      </c>
      <c r="L165" s="315">
        <f t="shared" si="62"/>
        <v>0</v>
      </c>
      <c r="M165" s="315">
        <f t="shared" si="62"/>
        <v>0</v>
      </c>
      <c r="N165" s="315">
        <f t="shared" si="62"/>
        <v>0</v>
      </c>
      <c r="O165" s="315">
        <f t="shared" si="62"/>
        <v>0</v>
      </c>
      <c r="P165" s="315">
        <f t="shared" si="62"/>
        <v>0</v>
      </c>
      <c r="Q165" s="315">
        <f t="shared" si="62"/>
        <v>0</v>
      </c>
      <c r="R165" s="315">
        <f t="shared" si="62"/>
        <v>0</v>
      </c>
      <c r="S165" s="315">
        <f t="shared" si="62"/>
        <v>0</v>
      </c>
      <c r="T165" s="315">
        <f t="shared" si="62"/>
        <v>0</v>
      </c>
      <c r="U165" s="315">
        <f t="shared" si="62"/>
        <v>0</v>
      </c>
      <c r="V165" s="315">
        <f t="shared" si="62"/>
        <v>0</v>
      </c>
      <c r="W165" s="315">
        <f t="shared" si="62"/>
        <v>0</v>
      </c>
      <c r="X165" s="315">
        <f t="shared" si="62"/>
        <v>0</v>
      </c>
      <c r="Y165" s="315">
        <f t="shared" si="62"/>
        <v>0</v>
      </c>
      <c r="Z165" s="315">
        <f t="shared" si="62"/>
        <v>0</v>
      </c>
      <c r="AA165" s="315">
        <f t="shared" si="62"/>
        <v>0</v>
      </c>
      <c r="AB165" s="315">
        <f t="shared" si="62"/>
        <v>0</v>
      </c>
      <c r="AC165" s="315">
        <f t="shared" si="62"/>
        <v>0</v>
      </c>
      <c r="AD165" s="315">
        <f t="shared" si="62"/>
        <v>0</v>
      </c>
      <c r="AE165" s="315">
        <f t="shared" si="62"/>
        <v>0</v>
      </c>
      <c r="AF165" s="315">
        <f t="shared" si="62"/>
        <v>0</v>
      </c>
      <c r="AG165" s="315">
        <f t="shared" si="62"/>
        <v>0</v>
      </c>
      <c r="AH165" s="315">
        <f t="shared" si="62"/>
        <v>0</v>
      </c>
      <c r="AI165" s="315">
        <f t="shared" si="62"/>
        <v>0</v>
      </c>
      <c r="AJ165" s="315">
        <f t="shared" si="62"/>
        <v>0</v>
      </c>
      <c r="AK165" s="315">
        <f t="shared" si="62"/>
        <v>0</v>
      </c>
      <c r="AL165" s="315">
        <f t="shared" si="62"/>
        <v>0</v>
      </c>
      <c r="AM165" s="315">
        <f t="shared" si="62"/>
        <v>0</v>
      </c>
      <c r="AN165" s="315">
        <f t="shared" si="62"/>
        <v>0</v>
      </c>
      <c r="AO165" s="315">
        <f t="shared" si="62"/>
        <v>0</v>
      </c>
      <c r="AP165" s="315">
        <f t="shared" si="62"/>
        <v>0</v>
      </c>
      <c r="AQ165" s="315">
        <f t="shared" si="62"/>
        <v>0</v>
      </c>
      <c r="AR165" s="315">
        <f t="shared" si="62"/>
        <v>0</v>
      </c>
      <c r="AS165" s="315">
        <f t="shared" si="62"/>
        <v>0</v>
      </c>
      <c r="AT165" s="315">
        <f t="shared" si="62"/>
        <v>0</v>
      </c>
      <c r="AU165" s="315">
        <f t="shared" si="62"/>
        <v>0</v>
      </c>
      <c r="AV165" s="315">
        <f t="shared" si="62"/>
        <v>0</v>
      </c>
      <c r="AW165" s="315">
        <f t="shared" si="62"/>
        <v>0</v>
      </c>
      <c r="AX165" s="315">
        <f t="shared" si="62"/>
        <v>0</v>
      </c>
      <c r="AY165" s="315">
        <f t="shared" si="62"/>
        <v>0</v>
      </c>
      <c r="AZ165" s="315">
        <f t="shared" si="62"/>
        <v>0</v>
      </c>
      <c r="BA165" s="315">
        <f t="shared" si="62"/>
        <v>0</v>
      </c>
      <c r="BB165" s="315">
        <f t="shared" si="62"/>
        <v>0</v>
      </c>
      <c r="BC165" s="315">
        <f t="shared" si="62"/>
        <v>0</v>
      </c>
      <c r="BD165" s="315">
        <f t="shared" si="62"/>
        <v>0</v>
      </c>
      <c r="BE165" s="315">
        <f t="shared" si="62"/>
        <v>0</v>
      </c>
      <c r="BF165" s="315">
        <f t="shared" si="62"/>
        <v>0</v>
      </c>
      <c r="BG165" s="315">
        <f t="shared" si="62"/>
        <v>0</v>
      </c>
      <c r="BH165" s="315">
        <f t="shared" si="62"/>
        <v>0</v>
      </c>
      <c r="BI165" s="315">
        <f t="shared" si="62"/>
        <v>0</v>
      </c>
      <c r="BJ165" s="315">
        <f t="shared" si="62"/>
        <v>0</v>
      </c>
      <c r="BK165" s="315">
        <f t="shared" si="62"/>
        <v>0</v>
      </c>
      <c r="BL165" s="315">
        <f t="shared" si="62"/>
        <v>0</v>
      </c>
      <c r="BM165" s="315">
        <f t="shared" si="62"/>
        <v>0</v>
      </c>
      <c r="BN165" s="315">
        <f t="shared" si="62"/>
        <v>0</v>
      </c>
      <c r="BO165" s="315">
        <f t="shared" si="62"/>
        <v>0</v>
      </c>
      <c r="BP165" s="315">
        <f t="shared" si="62"/>
        <v>0</v>
      </c>
      <c r="BQ165" s="315">
        <f t="shared" si="62"/>
        <v>0</v>
      </c>
      <c r="BR165" s="315">
        <f t="shared" si="62"/>
        <v>0</v>
      </c>
      <c r="BS165" s="315">
        <f t="shared" si="62"/>
        <v>0</v>
      </c>
      <c r="BT165" s="315">
        <f t="shared" si="62"/>
        <v>0</v>
      </c>
      <c r="BU165" s="315">
        <f t="shared" si="62"/>
        <v>0</v>
      </c>
      <c r="BV165" s="315">
        <f t="shared" si="62"/>
        <v>0</v>
      </c>
      <c r="BW165" s="315">
        <f t="shared" si="62"/>
        <v>0</v>
      </c>
      <c r="BX165" s="315">
        <f t="shared" si="62"/>
        <v>0</v>
      </c>
    </row>
    <row r="166" spans="3:76" hidden="1">
      <c r="C166" s="314" t="s">
        <v>344</v>
      </c>
      <c r="D166" s="323"/>
      <c r="E166" s="315"/>
      <c r="F166" s="315"/>
      <c r="G166" s="315"/>
      <c r="H166" s="315"/>
      <c r="I166" s="315"/>
      <c r="J166" s="315"/>
      <c r="K166" s="315"/>
      <c r="L166" s="315"/>
      <c r="M166" s="315"/>
      <c r="N166" s="315"/>
      <c r="O166" s="315"/>
      <c r="P166" s="315"/>
      <c r="Q166" s="315"/>
      <c r="R166" s="315"/>
      <c r="S166" s="315"/>
      <c r="T166" s="315">
        <v>2750000</v>
      </c>
      <c r="U166" s="315"/>
      <c r="V166" s="315"/>
      <c r="W166" s="315"/>
      <c r="X166" s="315"/>
      <c r="Y166" s="315"/>
      <c r="Z166" s="315"/>
      <c r="AA166" s="315"/>
      <c r="AB166" s="315"/>
      <c r="AC166" s="315"/>
      <c r="AD166" s="315"/>
      <c r="AE166" s="315"/>
      <c r="AF166" s="315"/>
      <c r="AG166" s="315"/>
      <c r="AH166" s="315"/>
      <c r="AI166" s="315"/>
      <c r="AJ166" s="315"/>
      <c r="AK166" s="315"/>
      <c r="AL166" s="315"/>
      <c r="AM166" s="315"/>
      <c r="AN166" s="315"/>
      <c r="AO166" s="315"/>
      <c r="AP166" s="315"/>
      <c r="AQ166" s="315"/>
      <c r="AR166" s="315"/>
      <c r="AS166" s="315"/>
      <c r="AT166" s="315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>
        <f>IF(D106&gt;0.25,(BX101-BX109)*D167,BX101*D167)</f>
        <v>0</v>
      </c>
    </row>
    <row r="167" spans="3:76" hidden="1">
      <c r="C167" s="317" t="s">
        <v>345</v>
      </c>
      <c r="D167" s="323">
        <v>0</v>
      </c>
      <c r="E167" s="246"/>
      <c r="F167" s="246"/>
      <c r="G167" s="246"/>
      <c r="H167" s="246"/>
      <c r="I167" s="246"/>
      <c r="J167" s="246"/>
      <c r="K167" s="246"/>
      <c r="L167" s="246"/>
      <c r="M167" s="246"/>
      <c r="N167" s="246"/>
      <c r="O167" s="246"/>
      <c r="P167" s="246"/>
      <c r="Q167" s="246"/>
      <c r="R167" s="246"/>
      <c r="S167" s="246"/>
      <c r="T167" s="246"/>
      <c r="U167" s="246"/>
      <c r="V167" s="246"/>
      <c r="W167" s="246"/>
      <c r="X167" s="246"/>
      <c r="Y167" s="246"/>
      <c r="Z167" s="246"/>
      <c r="AA167" s="246"/>
      <c r="AB167" s="246"/>
      <c r="AC167" s="246"/>
      <c r="AD167" s="246"/>
      <c r="AE167" s="246"/>
      <c r="AF167" s="246"/>
      <c r="AG167" s="246"/>
      <c r="AH167" s="246"/>
      <c r="AI167" s="246"/>
      <c r="AJ167" s="246"/>
      <c r="AK167" s="246"/>
      <c r="AL167" s="246"/>
      <c r="AM167" s="246"/>
      <c r="AN167" s="246"/>
      <c r="AO167" s="246"/>
      <c r="AP167" s="246"/>
      <c r="AQ167" s="246"/>
      <c r="AR167" s="246"/>
      <c r="AS167" s="246"/>
      <c r="AT167" s="246"/>
      <c r="AU167" s="246"/>
      <c r="AV167" s="246"/>
      <c r="AW167" s="246"/>
      <c r="AX167" s="246"/>
      <c r="AY167" s="246"/>
      <c r="AZ167" s="246"/>
      <c r="BA167" s="246"/>
      <c r="BB167" s="246"/>
      <c r="BC167" s="246"/>
      <c r="BD167" s="246"/>
      <c r="BE167" s="246"/>
      <c r="BF167" s="246"/>
      <c r="BG167" s="246"/>
      <c r="BH167" s="246"/>
      <c r="BI167" s="246"/>
      <c r="BJ167" s="246"/>
      <c r="BK167" s="246"/>
      <c r="BL167" s="246"/>
      <c r="BM167" s="246"/>
      <c r="BN167" s="246"/>
      <c r="BO167" s="246"/>
      <c r="BP167" s="246"/>
      <c r="BQ167" s="246"/>
      <c r="BR167" s="246"/>
      <c r="BS167" s="246"/>
      <c r="BT167" s="246"/>
      <c r="BU167" s="246"/>
      <c r="BV167" s="246"/>
      <c r="BW167" s="246"/>
      <c r="BX167" s="246"/>
    </row>
    <row r="168" spans="3:76" hidden="1">
      <c r="C168" s="314" t="s">
        <v>346</v>
      </c>
      <c r="D168" s="315"/>
      <c r="E168" s="325">
        <f t="shared" ref="E168:BX168" si="63">E163+E164+E165+E166+E167</f>
        <v>0</v>
      </c>
      <c r="F168" s="325">
        <f t="shared" si="63"/>
        <v>0</v>
      </c>
      <c r="G168" s="325">
        <f t="shared" si="63"/>
        <v>0</v>
      </c>
      <c r="H168" s="325">
        <f t="shared" si="63"/>
        <v>-5341205.5</v>
      </c>
      <c r="I168" s="325">
        <f t="shared" si="63"/>
        <v>0</v>
      </c>
      <c r="J168" s="325">
        <f t="shared" si="63"/>
        <v>0</v>
      </c>
      <c r="K168" s="325">
        <f t="shared" si="63"/>
        <v>0</v>
      </c>
      <c r="L168" s="325">
        <f t="shared" si="63"/>
        <v>0</v>
      </c>
      <c r="M168" s="325">
        <f t="shared" si="63"/>
        <v>0</v>
      </c>
      <c r="N168" s="325">
        <f t="shared" si="63"/>
        <v>0</v>
      </c>
      <c r="O168" s="325">
        <f t="shared" si="63"/>
        <v>0</v>
      </c>
      <c r="P168" s="325">
        <f t="shared" si="63"/>
        <v>0</v>
      </c>
      <c r="Q168" s="325">
        <f t="shared" si="63"/>
        <v>0</v>
      </c>
      <c r="R168" s="325">
        <f t="shared" si="63"/>
        <v>0</v>
      </c>
      <c r="S168" s="325">
        <f t="shared" si="63"/>
        <v>0</v>
      </c>
      <c r="T168" s="325">
        <f t="shared" si="63"/>
        <v>8091205.5</v>
      </c>
      <c r="U168" s="325">
        <f t="shared" si="63"/>
        <v>0</v>
      </c>
      <c r="V168" s="325">
        <f t="shared" si="63"/>
        <v>0</v>
      </c>
      <c r="W168" s="325">
        <f t="shared" si="63"/>
        <v>0</v>
      </c>
      <c r="X168" s="325">
        <f t="shared" si="63"/>
        <v>0</v>
      </c>
      <c r="Y168" s="325">
        <f t="shared" si="63"/>
        <v>0</v>
      </c>
      <c r="Z168" s="325">
        <f t="shared" si="63"/>
        <v>0</v>
      </c>
      <c r="AA168" s="325">
        <f t="shared" si="63"/>
        <v>0</v>
      </c>
      <c r="AB168" s="325">
        <f t="shared" si="63"/>
        <v>0</v>
      </c>
      <c r="AC168" s="325">
        <f t="shared" si="63"/>
        <v>0</v>
      </c>
      <c r="AD168" s="325">
        <f t="shared" si="63"/>
        <v>0</v>
      </c>
      <c r="AE168" s="325">
        <f t="shared" si="63"/>
        <v>0</v>
      </c>
      <c r="AF168" s="325">
        <f t="shared" si="63"/>
        <v>0</v>
      </c>
      <c r="AG168" s="325">
        <f t="shared" si="63"/>
        <v>0</v>
      </c>
      <c r="AH168" s="325">
        <f t="shared" si="63"/>
        <v>0</v>
      </c>
      <c r="AI168" s="325">
        <f t="shared" si="63"/>
        <v>0</v>
      </c>
      <c r="AJ168" s="325">
        <f t="shared" si="63"/>
        <v>0</v>
      </c>
      <c r="AK168" s="325">
        <f t="shared" si="63"/>
        <v>0</v>
      </c>
      <c r="AL168" s="325">
        <f t="shared" si="63"/>
        <v>0</v>
      </c>
      <c r="AM168" s="325">
        <f t="shared" si="63"/>
        <v>0</v>
      </c>
      <c r="AN168" s="325">
        <f t="shared" si="63"/>
        <v>0</v>
      </c>
      <c r="AO168" s="325">
        <f t="shared" si="63"/>
        <v>0</v>
      </c>
      <c r="AP168" s="325">
        <f t="shared" si="63"/>
        <v>0</v>
      </c>
      <c r="AQ168" s="325">
        <f t="shared" si="63"/>
        <v>0</v>
      </c>
      <c r="AR168" s="325">
        <f t="shared" si="63"/>
        <v>0</v>
      </c>
      <c r="AS168" s="325">
        <f t="shared" si="63"/>
        <v>0</v>
      </c>
      <c r="AT168" s="325">
        <f t="shared" si="63"/>
        <v>0</v>
      </c>
      <c r="AU168" s="325">
        <f t="shared" si="63"/>
        <v>0</v>
      </c>
      <c r="AV168" s="325">
        <f t="shared" si="63"/>
        <v>0</v>
      </c>
      <c r="AW168" s="325">
        <f t="shared" si="63"/>
        <v>0</v>
      </c>
      <c r="AX168" s="325">
        <f t="shared" si="63"/>
        <v>0</v>
      </c>
      <c r="AY168" s="325">
        <f t="shared" si="63"/>
        <v>0</v>
      </c>
      <c r="AZ168" s="325">
        <f t="shared" si="63"/>
        <v>0</v>
      </c>
      <c r="BA168" s="325">
        <f t="shared" si="63"/>
        <v>0</v>
      </c>
      <c r="BB168" s="325">
        <f t="shared" si="63"/>
        <v>0</v>
      </c>
      <c r="BC168" s="325">
        <f t="shared" si="63"/>
        <v>0</v>
      </c>
      <c r="BD168" s="325">
        <f t="shared" si="63"/>
        <v>0</v>
      </c>
      <c r="BE168" s="325">
        <f t="shared" si="63"/>
        <v>0</v>
      </c>
      <c r="BF168" s="325">
        <f t="shared" si="63"/>
        <v>0</v>
      </c>
      <c r="BG168" s="325">
        <f t="shared" si="63"/>
        <v>0</v>
      </c>
      <c r="BH168" s="325">
        <f t="shared" si="63"/>
        <v>0</v>
      </c>
      <c r="BI168" s="325">
        <f t="shared" si="63"/>
        <v>0</v>
      </c>
      <c r="BJ168" s="325">
        <f t="shared" si="63"/>
        <v>0</v>
      </c>
      <c r="BK168" s="325">
        <f t="shared" si="63"/>
        <v>0</v>
      </c>
      <c r="BL168" s="325">
        <f t="shared" si="63"/>
        <v>0</v>
      </c>
      <c r="BM168" s="325">
        <f t="shared" si="63"/>
        <v>0</v>
      </c>
      <c r="BN168" s="325">
        <f t="shared" si="63"/>
        <v>0</v>
      </c>
      <c r="BO168" s="325">
        <f t="shared" si="63"/>
        <v>0</v>
      </c>
      <c r="BP168" s="325">
        <f t="shared" si="63"/>
        <v>0</v>
      </c>
      <c r="BQ168" s="325">
        <f t="shared" si="63"/>
        <v>0</v>
      </c>
      <c r="BR168" s="325">
        <f t="shared" si="63"/>
        <v>0</v>
      </c>
      <c r="BS168" s="325">
        <f t="shared" si="63"/>
        <v>0</v>
      </c>
      <c r="BT168" s="325">
        <f t="shared" si="63"/>
        <v>0</v>
      </c>
      <c r="BU168" s="325">
        <f t="shared" si="63"/>
        <v>0</v>
      </c>
      <c r="BV168" s="325">
        <f t="shared" si="63"/>
        <v>0</v>
      </c>
      <c r="BW168" s="325">
        <f t="shared" si="63"/>
        <v>0</v>
      </c>
      <c r="BX168" s="325">
        <f t="shared" si="63"/>
        <v>0</v>
      </c>
    </row>
    <row r="169" spans="3:76" hidden="1">
      <c r="C169" s="318"/>
      <c r="D169" s="326" t="s">
        <v>354</v>
      </c>
      <c r="E169" s="330">
        <f>E168</f>
        <v>0</v>
      </c>
      <c r="F169" s="330">
        <f t="shared" ref="F169:BX169" si="64">E169+F168</f>
        <v>0</v>
      </c>
      <c r="G169" s="330">
        <f t="shared" si="64"/>
        <v>0</v>
      </c>
      <c r="H169" s="330">
        <f t="shared" si="64"/>
        <v>-5341205.5</v>
      </c>
      <c r="I169" s="330">
        <f t="shared" si="64"/>
        <v>-5341205.5</v>
      </c>
      <c r="J169" s="330">
        <f t="shared" si="64"/>
        <v>-5341205.5</v>
      </c>
      <c r="K169" s="330">
        <f t="shared" si="64"/>
        <v>-5341205.5</v>
      </c>
      <c r="L169" s="330">
        <f t="shared" si="64"/>
        <v>-5341205.5</v>
      </c>
      <c r="M169" s="330">
        <f t="shared" si="64"/>
        <v>-5341205.5</v>
      </c>
      <c r="N169" s="330">
        <f t="shared" si="64"/>
        <v>-5341205.5</v>
      </c>
      <c r="O169" s="330">
        <f t="shared" si="64"/>
        <v>-5341205.5</v>
      </c>
      <c r="P169" s="330">
        <f t="shared" si="64"/>
        <v>-5341205.5</v>
      </c>
      <c r="Q169" s="330">
        <f t="shared" si="64"/>
        <v>-5341205.5</v>
      </c>
      <c r="R169" s="330">
        <f t="shared" si="64"/>
        <v>-5341205.5</v>
      </c>
      <c r="S169" s="330">
        <f t="shared" si="64"/>
        <v>-5341205.5</v>
      </c>
      <c r="T169" s="330">
        <f t="shared" si="64"/>
        <v>2750000</v>
      </c>
      <c r="U169" s="330">
        <f t="shared" si="64"/>
        <v>2750000</v>
      </c>
      <c r="V169" s="330">
        <f t="shared" si="64"/>
        <v>2750000</v>
      </c>
      <c r="W169" s="330">
        <f t="shared" si="64"/>
        <v>2750000</v>
      </c>
      <c r="X169" s="330">
        <f t="shared" si="64"/>
        <v>2750000</v>
      </c>
      <c r="Y169" s="330">
        <f t="shared" si="64"/>
        <v>2750000</v>
      </c>
      <c r="Z169" s="330">
        <f t="shared" si="64"/>
        <v>2750000</v>
      </c>
      <c r="AA169" s="330">
        <f t="shared" si="64"/>
        <v>2750000</v>
      </c>
      <c r="AB169" s="330">
        <f t="shared" si="64"/>
        <v>2750000</v>
      </c>
      <c r="AC169" s="330">
        <f t="shared" si="64"/>
        <v>2750000</v>
      </c>
      <c r="AD169" s="330">
        <f t="shared" si="64"/>
        <v>2750000</v>
      </c>
      <c r="AE169" s="330">
        <f t="shared" si="64"/>
        <v>2750000</v>
      </c>
      <c r="AF169" s="330">
        <f t="shared" si="64"/>
        <v>2750000</v>
      </c>
      <c r="AG169" s="330">
        <f t="shared" si="64"/>
        <v>2750000</v>
      </c>
      <c r="AH169" s="330">
        <f t="shared" si="64"/>
        <v>2750000</v>
      </c>
      <c r="AI169" s="330">
        <f t="shared" si="64"/>
        <v>2750000</v>
      </c>
      <c r="AJ169" s="330">
        <f t="shared" si="64"/>
        <v>2750000</v>
      </c>
      <c r="AK169" s="330">
        <f t="shared" si="64"/>
        <v>2750000</v>
      </c>
      <c r="AL169" s="330">
        <f t="shared" si="64"/>
        <v>2750000</v>
      </c>
      <c r="AM169" s="330">
        <f t="shared" si="64"/>
        <v>2750000</v>
      </c>
      <c r="AN169" s="330">
        <f t="shared" si="64"/>
        <v>2750000</v>
      </c>
      <c r="AO169" s="330">
        <f t="shared" si="64"/>
        <v>2750000</v>
      </c>
      <c r="AP169" s="330">
        <f t="shared" si="64"/>
        <v>2750000</v>
      </c>
      <c r="AQ169" s="330">
        <f t="shared" si="64"/>
        <v>2750000</v>
      </c>
      <c r="AR169" s="330">
        <f t="shared" si="64"/>
        <v>2750000</v>
      </c>
      <c r="AS169" s="330">
        <f t="shared" si="64"/>
        <v>2750000</v>
      </c>
      <c r="AT169" s="330">
        <f t="shared" si="64"/>
        <v>2750000</v>
      </c>
      <c r="AU169" s="330">
        <f t="shared" si="64"/>
        <v>2750000</v>
      </c>
      <c r="AV169" s="330">
        <f t="shared" si="64"/>
        <v>2750000</v>
      </c>
      <c r="AW169" s="330">
        <f t="shared" si="64"/>
        <v>2750000</v>
      </c>
      <c r="AX169" s="330">
        <f t="shared" si="64"/>
        <v>2750000</v>
      </c>
      <c r="AY169" s="330">
        <f t="shared" si="64"/>
        <v>2750000</v>
      </c>
      <c r="AZ169" s="330">
        <f t="shared" si="64"/>
        <v>2750000</v>
      </c>
      <c r="BA169" s="330">
        <f t="shared" si="64"/>
        <v>2750000</v>
      </c>
      <c r="BB169" s="330">
        <f t="shared" si="64"/>
        <v>2750000</v>
      </c>
      <c r="BC169" s="330">
        <f t="shared" si="64"/>
        <v>2750000</v>
      </c>
      <c r="BD169" s="330">
        <f t="shared" si="64"/>
        <v>2750000</v>
      </c>
      <c r="BE169" s="330">
        <f t="shared" si="64"/>
        <v>2750000</v>
      </c>
      <c r="BF169" s="330">
        <f t="shared" si="64"/>
        <v>2750000</v>
      </c>
      <c r="BG169" s="330">
        <f t="shared" si="64"/>
        <v>2750000</v>
      </c>
      <c r="BH169" s="330">
        <f t="shared" si="64"/>
        <v>2750000</v>
      </c>
      <c r="BI169" s="330">
        <f t="shared" si="64"/>
        <v>2750000</v>
      </c>
      <c r="BJ169" s="330">
        <f t="shared" si="64"/>
        <v>2750000</v>
      </c>
      <c r="BK169" s="330">
        <f t="shared" si="64"/>
        <v>2750000</v>
      </c>
      <c r="BL169" s="330">
        <f t="shared" si="64"/>
        <v>2750000</v>
      </c>
      <c r="BM169" s="330">
        <f t="shared" si="64"/>
        <v>2750000</v>
      </c>
      <c r="BN169" s="330">
        <f t="shared" si="64"/>
        <v>2750000</v>
      </c>
      <c r="BO169" s="330">
        <f t="shared" si="64"/>
        <v>2750000</v>
      </c>
      <c r="BP169" s="330">
        <f t="shared" si="64"/>
        <v>2750000</v>
      </c>
      <c r="BQ169" s="330">
        <f t="shared" si="64"/>
        <v>2750000</v>
      </c>
      <c r="BR169" s="330">
        <f t="shared" si="64"/>
        <v>2750000</v>
      </c>
      <c r="BS169" s="330">
        <f t="shared" si="64"/>
        <v>2750000</v>
      </c>
      <c r="BT169" s="330">
        <f t="shared" si="64"/>
        <v>2750000</v>
      </c>
      <c r="BU169" s="330">
        <f t="shared" si="64"/>
        <v>2750000</v>
      </c>
      <c r="BV169" s="330">
        <f t="shared" si="64"/>
        <v>2750000</v>
      </c>
      <c r="BW169" s="330">
        <f t="shared" si="64"/>
        <v>2750000</v>
      </c>
      <c r="BX169" s="330">
        <f t="shared" si="64"/>
        <v>2750000</v>
      </c>
    </row>
    <row r="170" spans="3:76" hidden="1">
      <c r="C170" s="317" t="s">
        <v>339</v>
      </c>
      <c r="D170" s="326">
        <f>IRR(E168:BX168)*12</f>
        <v>0.42259732866030397</v>
      </c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  <c r="AG170" s="226"/>
      <c r="AH170" s="226"/>
      <c r="AI170" s="226"/>
      <c r="AJ170" s="226"/>
      <c r="AK170" s="226"/>
      <c r="AL170" s="226"/>
      <c r="AM170" s="226"/>
      <c r="AN170" s="226"/>
      <c r="AO170" s="226"/>
      <c r="AP170" s="226"/>
      <c r="AQ170" s="226"/>
      <c r="AR170" s="226"/>
      <c r="AS170" s="226"/>
      <c r="AT170" s="226"/>
      <c r="AU170" s="226"/>
      <c r="AV170" s="226"/>
      <c r="AW170" s="226"/>
      <c r="AX170" s="226"/>
      <c r="AY170" s="226"/>
      <c r="AZ170" s="226"/>
      <c r="BA170" s="226"/>
      <c r="BB170" s="226"/>
      <c r="BC170" s="226"/>
      <c r="BD170" s="226"/>
      <c r="BE170" s="226"/>
      <c r="BF170" s="226"/>
      <c r="BG170" s="226"/>
      <c r="BH170" s="226"/>
      <c r="BI170" s="226"/>
      <c r="BJ170" s="226"/>
      <c r="BK170" s="226"/>
      <c r="BL170" s="226"/>
      <c r="BM170" s="226"/>
      <c r="BN170" s="226"/>
      <c r="BO170" s="226"/>
      <c r="BP170" s="226"/>
      <c r="BQ170" s="226"/>
      <c r="BR170" s="226"/>
      <c r="BS170" s="226"/>
      <c r="BT170" s="226"/>
      <c r="BU170" s="226"/>
      <c r="BV170" s="226"/>
      <c r="BW170" s="226"/>
      <c r="BX170" s="226"/>
    </row>
    <row r="171" spans="3:76" hidden="1">
      <c r="C171" s="327" t="s">
        <v>347</v>
      </c>
      <c r="D171" s="328">
        <f>-MIN(M169:BL169)-D172</f>
        <v>5341205.5</v>
      </c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  <c r="AG171" s="226"/>
      <c r="AH171" s="226"/>
      <c r="AI171" s="226"/>
      <c r="AJ171" s="226"/>
      <c r="AK171" s="226"/>
      <c r="AL171" s="226"/>
      <c r="AM171" s="226"/>
      <c r="AN171" s="226"/>
      <c r="AO171" s="226"/>
      <c r="AP171" s="226"/>
      <c r="AQ171" s="226"/>
      <c r="AR171" s="226"/>
      <c r="AS171" s="226"/>
      <c r="AT171" s="226"/>
      <c r="AU171" s="226"/>
      <c r="AV171" s="226"/>
      <c r="AW171" s="226"/>
      <c r="AX171" s="226"/>
      <c r="AY171" s="226"/>
      <c r="AZ171" s="226"/>
      <c r="BA171" s="226"/>
      <c r="BB171" s="226"/>
      <c r="BC171" s="226"/>
      <c r="BD171" s="226"/>
      <c r="BE171" s="226"/>
      <c r="BF171" s="226"/>
      <c r="BG171" s="226"/>
      <c r="BH171" s="226"/>
      <c r="BI171" s="226"/>
      <c r="BJ171" s="226"/>
      <c r="BK171" s="226"/>
      <c r="BL171" s="226"/>
      <c r="BM171" s="226"/>
      <c r="BN171" s="226"/>
      <c r="BO171" s="226"/>
      <c r="BP171" s="226"/>
      <c r="BQ171" s="226"/>
      <c r="BR171" s="226"/>
      <c r="BS171" s="226"/>
      <c r="BT171" s="226"/>
      <c r="BU171" s="226"/>
      <c r="BV171" s="226"/>
      <c r="BW171" s="226"/>
      <c r="BX171" s="226"/>
    </row>
    <row r="172" spans="3:76" hidden="1">
      <c r="C172" s="327" t="s">
        <v>348</v>
      </c>
      <c r="D172" s="328">
        <f>-SUM(M167:BB167)</f>
        <v>0</v>
      </c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26"/>
      <c r="BN172" s="226"/>
      <c r="BO172" s="226"/>
      <c r="BP172" s="226"/>
      <c r="BQ172" s="226"/>
      <c r="BR172" s="226"/>
      <c r="BS172" s="226"/>
      <c r="BT172" s="226"/>
      <c r="BU172" s="226"/>
      <c r="BV172" s="226"/>
      <c r="BW172" s="226"/>
      <c r="BX172" s="226"/>
    </row>
    <row r="173" spans="3:76" hidden="1">
      <c r="C173" s="317" t="s">
        <v>349</v>
      </c>
      <c r="D173" s="329">
        <f>D172+D171</f>
        <v>5341205.5</v>
      </c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26"/>
      <c r="BN173" s="226"/>
      <c r="BO173" s="226"/>
      <c r="BP173" s="226"/>
      <c r="BQ173" s="226"/>
      <c r="BR173" s="226"/>
      <c r="BS173" s="226"/>
      <c r="BT173" s="226"/>
      <c r="BU173" s="226"/>
      <c r="BV173" s="226"/>
      <c r="BW173" s="226"/>
      <c r="BX173" s="226"/>
    </row>
    <row r="174" spans="3:76" hidden="1">
      <c r="C174" s="317" t="s">
        <v>350</v>
      </c>
      <c r="D174" s="329">
        <f>BX165+BX166</f>
        <v>0</v>
      </c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26"/>
      <c r="BN174" s="226"/>
      <c r="BO174" s="226"/>
      <c r="BP174" s="226"/>
      <c r="BQ174" s="226"/>
      <c r="BR174" s="226"/>
      <c r="BS174" s="226"/>
      <c r="BT174" s="226"/>
      <c r="BU174" s="226"/>
      <c r="BV174" s="226"/>
      <c r="BW174" s="226"/>
      <c r="BX174" s="226"/>
    </row>
    <row r="175" spans="3:76" hidden="1">
      <c r="C175" s="317" t="s">
        <v>351</v>
      </c>
      <c r="D175" s="326">
        <f>T166/T163</f>
        <v>0.51486504310684167</v>
      </c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26"/>
      <c r="BN175" s="226"/>
      <c r="BO175" s="226"/>
      <c r="BP175" s="226"/>
      <c r="BQ175" s="226"/>
      <c r="BR175" s="226"/>
      <c r="BS175" s="226"/>
      <c r="BT175" s="226"/>
      <c r="BU175" s="226"/>
      <c r="BV175" s="226"/>
      <c r="BW175" s="226"/>
      <c r="BX175" s="226"/>
    </row>
    <row r="179" spans="3:76" hidden="1">
      <c r="C179" s="314" t="s">
        <v>357</v>
      </c>
      <c r="D179" s="315"/>
      <c r="E179" s="316">
        <f t="shared" ref="E179:G179" si="65">-(E8+E94)</f>
        <v>0</v>
      </c>
      <c r="F179" s="316">
        <f t="shared" si="65"/>
        <v>0</v>
      </c>
      <c r="G179" s="316">
        <f t="shared" si="65"/>
        <v>0</v>
      </c>
      <c r="H179" s="315">
        <f>-5341205.5</f>
        <v>-5341205.5</v>
      </c>
      <c r="I179" s="315">
        <v>0</v>
      </c>
      <c r="J179" s="315">
        <v>0</v>
      </c>
      <c r="K179" s="315">
        <v>0</v>
      </c>
      <c r="L179" s="315">
        <v>0</v>
      </c>
      <c r="M179" s="315">
        <v>0</v>
      </c>
      <c r="N179" s="315">
        <v>0</v>
      </c>
      <c r="O179" s="315">
        <v>0</v>
      </c>
      <c r="P179" s="315">
        <v>0</v>
      </c>
      <c r="Q179" s="315">
        <v>0</v>
      </c>
      <c r="R179" s="315">
        <v>0</v>
      </c>
      <c r="S179" s="315">
        <v>0</v>
      </c>
      <c r="T179" s="315">
        <f>5341205.5</f>
        <v>5341205.5</v>
      </c>
      <c r="U179" s="316">
        <f t="shared" ref="U179:BX179" si="66">-(U8+U94)</f>
        <v>0</v>
      </c>
      <c r="V179" s="316">
        <f t="shared" si="66"/>
        <v>0</v>
      </c>
      <c r="W179" s="316">
        <f t="shared" si="66"/>
        <v>0</v>
      </c>
      <c r="X179" s="316">
        <f t="shared" si="66"/>
        <v>0</v>
      </c>
      <c r="Y179" s="316">
        <f t="shared" si="66"/>
        <v>0</v>
      </c>
      <c r="Z179" s="316">
        <f t="shared" si="66"/>
        <v>0</v>
      </c>
      <c r="AA179" s="316">
        <f t="shared" si="66"/>
        <v>0</v>
      </c>
      <c r="AB179" s="316">
        <f t="shared" si="66"/>
        <v>0</v>
      </c>
      <c r="AC179" s="316">
        <f t="shared" si="66"/>
        <v>0</v>
      </c>
      <c r="AD179" s="316">
        <f t="shared" si="66"/>
        <v>0</v>
      </c>
      <c r="AE179" s="316">
        <f t="shared" si="66"/>
        <v>0</v>
      </c>
      <c r="AF179" s="316">
        <f t="shared" si="66"/>
        <v>0</v>
      </c>
      <c r="AG179" s="316">
        <f t="shared" si="66"/>
        <v>0</v>
      </c>
      <c r="AH179" s="316">
        <f t="shared" si="66"/>
        <v>0</v>
      </c>
      <c r="AI179" s="316">
        <f t="shared" si="66"/>
        <v>0</v>
      </c>
      <c r="AJ179" s="316">
        <f t="shared" si="66"/>
        <v>0</v>
      </c>
      <c r="AK179" s="316">
        <f t="shared" si="66"/>
        <v>0</v>
      </c>
      <c r="AL179" s="316">
        <f t="shared" si="66"/>
        <v>0</v>
      </c>
      <c r="AM179" s="316">
        <f t="shared" si="66"/>
        <v>0</v>
      </c>
      <c r="AN179" s="316">
        <f t="shared" si="66"/>
        <v>0</v>
      </c>
      <c r="AO179" s="316">
        <f t="shared" si="66"/>
        <v>0</v>
      </c>
      <c r="AP179" s="316">
        <f t="shared" si="66"/>
        <v>0</v>
      </c>
      <c r="AQ179" s="316">
        <f t="shared" si="66"/>
        <v>0</v>
      </c>
      <c r="AR179" s="316">
        <f t="shared" si="66"/>
        <v>0</v>
      </c>
      <c r="AS179" s="316">
        <f t="shared" si="66"/>
        <v>0</v>
      </c>
      <c r="AT179" s="316">
        <f t="shared" si="66"/>
        <v>0</v>
      </c>
      <c r="AU179" s="316">
        <f t="shared" si="66"/>
        <v>0</v>
      </c>
      <c r="AV179" s="316">
        <f t="shared" si="66"/>
        <v>0</v>
      </c>
      <c r="AW179" s="316">
        <f t="shared" si="66"/>
        <v>0</v>
      </c>
      <c r="AX179" s="316">
        <f t="shared" si="66"/>
        <v>0</v>
      </c>
      <c r="AY179" s="316">
        <f t="shared" si="66"/>
        <v>0</v>
      </c>
      <c r="AZ179" s="316">
        <f t="shared" si="66"/>
        <v>0</v>
      </c>
      <c r="BA179" s="316">
        <f t="shared" si="66"/>
        <v>0</v>
      </c>
      <c r="BB179" s="316">
        <f t="shared" si="66"/>
        <v>0</v>
      </c>
      <c r="BC179" s="316">
        <f t="shared" si="66"/>
        <v>0</v>
      </c>
      <c r="BD179" s="316">
        <f t="shared" si="66"/>
        <v>0</v>
      </c>
      <c r="BE179" s="316">
        <f t="shared" si="66"/>
        <v>0</v>
      </c>
      <c r="BF179" s="316">
        <f t="shared" si="66"/>
        <v>0</v>
      </c>
      <c r="BG179" s="316">
        <f t="shared" si="66"/>
        <v>0</v>
      </c>
      <c r="BH179" s="316">
        <f t="shared" si="66"/>
        <v>0</v>
      </c>
      <c r="BI179" s="316">
        <f t="shared" si="66"/>
        <v>0</v>
      </c>
      <c r="BJ179" s="316">
        <f t="shared" si="66"/>
        <v>0</v>
      </c>
      <c r="BK179" s="316">
        <f t="shared" si="66"/>
        <v>0</v>
      </c>
      <c r="BL179" s="316">
        <f t="shared" si="66"/>
        <v>0</v>
      </c>
      <c r="BM179" s="316">
        <f t="shared" si="66"/>
        <v>0</v>
      </c>
      <c r="BN179" s="316">
        <f t="shared" si="66"/>
        <v>0</v>
      </c>
      <c r="BO179" s="316">
        <f t="shared" si="66"/>
        <v>0</v>
      </c>
      <c r="BP179" s="316">
        <f t="shared" si="66"/>
        <v>0</v>
      </c>
      <c r="BQ179" s="316">
        <f t="shared" si="66"/>
        <v>0</v>
      </c>
      <c r="BR179" s="316">
        <f t="shared" si="66"/>
        <v>0</v>
      </c>
      <c r="BS179" s="316">
        <f t="shared" si="66"/>
        <v>0</v>
      </c>
      <c r="BT179" s="316">
        <f t="shared" si="66"/>
        <v>0</v>
      </c>
      <c r="BU179" s="316">
        <f t="shared" si="66"/>
        <v>0</v>
      </c>
      <c r="BV179" s="316">
        <f t="shared" si="66"/>
        <v>0</v>
      </c>
      <c r="BW179" s="316">
        <f t="shared" si="66"/>
        <v>0</v>
      </c>
      <c r="BX179" s="316">
        <f t="shared" si="66"/>
        <v>0</v>
      </c>
    </row>
    <row r="180" spans="3:76" hidden="1">
      <c r="C180" s="314" t="s">
        <v>353</v>
      </c>
      <c r="D180" s="323"/>
      <c r="E180" s="315"/>
      <c r="F180" s="315"/>
      <c r="G180" s="315"/>
      <c r="H180" s="315"/>
      <c r="I180" s="315"/>
      <c r="J180" s="315"/>
      <c r="K180" s="315"/>
      <c r="L180" s="315"/>
      <c r="M180" s="315"/>
      <c r="N180" s="315"/>
      <c r="O180" s="315"/>
      <c r="P180" s="315"/>
      <c r="Q180" s="315"/>
      <c r="R180" s="315"/>
      <c r="S180" s="315"/>
      <c r="T180" s="315"/>
      <c r="U180" s="315"/>
      <c r="V180" s="315"/>
      <c r="W180" s="315"/>
      <c r="X180" s="315"/>
      <c r="Y180" s="315"/>
      <c r="Z180" s="315"/>
      <c r="AA180" s="315"/>
      <c r="AB180" s="315"/>
      <c r="AC180" s="315"/>
      <c r="AD180" s="315"/>
      <c r="AE180" s="315"/>
      <c r="AF180" s="315"/>
      <c r="AG180" s="315"/>
      <c r="AH180" s="315"/>
      <c r="AI180" s="315"/>
      <c r="AJ180" s="315"/>
      <c r="AK180" s="315"/>
      <c r="AL180" s="315"/>
      <c r="AM180" s="315"/>
      <c r="AN180" s="315"/>
      <c r="AO180" s="315"/>
      <c r="AP180" s="315"/>
      <c r="AQ180" s="315"/>
      <c r="AR180" s="315"/>
      <c r="AS180" s="315"/>
      <c r="AT180" s="315"/>
      <c r="AU180" s="315"/>
      <c r="AV180" s="315"/>
      <c r="AW180" s="315"/>
      <c r="AX180" s="315"/>
      <c r="AY180" s="315"/>
      <c r="AZ180" s="315"/>
      <c r="BA180" s="315"/>
      <c r="BB180" s="315"/>
      <c r="BC180" s="316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</row>
    <row r="181" spans="3:76" hidden="1">
      <c r="C181" s="314" t="s">
        <v>343</v>
      </c>
      <c r="D181" s="323"/>
      <c r="E181" s="315">
        <f t="shared" ref="E181:G181" si="67">-E59</f>
        <v>0</v>
      </c>
      <c r="F181" s="315">
        <f t="shared" si="67"/>
        <v>0</v>
      </c>
      <c r="G181" s="315">
        <f t="shared" si="67"/>
        <v>0</v>
      </c>
      <c r="H181" s="315">
        <f t="shared" ref="H181:T181" si="68">-H74</f>
        <v>0</v>
      </c>
      <c r="I181" s="315">
        <f t="shared" si="68"/>
        <v>0</v>
      </c>
      <c r="J181" s="315">
        <f t="shared" si="68"/>
        <v>0</v>
      </c>
      <c r="K181" s="315">
        <f t="shared" si="68"/>
        <v>0</v>
      </c>
      <c r="L181" s="315">
        <f t="shared" si="68"/>
        <v>0</v>
      </c>
      <c r="M181" s="315">
        <f t="shared" si="68"/>
        <v>0</v>
      </c>
      <c r="N181" s="315">
        <f t="shared" si="68"/>
        <v>0</v>
      </c>
      <c r="O181" s="315">
        <f t="shared" si="68"/>
        <v>0</v>
      </c>
      <c r="P181" s="315">
        <f t="shared" si="68"/>
        <v>0</v>
      </c>
      <c r="Q181" s="315">
        <f t="shared" si="68"/>
        <v>0</v>
      </c>
      <c r="R181" s="315">
        <f t="shared" si="68"/>
        <v>0</v>
      </c>
      <c r="S181" s="315">
        <f t="shared" si="68"/>
        <v>0</v>
      </c>
      <c r="T181" s="315">
        <f t="shared" si="68"/>
        <v>0</v>
      </c>
      <c r="U181" s="315">
        <f t="shared" ref="U181:BX181" si="69">-U59</f>
        <v>0</v>
      </c>
      <c r="V181" s="315">
        <f t="shared" si="69"/>
        <v>0</v>
      </c>
      <c r="W181" s="315">
        <f t="shared" si="69"/>
        <v>0</v>
      </c>
      <c r="X181" s="315">
        <f t="shared" si="69"/>
        <v>0</v>
      </c>
      <c r="Y181" s="315">
        <f t="shared" si="69"/>
        <v>0</v>
      </c>
      <c r="Z181" s="315">
        <f t="shared" si="69"/>
        <v>0</v>
      </c>
      <c r="AA181" s="315">
        <f t="shared" si="69"/>
        <v>0</v>
      </c>
      <c r="AB181" s="315">
        <f t="shared" si="69"/>
        <v>0</v>
      </c>
      <c r="AC181" s="315">
        <f t="shared" si="69"/>
        <v>0</v>
      </c>
      <c r="AD181" s="315">
        <f t="shared" si="69"/>
        <v>0</v>
      </c>
      <c r="AE181" s="315">
        <f t="shared" si="69"/>
        <v>0</v>
      </c>
      <c r="AF181" s="315">
        <f t="shared" si="69"/>
        <v>0</v>
      </c>
      <c r="AG181" s="315">
        <f t="shared" si="69"/>
        <v>0</v>
      </c>
      <c r="AH181" s="315">
        <f t="shared" si="69"/>
        <v>0</v>
      </c>
      <c r="AI181" s="315">
        <f t="shared" si="69"/>
        <v>0</v>
      </c>
      <c r="AJ181" s="315">
        <f t="shared" si="69"/>
        <v>0</v>
      </c>
      <c r="AK181" s="315">
        <f t="shared" si="69"/>
        <v>0</v>
      </c>
      <c r="AL181" s="315">
        <f t="shared" si="69"/>
        <v>0</v>
      </c>
      <c r="AM181" s="315">
        <f t="shared" si="69"/>
        <v>0</v>
      </c>
      <c r="AN181" s="315">
        <f t="shared" si="69"/>
        <v>0</v>
      </c>
      <c r="AO181" s="315">
        <f t="shared" si="69"/>
        <v>0</v>
      </c>
      <c r="AP181" s="315">
        <f t="shared" si="69"/>
        <v>0</v>
      </c>
      <c r="AQ181" s="315">
        <f t="shared" si="69"/>
        <v>0</v>
      </c>
      <c r="AR181" s="315">
        <f t="shared" si="69"/>
        <v>0</v>
      </c>
      <c r="AS181" s="315">
        <f t="shared" si="69"/>
        <v>0</v>
      </c>
      <c r="AT181" s="315">
        <f t="shared" si="69"/>
        <v>0</v>
      </c>
      <c r="AU181" s="315">
        <f t="shared" si="69"/>
        <v>0</v>
      </c>
      <c r="AV181" s="315">
        <f t="shared" si="69"/>
        <v>0</v>
      </c>
      <c r="AW181" s="315">
        <f t="shared" si="69"/>
        <v>0</v>
      </c>
      <c r="AX181" s="315">
        <f t="shared" si="69"/>
        <v>0</v>
      </c>
      <c r="AY181" s="315">
        <f t="shared" si="69"/>
        <v>0</v>
      </c>
      <c r="AZ181" s="315">
        <f t="shared" si="69"/>
        <v>0</v>
      </c>
      <c r="BA181" s="315">
        <f t="shared" si="69"/>
        <v>0</v>
      </c>
      <c r="BB181" s="315">
        <f t="shared" si="69"/>
        <v>0</v>
      </c>
      <c r="BC181" s="315">
        <f t="shared" si="69"/>
        <v>0</v>
      </c>
      <c r="BD181" s="315">
        <f t="shared" si="69"/>
        <v>0</v>
      </c>
      <c r="BE181" s="315">
        <f t="shared" si="69"/>
        <v>0</v>
      </c>
      <c r="BF181" s="315">
        <f t="shared" si="69"/>
        <v>0</v>
      </c>
      <c r="BG181" s="315">
        <f t="shared" si="69"/>
        <v>0</v>
      </c>
      <c r="BH181" s="315">
        <f t="shared" si="69"/>
        <v>0</v>
      </c>
      <c r="BI181" s="315">
        <f t="shared" si="69"/>
        <v>0</v>
      </c>
      <c r="BJ181" s="315">
        <f t="shared" si="69"/>
        <v>0</v>
      </c>
      <c r="BK181" s="315">
        <f t="shared" si="69"/>
        <v>0</v>
      </c>
      <c r="BL181" s="315">
        <f t="shared" si="69"/>
        <v>0</v>
      </c>
      <c r="BM181" s="315">
        <f t="shared" si="69"/>
        <v>0</v>
      </c>
      <c r="BN181" s="315">
        <f t="shared" si="69"/>
        <v>0</v>
      </c>
      <c r="BO181" s="315">
        <f t="shared" si="69"/>
        <v>0</v>
      </c>
      <c r="BP181" s="315">
        <f t="shared" si="69"/>
        <v>0</v>
      </c>
      <c r="BQ181" s="315">
        <f t="shared" si="69"/>
        <v>0</v>
      </c>
      <c r="BR181" s="315">
        <f t="shared" si="69"/>
        <v>0</v>
      </c>
      <c r="BS181" s="315">
        <f t="shared" si="69"/>
        <v>0</v>
      </c>
      <c r="BT181" s="315">
        <f t="shared" si="69"/>
        <v>0</v>
      </c>
      <c r="BU181" s="315">
        <f t="shared" si="69"/>
        <v>0</v>
      </c>
      <c r="BV181" s="315">
        <f t="shared" si="69"/>
        <v>0</v>
      </c>
      <c r="BW181" s="315">
        <f t="shared" si="69"/>
        <v>0</v>
      </c>
      <c r="BX181" s="315">
        <f t="shared" si="69"/>
        <v>0</v>
      </c>
    </row>
    <row r="182" spans="3:76" hidden="1">
      <c r="C182" s="314" t="s">
        <v>344</v>
      </c>
      <c r="D182" s="323"/>
      <c r="E182" s="315"/>
      <c r="F182" s="315"/>
      <c r="G182" s="315"/>
      <c r="H182" s="315"/>
      <c r="I182" s="315"/>
      <c r="J182" s="315"/>
      <c r="K182" s="315"/>
      <c r="L182" s="315"/>
      <c r="M182" s="315"/>
      <c r="N182" s="315"/>
      <c r="O182" s="315"/>
      <c r="P182" s="315"/>
      <c r="Q182" s="315"/>
      <c r="R182" s="315"/>
      <c r="S182" s="315"/>
      <c r="T182" s="315">
        <v>2750000</v>
      </c>
      <c r="U182" s="315"/>
      <c r="V182" s="315"/>
      <c r="W182" s="315"/>
      <c r="X182" s="315"/>
      <c r="Y182" s="315"/>
      <c r="Z182" s="315"/>
      <c r="AA182" s="315"/>
      <c r="AB182" s="315"/>
      <c r="AC182" s="315"/>
      <c r="AD182" s="315"/>
      <c r="AE182" s="315"/>
      <c r="AF182" s="315"/>
      <c r="AG182" s="315"/>
      <c r="AH182" s="315"/>
      <c r="AI182" s="315"/>
      <c r="AJ182" s="315"/>
      <c r="AK182" s="315"/>
      <c r="AL182" s="315"/>
      <c r="AM182" s="315"/>
      <c r="AN182" s="315"/>
      <c r="AO182" s="315"/>
      <c r="AP182" s="315"/>
      <c r="AQ182" s="315"/>
      <c r="AR182" s="315"/>
      <c r="AS182" s="315"/>
      <c r="AT182" s="315"/>
      <c r="AU182" s="315"/>
      <c r="AV182" s="315"/>
      <c r="AW182" s="315"/>
      <c r="AX182" s="315"/>
      <c r="AY182" s="315"/>
      <c r="AZ182" s="315"/>
      <c r="BA182" s="315"/>
      <c r="BB182" s="315"/>
      <c r="BC182" s="316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>
        <f>IF(D106&gt;0.25,(BX101-BX109)*D183,BX101*D183)</f>
        <v>0</v>
      </c>
    </row>
    <row r="183" spans="3:76" hidden="1">
      <c r="C183" s="317" t="s">
        <v>345</v>
      </c>
      <c r="D183" s="323">
        <v>0</v>
      </c>
      <c r="E183" s="315"/>
      <c r="F183" s="315"/>
      <c r="G183" s="315"/>
      <c r="H183" s="246"/>
      <c r="I183" s="246"/>
      <c r="J183" s="246"/>
      <c r="K183" s="246"/>
      <c r="L183" s="246"/>
      <c r="M183" s="246"/>
      <c r="N183" s="246"/>
      <c r="O183" s="246"/>
      <c r="P183" s="246"/>
      <c r="Q183" s="246"/>
      <c r="R183" s="246"/>
      <c r="S183" s="246"/>
      <c r="T183" s="246"/>
      <c r="U183" s="315"/>
      <c r="V183" s="315"/>
      <c r="W183" s="315"/>
      <c r="X183" s="315"/>
      <c r="Y183" s="315"/>
      <c r="Z183" s="315"/>
      <c r="AA183" s="315"/>
      <c r="AB183" s="315"/>
      <c r="AC183" s="315"/>
      <c r="AD183" s="315"/>
      <c r="AE183" s="315"/>
      <c r="AF183" s="315"/>
      <c r="AG183" s="315"/>
      <c r="AH183" s="315"/>
      <c r="AI183" s="315"/>
      <c r="AJ183" s="315"/>
      <c r="AK183" s="315"/>
      <c r="AL183" s="315"/>
      <c r="AM183" s="315"/>
      <c r="AN183" s="315"/>
      <c r="AO183" s="315"/>
      <c r="AP183" s="315"/>
      <c r="AQ183" s="315"/>
      <c r="AR183" s="315"/>
      <c r="AS183" s="315"/>
      <c r="AT183" s="315"/>
      <c r="AU183" s="315"/>
      <c r="AV183" s="315"/>
      <c r="AW183" s="315"/>
      <c r="AX183" s="315"/>
      <c r="AY183" s="315"/>
      <c r="AZ183" s="315"/>
      <c r="BA183" s="315"/>
      <c r="BB183" s="315"/>
      <c r="BC183" s="316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</row>
    <row r="184" spans="3:76" hidden="1">
      <c r="C184" s="314" t="s">
        <v>346</v>
      </c>
      <c r="D184" s="315"/>
      <c r="E184" s="325">
        <f t="shared" ref="E184:BX184" si="70">E179+E180+E181+E182+E183</f>
        <v>0</v>
      </c>
      <c r="F184" s="325">
        <f t="shared" si="70"/>
        <v>0</v>
      </c>
      <c r="G184" s="325">
        <f t="shared" si="70"/>
        <v>0</v>
      </c>
      <c r="H184" s="325">
        <f t="shared" si="70"/>
        <v>-5341205.5</v>
      </c>
      <c r="I184" s="325">
        <f t="shared" si="70"/>
        <v>0</v>
      </c>
      <c r="J184" s="325">
        <f t="shared" si="70"/>
        <v>0</v>
      </c>
      <c r="K184" s="325">
        <f t="shared" si="70"/>
        <v>0</v>
      </c>
      <c r="L184" s="325">
        <f t="shared" si="70"/>
        <v>0</v>
      </c>
      <c r="M184" s="325">
        <f t="shared" si="70"/>
        <v>0</v>
      </c>
      <c r="N184" s="325">
        <f t="shared" si="70"/>
        <v>0</v>
      </c>
      <c r="O184" s="325">
        <f t="shared" si="70"/>
        <v>0</v>
      </c>
      <c r="P184" s="325">
        <f t="shared" si="70"/>
        <v>0</v>
      </c>
      <c r="Q184" s="325">
        <f t="shared" si="70"/>
        <v>0</v>
      </c>
      <c r="R184" s="325">
        <f t="shared" si="70"/>
        <v>0</v>
      </c>
      <c r="S184" s="325">
        <f t="shared" si="70"/>
        <v>0</v>
      </c>
      <c r="T184" s="325">
        <f t="shared" si="70"/>
        <v>8091205.5</v>
      </c>
      <c r="U184" s="325">
        <f t="shared" si="70"/>
        <v>0</v>
      </c>
      <c r="V184" s="325">
        <f t="shared" si="70"/>
        <v>0</v>
      </c>
      <c r="W184" s="325">
        <f t="shared" si="70"/>
        <v>0</v>
      </c>
      <c r="X184" s="325">
        <f t="shared" si="70"/>
        <v>0</v>
      </c>
      <c r="Y184" s="325">
        <f t="shared" si="70"/>
        <v>0</v>
      </c>
      <c r="Z184" s="325">
        <f t="shared" si="70"/>
        <v>0</v>
      </c>
      <c r="AA184" s="325">
        <f t="shared" si="70"/>
        <v>0</v>
      </c>
      <c r="AB184" s="325">
        <f t="shared" si="70"/>
        <v>0</v>
      </c>
      <c r="AC184" s="325">
        <f t="shared" si="70"/>
        <v>0</v>
      </c>
      <c r="AD184" s="325">
        <f t="shared" si="70"/>
        <v>0</v>
      </c>
      <c r="AE184" s="325">
        <f t="shared" si="70"/>
        <v>0</v>
      </c>
      <c r="AF184" s="325">
        <f t="shared" si="70"/>
        <v>0</v>
      </c>
      <c r="AG184" s="325">
        <f t="shared" si="70"/>
        <v>0</v>
      </c>
      <c r="AH184" s="325">
        <f t="shared" si="70"/>
        <v>0</v>
      </c>
      <c r="AI184" s="325">
        <f t="shared" si="70"/>
        <v>0</v>
      </c>
      <c r="AJ184" s="325">
        <f t="shared" si="70"/>
        <v>0</v>
      </c>
      <c r="AK184" s="325">
        <f t="shared" si="70"/>
        <v>0</v>
      </c>
      <c r="AL184" s="325">
        <f t="shared" si="70"/>
        <v>0</v>
      </c>
      <c r="AM184" s="325">
        <f t="shared" si="70"/>
        <v>0</v>
      </c>
      <c r="AN184" s="325">
        <f t="shared" si="70"/>
        <v>0</v>
      </c>
      <c r="AO184" s="325">
        <f t="shared" si="70"/>
        <v>0</v>
      </c>
      <c r="AP184" s="325">
        <f t="shared" si="70"/>
        <v>0</v>
      </c>
      <c r="AQ184" s="325">
        <f t="shared" si="70"/>
        <v>0</v>
      </c>
      <c r="AR184" s="325">
        <f t="shared" si="70"/>
        <v>0</v>
      </c>
      <c r="AS184" s="325">
        <f t="shared" si="70"/>
        <v>0</v>
      </c>
      <c r="AT184" s="325">
        <f t="shared" si="70"/>
        <v>0</v>
      </c>
      <c r="AU184" s="325">
        <f t="shared" si="70"/>
        <v>0</v>
      </c>
      <c r="AV184" s="325">
        <f t="shared" si="70"/>
        <v>0</v>
      </c>
      <c r="AW184" s="325">
        <f t="shared" si="70"/>
        <v>0</v>
      </c>
      <c r="AX184" s="325">
        <f t="shared" si="70"/>
        <v>0</v>
      </c>
      <c r="AY184" s="325">
        <f t="shared" si="70"/>
        <v>0</v>
      </c>
      <c r="AZ184" s="325">
        <f t="shared" si="70"/>
        <v>0</v>
      </c>
      <c r="BA184" s="325">
        <f t="shared" si="70"/>
        <v>0</v>
      </c>
      <c r="BB184" s="325">
        <f t="shared" si="70"/>
        <v>0</v>
      </c>
      <c r="BC184" s="325">
        <f t="shared" si="70"/>
        <v>0</v>
      </c>
      <c r="BD184" s="325">
        <f t="shared" si="70"/>
        <v>0</v>
      </c>
      <c r="BE184" s="325">
        <f t="shared" si="70"/>
        <v>0</v>
      </c>
      <c r="BF184" s="325">
        <f t="shared" si="70"/>
        <v>0</v>
      </c>
      <c r="BG184" s="325">
        <f t="shared" si="70"/>
        <v>0</v>
      </c>
      <c r="BH184" s="325">
        <f t="shared" si="70"/>
        <v>0</v>
      </c>
      <c r="BI184" s="325">
        <f t="shared" si="70"/>
        <v>0</v>
      </c>
      <c r="BJ184" s="325">
        <f t="shared" si="70"/>
        <v>0</v>
      </c>
      <c r="BK184" s="325">
        <f t="shared" si="70"/>
        <v>0</v>
      </c>
      <c r="BL184" s="325">
        <f t="shared" si="70"/>
        <v>0</v>
      </c>
      <c r="BM184" s="325">
        <f t="shared" si="70"/>
        <v>0</v>
      </c>
      <c r="BN184" s="325">
        <f t="shared" si="70"/>
        <v>0</v>
      </c>
      <c r="BO184" s="325">
        <f t="shared" si="70"/>
        <v>0</v>
      </c>
      <c r="BP184" s="325">
        <f t="shared" si="70"/>
        <v>0</v>
      </c>
      <c r="BQ184" s="325">
        <f t="shared" si="70"/>
        <v>0</v>
      </c>
      <c r="BR184" s="325">
        <f t="shared" si="70"/>
        <v>0</v>
      </c>
      <c r="BS184" s="325">
        <f t="shared" si="70"/>
        <v>0</v>
      </c>
      <c r="BT184" s="325">
        <f t="shared" si="70"/>
        <v>0</v>
      </c>
      <c r="BU184" s="325">
        <f t="shared" si="70"/>
        <v>0</v>
      </c>
      <c r="BV184" s="325">
        <f t="shared" si="70"/>
        <v>0</v>
      </c>
      <c r="BW184" s="325">
        <f t="shared" si="70"/>
        <v>0</v>
      </c>
      <c r="BX184" s="325">
        <f t="shared" si="70"/>
        <v>0</v>
      </c>
    </row>
    <row r="185" spans="3:76" hidden="1">
      <c r="C185" s="318"/>
      <c r="D185" s="326" t="s">
        <v>354</v>
      </c>
      <c r="E185" s="330">
        <f>E184</f>
        <v>0</v>
      </c>
      <c r="F185" s="330">
        <f t="shared" ref="F185:BX185" si="71">E185+F184</f>
        <v>0</v>
      </c>
      <c r="G185" s="330">
        <f t="shared" si="71"/>
        <v>0</v>
      </c>
      <c r="H185" s="330">
        <f t="shared" si="71"/>
        <v>-5341205.5</v>
      </c>
      <c r="I185" s="330">
        <f t="shared" si="71"/>
        <v>-5341205.5</v>
      </c>
      <c r="J185" s="330">
        <f t="shared" si="71"/>
        <v>-5341205.5</v>
      </c>
      <c r="K185" s="330">
        <f t="shared" si="71"/>
        <v>-5341205.5</v>
      </c>
      <c r="L185" s="330">
        <f t="shared" si="71"/>
        <v>-5341205.5</v>
      </c>
      <c r="M185" s="330">
        <f t="shared" si="71"/>
        <v>-5341205.5</v>
      </c>
      <c r="N185" s="330">
        <f t="shared" si="71"/>
        <v>-5341205.5</v>
      </c>
      <c r="O185" s="330">
        <f t="shared" si="71"/>
        <v>-5341205.5</v>
      </c>
      <c r="P185" s="330">
        <f t="shared" si="71"/>
        <v>-5341205.5</v>
      </c>
      <c r="Q185" s="330">
        <f t="shared" si="71"/>
        <v>-5341205.5</v>
      </c>
      <c r="R185" s="330">
        <f t="shared" si="71"/>
        <v>-5341205.5</v>
      </c>
      <c r="S185" s="330">
        <f t="shared" si="71"/>
        <v>-5341205.5</v>
      </c>
      <c r="T185" s="330">
        <f t="shared" si="71"/>
        <v>2750000</v>
      </c>
      <c r="U185" s="330">
        <f t="shared" si="71"/>
        <v>2750000</v>
      </c>
      <c r="V185" s="331">
        <f t="shared" si="71"/>
        <v>2750000</v>
      </c>
      <c r="W185" s="331">
        <f t="shared" si="71"/>
        <v>2750000</v>
      </c>
      <c r="X185" s="331">
        <f t="shared" si="71"/>
        <v>2750000</v>
      </c>
      <c r="Y185" s="331">
        <f t="shared" si="71"/>
        <v>2750000</v>
      </c>
      <c r="Z185" s="331">
        <f t="shared" si="71"/>
        <v>2750000</v>
      </c>
      <c r="AA185" s="331">
        <f t="shared" si="71"/>
        <v>2750000</v>
      </c>
      <c r="AB185" s="331">
        <f t="shared" si="71"/>
        <v>2750000</v>
      </c>
      <c r="AC185" s="331">
        <f t="shared" si="71"/>
        <v>2750000</v>
      </c>
      <c r="AD185" s="331">
        <f t="shared" si="71"/>
        <v>2750000</v>
      </c>
      <c r="AE185" s="331">
        <f t="shared" si="71"/>
        <v>2750000</v>
      </c>
      <c r="AF185" s="331">
        <f t="shared" si="71"/>
        <v>2750000</v>
      </c>
      <c r="AG185" s="331">
        <f t="shared" si="71"/>
        <v>2750000</v>
      </c>
      <c r="AH185" s="331">
        <f t="shared" si="71"/>
        <v>2750000</v>
      </c>
      <c r="AI185" s="331">
        <f t="shared" si="71"/>
        <v>2750000</v>
      </c>
      <c r="AJ185" s="331">
        <f t="shared" si="71"/>
        <v>2750000</v>
      </c>
      <c r="AK185" s="331">
        <f t="shared" si="71"/>
        <v>2750000</v>
      </c>
      <c r="AL185" s="331">
        <f t="shared" si="71"/>
        <v>2750000</v>
      </c>
      <c r="AM185" s="331">
        <f t="shared" si="71"/>
        <v>2750000</v>
      </c>
      <c r="AN185" s="331">
        <f t="shared" si="71"/>
        <v>2750000</v>
      </c>
      <c r="AO185" s="331">
        <f t="shared" si="71"/>
        <v>2750000</v>
      </c>
      <c r="AP185" s="331">
        <f t="shared" si="71"/>
        <v>2750000</v>
      </c>
      <c r="AQ185" s="331">
        <f t="shared" si="71"/>
        <v>2750000</v>
      </c>
      <c r="AR185" s="331">
        <f t="shared" si="71"/>
        <v>2750000</v>
      </c>
      <c r="AS185" s="331">
        <f t="shared" si="71"/>
        <v>2750000</v>
      </c>
      <c r="AT185" s="331">
        <f t="shared" si="71"/>
        <v>2750000</v>
      </c>
      <c r="AU185" s="331">
        <f t="shared" si="71"/>
        <v>2750000</v>
      </c>
      <c r="AV185" s="331">
        <f t="shared" si="71"/>
        <v>2750000</v>
      </c>
      <c r="AW185" s="331">
        <f t="shared" si="71"/>
        <v>2750000</v>
      </c>
      <c r="AX185" s="331">
        <f t="shared" si="71"/>
        <v>2750000</v>
      </c>
      <c r="AY185" s="331">
        <f t="shared" si="71"/>
        <v>2750000</v>
      </c>
      <c r="AZ185" s="331">
        <f t="shared" si="71"/>
        <v>2750000</v>
      </c>
      <c r="BA185" s="331">
        <f t="shared" si="71"/>
        <v>2750000</v>
      </c>
      <c r="BB185" s="331">
        <f t="shared" si="71"/>
        <v>2750000</v>
      </c>
      <c r="BC185" s="330">
        <f t="shared" si="71"/>
        <v>2750000</v>
      </c>
      <c r="BD185" s="330">
        <f t="shared" si="71"/>
        <v>2750000</v>
      </c>
      <c r="BE185" s="330">
        <f t="shared" si="71"/>
        <v>2750000</v>
      </c>
      <c r="BF185" s="330">
        <f t="shared" si="71"/>
        <v>2750000</v>
      </c>
      <c r="BG185" s="330">
        <f t="shared" si="71"/>
        <v>2750000</v>
      </c>
      <c r="BH185" s="330">
        <f t="shared" si="71"/>
        <v>2750000</v>
      </c>
      <c r="BI185" s="330">
        <f t="shared" si="71"/>
        <v>2750000</v>
      </c>
      <c r="BJ185" s="330">
        <f t="shared" si="71"/>
        <v>2750000</v>
      </c>
      <c r="BK185" s="330">
        <f t="shared" si="71"/>
        <v>2750000</v>
      </c>
      <c r="BL185" s="330">
        <f t="shared" si="71"/>
        <v>2750000</v>
      </c>
      <c r="BM185" s="330">
        <f t="shared" si="71"/>
        <v>2750000</v>
      </c>
      <c r="BN185" s="330">
        <f t="shared" si="71"/>
        <v>2750000</v>
      </c>
      <c r="BO185" s="330">
        <f t="shared" si="71"/>
        <v>2750000</v>
      </c>
      <c r="BP185" s="330">
        <f t="shared" si="71"/>
        <v>2750000</v>
      </c>
      <c r="BQ185" s="330">
        <f t="shared" si="71"/>
        <v>2750000</v>
      </c>
      <c r="BR185" s="330">
        <f t="shared" si="71"/>
        <v>2750000</v>
      </c>
      <c r="BS185" s="330">
        <f t="shared" si="71"/>
        <v>2750000</v>
      </c>
      <c r="BT185" s="330">
        <f t="shared" si="71"/>
        <v>2750000</v>
      </c>
      <c r="BU185" s="330">
        <f t="shared" si="71"/>
        <v>2750000</v>
      </c>
      <c r="BV185" s="330">
        <f t="shared" si="71"/>
        <v>2750000</v>
      </c>
      <c r="BW185" s="330">
        <f t="shared" si="71"/>
        <v>2750000</v>
      </c>
      <c r="BX185" s="330">
        <f t="shared" si="71"/>
        <v>2750000</v>
      </c>
    </row>
    <row r="186" spans="3:76" hidden="1">
      <c r="C186" s="317" t="s">
        <v>339</v>
      </c>
      <c r="D186" s="326">
        <f>IRR(E184:BX184)*12</f>
        <v>0.42259732866030397</v>
      </c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  <c r="AE186" s="226"/>
      <c r="AF186" s="226"/>
      <c r="AG186" s="226"/>
      <c r="AH186" s="226"/>
      <c r="AI186" s="226"/>
      <c r="AJ186" s="226"/>
      <c r="AK186" s="226"/>
      <c r="AL186" s="226"/>
      <c r="AM186" s="226"/>
      <c r="AN186" s="226"/>
      <c r="AO186" s="226"/>
      <c r="AP186" s="226"/>
      <c r="AQ186" s="226"/>
      <c r="AR186" s="226"/>
      <c r="AS186" s="226"/>
      <c r="AT186" s="226"/>
      <c r="AU186" s="226"/>
      <c r="AV186" s="226"/>
      <c r="AW186" s="226"/>
      <c r="AX186" s="226"/>
      <c r="AY186" s="226"/>
      <c r="AZ186" s="226"/>
      <c r="BA186" s="226"/>
      <c r="BB186" s="226"/>
      <c r="BC186" s="226"/>
      <c r="BD186" s="226"/>
      <c r="BE186" s="226"/>
      <c r="BF186" s="226"/>
      <c r="BG186" s="226"/>
      <c r="BH186" s="226"/>
      <c r="BI186" s="226"/>
      <c r="BJ186" s="226"/>
      <c r="BK186" s="226"/>
      <c r="BL186" s="226"/>
      <c r="BM186" s="226"/>
      <c r="BN186" s="226"/>
      <c r="BO186" s="226"/>
      <c r="BP186" s="226"/>
      <c r="BQ186" s="226"/>
      <c r="BR186" s="226"/>
      <c r="BS186" s="226"/>
      <c r="BT186" s="226"/>
      <c r="BU186" s="226"/>
      <c r="BV186" s="226"/>
      <c r="BW186" s="226"/>
      <c r="BX186" s="226"/>
    </row>
    <row r="187" spans="3:76" hidden="1">
      <c r="C187" s="327" t="s">
        <v>347</v>
      </c>
      <c r="D187" s="328">
        <f>-MIN(M185:BL185)-D188</f>
        <v>5341205.5</v>
      </c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  <c r="AD187" s="226"/>
      <c r="AE187" s="226"/>
      <c r="AF187" s="226"/>
      <c r="AG187" s="226"/>
      <c r="AH187" s="226"/>
      <c r="AI187" s="226"/>
      <c r="AJ187" s="226"/>
      <c r="AK187" s="226"/>
      <c r="AL187" s="226"/>
      <c r="AM187" s="226"/>
      <c r="AN187" s="226"/>
      <c r="AO187" s="226"/>
      <c r="AP187" s="226"/>
      <c r="AQ187" s="226"/>
      <c r="AR187" s="226"/>
      <c r="AS187" s="226"/>
      <c r="AT187" s="226"/>
      <c r="AU187" s="226"/>
      <c r="AV187" s="226"/>
      <c r="AW187" s="226"/>
      <c r="AX187" s="226"/>
      <c r="AY187" s="226"/>
      <c r="AZ187" s="226"/>
      <c r="BA187" s="226"/>
      <c r="BB187" s="226"/>
      <c r="BC187" s="226"/>
      <c r="BD187" s="226"/>
      <c r="BE187" s="226"/>
      <c r="BF187" s="226"/>
      <c r="BG187" s="226"/>
      <c r="BH187" s="226"/>
      <c r="BI187" s="226"/>
      <c r="BJ187" s="226"/>
      <c r="BK187" s="226"/>
      <c r="BL187" s="226"/>
      <c r="BM187" s="226"/>
      <c r="BN187" s="226"/>
      <c r="BO187" s="226"/>
      <c r="BP187" s="226"/>
      <c r="BQ187" s="226"/>
      <c r="BR187" s="226"/>
      <c r="BS187" s="226"/>
      <c r="BT187" s="226"/>
      <c r="BU187" s="226"/>
      <c r="BV187" s="226"/>
      <c r="BW187" s="226"/>
      <c r="BX187" s="226"/>
    </row>
    <row r="188" spans="3:76" hidden="1">
      <c r="C188" s="327" t="s">
        <v>348</v>
      </c>
      <c r="D188" s="328">
        <f>-SUM(M183:BB183)</f>
        <v>0</v>
      </c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  <c r="AD188" s="226"/>
      <c r="AE188" s="226"/>
      <c r="AF188" s="226"/>
      <c r="AG188" s="226"/>
      <c r="AH188" s="226"/>
      <c r="AI188" s="226"/>
      <c r="AJ188" s="226"/>
      <c r="AK188" s="226"/>
      <c r="AL188" s="226"/>
      <c r="AM188" s="226"/>
      <c r="AN188" s="226"/>
      <c r="AO188" s="226"/>
      <c r="AP188" s="226"/>
      <c r="AQ188" s="226"/>
      <c r="AR188" s="226"/>
      <c r="AS188" s="226"/>
      <c r="AT188" s="226"/>
      <c r="AU188" s="226"/>
      <c r="AV188" s="226"/>
      <c r="AW188" s="226"/>
      <c r="AX188" s="226"/>
      <c r="AY188" s="226"/>
      <c r="AZ188" s="226"/>
      <c r="BA188" s="226"/>
      <c r="BB188" s="226"/>
      <c r="BC188" s="226"/>
      <c r="BD188" s="226"/>
      <c r="BE188" s="226"/>
      <c r="BF188" s="226"/>
      <c r="BG188" s="226"/>
      <c r="BH188" s="226"/>
      <c r="BI188" s="226"/>
      <c r="BJ188" s="226"/>
      <c r="BK188" s="226"/>
      <c r="BL188" s="226"/>
      <c r="BM188" s="226"/>
      <c r="BN188" s="226"/>
      <c r="BO188" s="226"/>
      <c r="BP188" s="226"/>
      <c r="BQ188" s="226"/>
      <c r="BR188" s="226"/>
      <c r="BS188" s="226"/>
      <c r="BT188" s="226"/>
      <c r="BU188" s="226"/>
      <c r="BV188" s="226"/>
      <c r="BW188" s="226"/>
      <c r="BX188" s="226"/>
    </row>
    <row r="189" spans="3:76" hidden="1">
      <c r="C189" s="317" t="s">
        <v>349</v>
      </c>
      <c r="D189" s="329">
        <f>D188+D187</f>
        <v>5341205.5</v>
      </c>
      <c r="E189" s="226"/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6"/>
      <c r="AA189" s="226"/>
      <c r="AB189" s="226"/>
      <c r="AC189" s="226"/>
      <c r="AD189" s="226"/>
      <c r="AE189" s="226"/>
      <c r="AF189" s="226"/>
      <c r="AG189" s="226"/>
      <c r="AH189" s="226"/>
      <c r="AI189" s="226"/>
      <c r="AJ189" s="226"/>
      <c r="AK189" s="226"/>
      <c r="AL189" s="226"/>
      <c r="AM189" s="226"/>
      <c r="AN189" s="226"/>
      <c r="AO189" s="226"/>
      <c r="AP189" s="226"/>
      <c r="AQ189" s="226"/>
      <c r="AR189" s="226"/>
      <c r="AS189" s="226"/>
      <c r="AT189" s="226"/>
      <c r="AU189" s="226"/>
      <c r="AV189" s="226"/>
      <c r="AW189" s="226"/>
      <c r="AX189" s="226"/>
      <c r="AY189" s="226"/>
      <c r="AZ189" s="226"/>
      <c r="BA189" s="226"/>
      <c r="BB189" s="226"/>
      <c r="BC189" s="226"/>
      <c r="BD189" s="226"/>
      <c r="BE189" s="226"/>
      <c r="BF189" s="226"/>
      <c r="BG189" s="226"/>
      <c r="BH189" s="226"/>
      <c r="BI189" s="226"/>
      <c r="BJ189" s="226"/>
      <c r="BK189" s="226"/>
      <c r="BL189" s="226"/>
      <c r="BM189" s="226"/>
      <c r="BN189" s="226"/>
      <c r="BO189" s="226"/>
      <c r="BP189" s="226"/>
      <c r="BQ189" s="226"/>
      <c r="BR189" s="226"/>
      <c r="BS189" s="226"/>
      <c r="BT189" s="226"/>
      <c r="BU189" s="226"/>
      <c r="BV189" s="226"/>
      <c r="BW189" s="226"/>
      <c r="BX189" s="226"/>
    </row>
    <row r="190" spans="3:76" hidden="1">
      <c r="C190" s="317" t="s">
        <v>350</v>
      </c>
      <c r="D190" s="329">
        <f>BX181+BX182</f>
        <v>0</v>
      </c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  <c r="AE190" s="226"/>
      <c r="AF190" s="226"/>
      <c r="AG190" s="226"/>
      <c r="AH190" s="226"/>
      <c r="AI190" s="226"/>
      <c r="AJ190" s="226"/>
      <c r="AK190" s="226"/>
      <c r="AL190" s="226"/>
      <c r="AM190" s="226"/>
      <c r="AN190" s="226"/>
      <c r="AO190" s="226"/>
      <c r="AP190" s="226"/>
      <c r="AQ190" s="226"/>
      <c r="AR190" s="226"/>
      <c r="AS190" s="226"/>
      <c r="AT190" s="226"/>
      <c r="AU190" s="226"/>
      <c r="AV190" s="226"/>
      <c r="AW190" s="226"/>
      <c r="AX190" s="226"/>
      <c r="AY190" s="226"/>
      <c r="AZ190" s="226"/>
      <c r="BA190" s="226"/>
      <c r="BB190" s="226"/>
      <c r="BC190" s="226"/>
      <c r="BD190" s="226"/>
      <c r="BE190" s="226"/>
      <c r="BF190" s="226"/>
      <c r="BG190" s="226"/>
      <c r="BH190" s="226"/>
      <c r="BI190" s="226"/>
      <c r="BJ190" s="226"/>
      <c r="BK190" s="226"/>
      <c r="BL190" s="226"/>
      <c r="BM190" s="226"/>
      <c r="BN190" s="226"/>
      <c r="BO190" s="226"/>
      <c r="BP190" s="226"/>
      <c r="BQ190" s="226"/>
      <c r="BR190" s="226"/>
      <c r="BS190" s="226"/>
      <c r="BT190" s="226"/>
      <c r="BU190" s="226"/>
      <c r="BV190" s="226"/>
      <c r="BW190" s="226"/>
      <c r="BX190" s="226"/>
    </row>
    <row r="191" spans="3:76" hidden="1">
      <c r="C191" s="317" t="s">
        <v>351</v>
      </c>
      <c r="D191" s="326">
        <f>T182/T179</f>
        <v>0.51486504310684167</v>
      </c>
      <c r="E191" s="226"/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6"/>
      <c r="AA191" s="226"/>
      <c r="AB191" s="226"/>
      <c r="AC191" s="226"/>
      <c r="AD191" s="226"/>
      <c r="AE191" s="226"/>
      <c r="AF191" s="226"/>
      <c r="AG191" s="226"/>
      <c r="AH191" s="226"/>
      <c r="AI191" s="226"/>
      <c r="AJ191" s="226"/>
      <c r="AK191" s="226"/>
      <c r="AL191" s="226"/>
      <c r="AM191" s="226"/>
      <c r="AN191" s="226"/>
      <c r="AO191" s="226"/>
      <c r="AP191" s="226"/>
      <c r="AQ191" s="226"/>
      <c r="AR191" s="226"/>
      <c r="AS191" s="226"/>
      <c r="AT191" s="226"/>
      <c r="AU191" s="226"/>
      <c r="AV191" s="226"/>
      <c r="AW191" s="226"/>
      <c r="AX191" s="226"/>
      <c r="AY191" s="226"/>
      <c r="AZ191" s="226"/>
      <c r="BA191" s="226"/>
      <c r="BB191" s="226"/>
      <c r="BC191" s="226"/>
      <c r="BD191" s="226"/>
      <c r="BE191" s="226"/>
      <c r="BF191" s="226"/>
      <c r="BG191" s="226"/>
      <c r="BH191" s="226"/>
      <c r="BI191" s="226"/>
      <c r="BJ191" s="226"/>
      <c r="BK191" s="226"/>
      <c r="BL191" s="226"/>
      <c r="BM191" s="226"/>
      <c r="BN191" s="226"/>
      <c r="BO191" s="226"/>
      <c r="BP191" s="226"/>
      <c r="BQ191" s="226"/>
      <c r="BR191" s="226"/>
      <c r="BS191" s="226"/>
      <c r="BT191" s="226"/>
      <c r="BU191" s="226"/>
      <c r="BV191" s="226"/>
      <c r="BW191" s="226"/>
      <c r="BX191" s="226"/>
    </row>
    <row r="198" spans="19:23" hidden="1">
      <c r="S198" s="332">
        <v>700000</v>
      </c>
      <c r="T198" s="333">
        <v>1000000</v>
      </c>
      <c r="U198" s="332">
        <v>5300000</v>
      </c>
      <c r="V198" s="332">
        <v>4750000</v>
      </c>
      <c r="W198" s="332">
        <v>1250000</v>
      </c>
    </row>
    <row r="199" spans="19:23" ht="14" hidden="1"/>
    <row r="200" spans="19:23" ht="14" hidden="1">
      <c r="S200" s="25">
        <f t="shared" ref="S200:W200" si="72">S198*0.8</f>
        <v>560000</v>
      </c>
      <c r="T200" s="25">
        <f t="shared" si="72"/>
        <v>800000</v>
      </c>
      <c r="U200" s="25">
        <f t="shared" si="72"/>
        <v>4240000</v>
      </c>
      <c r="V200" s="25">
        <f t="shared" si="72"/>
        <v>3800000</v>
      </c>
      <c r="W200" s="25">
        <f t="shared" si="72"/>
        <v>1000000</v>
      </c>
    </row>
  </sheetData>
  <mergeCells count="34">
    <mergeCell ref="S124:T124"/>
    <mergeCell ref="B2:C4"/>
    <mergeCell ref="B5:B8"/>
    <mergeCell ref="B9:B11"/>
    <mergeCell ref="B12:B15"/>
    <mergeCell ref="B16:C16"/>
    <mergeCell ref="B17:B97"/>
    <mergeCell ref="B98:C98"/>
    <mergeCell ref="B100:C100"/>
    <mergeCell ref="B101:C101"/>
    <mergeCell ref="D106:E106"/>
    <mergeCell ref="D109:BW109"/>
    <mergeCell ref="S123:T123"/>
    <mergeCell ref="BM2:BX2"/>
    <mergeCell ref="E2:P2"/>
    <mergeCell ref="Q2:AB2"/>
    <mergeCell ref="BY90:BZ90"/>
    <mergeCell ref="BZ91:BZ97"/>
    <mergeCell ref="BY98:BZ98"/>
    <mergeCell ref="BY100:BZ100"/>
    <mergeCell ref="BZ5:BZ8"/>
    <mergeCell ref="BZ9:BZ11"/>
    <mergeCell ref="BY16:BZ16"/>
    <mergeCell ref="BZ17:BZ89"/>
    <mergeCell ref="CC17:CC89"/>
    <mergeCell ref="CC5:CC8"/>
    <mergeCell ref="CC9:CC11"/>
    <mergeCell ref="CC12:CC15"/>
    <mergeCell ref="CB16:CC16"/>
    <mergeCell ref="AC2:AN2"/>
    <mergeCell ref="AO2:AZ2"/>
    <mergeCell ref="BA2:BL2"/>
    <mergeCell ref="BY2:BZ4"/>
    <mergeCell ref="BZ12:BZ15"/>
  </mergeCells>
  <conditionalFormatting sqref="E17:BX17 E23:BX23 E26:BX26 E34:BX34 E37:BX37 E49:BX49 E55:BX55 E63:BX63 E87:BX87 E90:BX90">
    <cfRule type="cellIs" dxfId="37" priority="1" operator="equal">
      <formula>0</formula>
    </cfRule>
  </conditionalFormatting>
  <conditionalFormatting sqref="F114:BS117 E115 BT115:BX115 E117 BT117:BX117 E131 F131:BX134 E133 E149:BX149 E163 M163:BX163 F163:L166 E165 M165:BX165 M179:T179 H179:L182 E181:G181 M181:BX181">
    <cfRule type="cellIs" dxfId="36" priority="2" operator="equal">
      <formula>0</formula>
    </cfRule>
  </conditionalFormatting>
  <dataValidations count="1">
    <dataValidation type="list" allowBlank="1" showErrorMessage="1" sqref="CB4" xr:uid="{00000000-0002-0000-0500-000000000000}">
      <formula1>$D$3:$BX$3</formula1>
    </dataValidation>
  </dataValidations>
  <pageMargins left="0" right="0" top="0" bottom="0" header="0" footer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outlinePr summaryBelow="0" summaryRight="0"/>
  </sheetPr>
  <dimension ref="A1:CB205"/>
  <sheetViews>
    <sheetView tabSelected="1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130" sqref="D130"/>
    </sheetView>
  </sheetViews>
  <sheetFormatPr baseColWidth="10" defaultColWidth="12.6640625" defaultRowHeight="15" customHeight="1" outlineLevelRow="2" outlineLevelCol="2"/>
  <cols>
    <col min="1" max="1" width="2.33203125" customWidth="1"/>
    <col min="3" max="3" width="40.1640625" customWidth="1"/>
    <col min="4" max="4" width="12.6640625" outlineLevel="1"/>
    <col min="5" max="5" width="10.83203125" customWidth="1" outlineLevel="1"/>
    <col min="6" max="16" width="10.83203125" customWidth="1" outlineLevel="2"/>
    <col min="17" max="17" width="10.83203125" customWidth="1" outlineLevel="1"/>
    <col min="18" max="20" width="10.83203125" customWidth="1" outlineLevel="2"/>
    <col min="21" max="21" width="9.1640625" customWidth="1" outlineLevel="2"/>
    <col min="22" max="26" width="12.6640625" customWidth="1" outlineLevel="2"/>
    <col min="27" max="28" width="13.1640625" customWidth="1" outlineLevel="2"/>
    <col min="29" max="29" width="10.6640625" customWidth="1" outlineLevel="1"/>
    <col min="30" max="32" width="10.6640625" customWidth="1" outlineLevel="2"/>
    <col min="33" max="33" width="12.6640625" customWidth="1" outlineLevel="2"/>
    <col min="34" max="34" width="9.6640625" customWidth="1" outlineLevel="2"/>
    <col min="35" max="40" width="6.5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</cols>
  <sheetData>
    <row r="1" spans="1:80" ht="27" thickBot="1">
      <c r="A1" s="226"/>
      <c r="B1" s="334" t="s">
        <v>358</v>
      </c>
      <c r="C1" s="228">
        <v>46142</v>
      </c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</row>
    <row r="2" spans="1:80">
      <c r="A2" s="603"/>
      <c r="B2" s="785" t="s">
        <v>247</v>
      </c>
      <c r="C2" s="771"/>
      <c r="D2" s="603"/>
      <c r="E2" s="769">
        <v>45292</v>
      </c>
      <c r="F2" s="767"/>
      <c r="G2" s="767"/>
      <c r="H2" s="767"/>
      <c r="I2" s="767"/>
      <c r="J2" s="767"/>
      <c r="K2" s="767"/>
      <c r="L2" s="767"/>
      <c r="M2" s="767"/>
      <c r="N2" s="767"/>
      <c r="O2" s="767"/>
      <c r="P2" s="768"/>
      <c r="Q2" s="766">
        <v>2025</v>
      </c>
      <c r="R2" s="767"/>
      <c r="S2" s="767"/>
      <c r="T2" s="767"/>
      <c r="U2" s="767"/>
      <c r="V2" s="767"/>
      <c r="W2" s="767"/>
      <c r="X2" s="767"/>
      <c r="Y2" s="767"/>
      <c r="Z2" s="767"/>
      <c r="AA2" s="767"/>
      <c r="AB2" s="768"/>
      <c r="AC2" s="766">
        <v>2026</v>
      </c>
      <c r="AD2" s="767"/>
      <c r="AE2" s="767"/>
      <c r="AF2" s="767"/>
      <c r="AG2" s="767"/>
      <c r="AH2" s="767"/>
      <c r="AI2" s="767"/>
      <c r="AJ2" s="767"/>
      <c r="AK2" s="767"/>
      <c r="AL2" s="767"/>
      <c r="AM2" s="767"/>
      <c r="AN2" s="768"/>
      <c r="AO2" s="769">
        <v>46388</v>
      </c>
      <c r="AP2" s="767"/>
      <c r="AQ2" s="767"/>
      <c r="AR2" s="767"/>
      <c r="AS2" s="767"/>
      <c r="AT2" s="767"/>
      <c r="AU2" s="767"/>
      <c r="AV2" s="767"/>
      <c r="AW2" s="767"/>
      <c r="AX2" s="767"/>
      <c r="AY2" s="767"/>
      <c r="AZ2" s="768"/>
      <c r="BA2" s="769">
        <v>46753</v>
      </c>
      <c r="BB2" s="767"/>
      <c r="BC2" s="767"/>
      <c r="BD2" s="767"/>
      <c r="BE2" s="767"/>
      <c r="BF2" s="767"/>
      <c r="BG2" s="767"/>
      <c r="BH2" s="767"/>
      <c r="BI2" s="767"/>
      <c r="BJ2" s="767"/>
      <c r="BK2" s="767"/>
      <c r="BL2" s="768"/>
      <c r="BM2" s="769">
        <v>47119</v>
      </c>
      <c r="BN2" s="767"/>
      <c r="BO2" s="767"/>
      <c r="BP2" s="767"/>
      <c r="BQ2" s="767"/>
      <c r="BR2" s="767"/>
      <c r="BS2" s="767"/>
      <c r="BT2" s="767"/>
      <c r="BU2" s="767"/>
      <c r="BV2" s="767"/>
      <c r="BW2" s="767"/>
      <c r="BX2" s="768"/>
      <c r="BY2" s="770" t="s">
        <v>248</v>
      </c>
      <c r="BZ2" s="771"/>
    </row>
    <row r="3" spans="1:80">
      <c r="A3" s="603"/>
      <c r="B3" s="772"/>
      <c r="C3" s="771"/>
      <c r="D3" s="603"/>
      <c r="E3" s="230" t="str">
        <f>IFERROR(VLOOKUP(TEXT(E4,"mm.yyyy"),HMG!$B$2:$C$1001, 2, FALSE),"")</f>
        <v>zapis KS</v>
      </c>
      <c r="F3" s="230" t="str">
        <f>IFERROR(VLOOKUP(TEXT(F4,"mm.yyyy"),HMG!$B$2:$C$1001, 2, FALSE),"")</f>
        <v/>
      </c>
      <c r="G3" s="230" t="str">
        <f>IFERROR(VLOOKUP(TEXT(G4,"mm.yyyy"),HMG!$B$2:$C$1001, 2, FALSE),"")</f>
        <v/>
      </c>
      <c r="H3" s="230" t="str">
        <f>IFERROR(VLOOKUP(TEXT(H4,"mm.yyyy"),HMG!$B$2:$C$1001, 2, FALSE),"")</f>
        <v/>
      </c>
      <c r="I3" s="230" t="str">
        <f>IFERROR(VLOOKUP(TEXT(I4,"mm.yyyy"),HMG!$B$2:$C$1001, 2, FALSE),"")</f>
        <v/>
      </c>
      <c r="J3" s="230" t="str">
        <f>IFERROR(VLOOKUP(TEXT(J4,"mm.yyyy"),HMG!$B$2:$C$1001, 2, FALSE),"")</f>
        <v/>
      </c>
      <c r="K3" s="230" t="str">
        <f>IFERROR(VLOOKUP(TEXT(K4,"mm.yyyy"),HMG!$B$2:$C$1001, 2, FALSE),"")</f>
        <v/>
      </c>
      <c r="L3" s="230" t="str">
        <f>IFERROR(VLOOKUP(TEXT(L4,"mm.yyyy"),HMG!$B$2:$C$1001, 2, FALSE),"")</f>
        <v/>
      </c>
      <c r="M3" s="230" t="str">
        <f>IFERROR(VLOOKUP(TEXT(M4,"mm.yyyy"),HMG!$B$2:$C$1001, 2, FALSE),"")</f>
        <v/>
      </c>
      <c r="N3" s="230" t="str">
        <f>IFERROR(VLOOKUP(TEXT(N4,"mm.yyyy"),HMG!$B$2:$C$1001, 2, FALSE),"")</f>
        <v/>
      </c>
      <c r="O3" s="230" t="str">
        <f>IFERROR(VLOOKUP(TEXT(O4,"mm.yyyy"),HMG!$B$2:$C$1001, 2, FALSE),"")</f>
        <v/>
      </c>
      <c r="P3" s="230" t="str">
        <f>IFERROR(VLOOKUP(TEXT(P4,"mm.yyyy"),HMG!$B$2:$C$1001, 2, FALSE),"")</f>
        <v/>
      </c>
      <c r="Q3" s="230" t="str">
        <f>IFERROR(VLOOKUP(TEXT(Q4,"mm.yyyy"),HMG!$B$2:$C$1001, 2, FALSE),"")</f>
        <v>zapis KS</v>
      </c>
      <c r="R3" s="230" t="str">
        <f>IFERROR(VLOOKUP(TEXT(R4,"mm.yyyy"),HMG!$B$2:$C$1001, 2, FALSE),"")</f>
        <v/>
      </c>
      <c r="S3" s="230" t="str">
        <f>IFERROR(VLOOKUP(TEXT(S4,"mm.yyyy"),HMG!$B$2:$C$1001, 2, FALSE),"")</f>
        <v/>
      </c>
      <c r="T3" s="230" t="str">
        <f>IFERROR(VLOOKUP(TEXT(T4,"mm.yyyy"),HMG!$B$2:$C$1001, 2, FALSE),"")</f>
        <v/>
      </c>
      <c r="U3" s="230" t="str">
        <f>IFERROR(VLOOKUP(TEXT(U4,"mm.yyyy"),HMG!$B$2:$C$1001, 2, FALSE),"")</f>
        <v/>
      </c>
      <c r="V3" s="230" t="str">
        <f>IFERROR(VLOOKUP(TEXT(V4,"mm.yyyy"),HMG!$B$2:$C$1001, 2, FALSE),"")</f>
        <v/>
      </c>
      <c r="W3" s="230" t="str">
        <f>IFERROR(VLOOKUP(TEXT(W4,"mm.yyyy"),HMG!$B$2:$C$1001, 2, FALSE),"")</f>
        <v/>
      </c>
      <c r="X3" s="230" t="str">
        <f>IFERROR(VLOOKUP(TEXT(X4,"mm.yyyy"),HMG!$B$2:$C$1001, 2, FALSE),"")</f>
        <v/>
      </c>
      <c r="Y3" s="230" t="str">
        <f>IFERROR(VLOOKUP(TEXT(Y4,"mm.yyyy"),HMG!$B$2:$C$1001, 2, FALSE),"")</f>
        <v/>
      </c>
      <c r="Z3" s="230" t="str">
        <f>IFERROR(VLOOKUP(TEXT(Z4,"mm.yyyy"),HMG!$B$2:$C$1001, 2, FALSE),"")</f>
        <v/>
      </c>
      <c r="AA3" s="230" t="str">
        <f>IFERROR(VLOOKUP(TEXT(AA4,"mm.yyyy"),HMG!$B$2:$C$1001, 2, FALSE),"")</f>
        <v/>
      </c>
      <c r="AB3" s="230" t="str">
        <f>IFERROR(VLOOKUP(TEXT(AB4,"mm.yyyy"),HMG!$B$2:$C$1001, 2, FALSE),"")</f>
        <v/>
      </c>
      <c r="AC3" s="230" t="str">
        <f>IFERROR(VLOOKUP(TEXT(AC4,"mm.yyyy"),HMG!$B$2:$C$1001, 2, FALSE),"")</f>
        <v>zapis KS</v>
      </c>
      <c r="AD3" s="230" t="str">
        <f>IFERROR(VLOOKUP(TEXT(AD4,"mm.yyyy"),HMG!$B$2:$C$1001, 2, FALSE),"")</f>
        <v/>
      </c>
      <c r="AE3" s="230" t="str">
        <f>IFERROR(VLOOKUP(TEXT(AE4,"mm.yyyy"),HMG!$B$2:$C$1001, 2, FALSE),"")</f>
        <v/>
      </c>
      <c r="AF3" s="230" t="str">
        <f>IFERROR(VLOOKUP(TEXT(AF4,"mm.yyyy"),HMG!$B$2:$C$1001, 2, FALSE),"")</f>
        <v/>
      </c>
      <c r="AG3" s="230" t="str">
        <f>IFERROR(VLOOKUP(TEXT(AG4,"mm.yyyy"),HMG!$B$2:$C$1001, 2, FALSE),"")</f>
        <v/>
      </c>
      <c r="AH3" s="230" t="str">
        <f>IFERROR(VLOOKUP(TEXT(AH4,"mm.yyyy"),HMG!$B$2:$C$1001, 2, FALSE),"")</f>
        <v/>
      </c>
      <c r="AI3" s="230" t="str">
        <f>IFERROR(VLOOKUP(TEXT(AI4,"mm.yyyy"),HMG!$B$2:$C$1001, 2, FALSE),"")</f>
        <v/>
      </c>
      <c r="AJ3" s="230" t="str">
        <f>IFERROR(VLOOKUP(TEXT(AJ4,"mm.yyyy"),HMG!$B$2:$C$1001, 2, FALSE),"")</f>
        <v/>
      </c>
      <c r="AK3" s="230" t="str">
        <f>IFERROR(VLOOKUP(TEXT(AK4,"mm.yyyy"),HMG!$B$2:$C$1001, 2, FALSE),"")</f>
        <v/>
      </c>
      <c r="AL3" s="230" t="str">
        <f>IFERROR(VLOOKUP(TEXT(AL4,"mm.yyyy"),HMG!$B$2:$C$1001, 2, FALSE),"")</f>
        <v/>
      </c>
      <c r="AM3" s="230" t="str">
        <f>IFERROR(VLOOKUP(TEXT(AM4,"mm.yyyy"),HMG!$B$2:$C$1001, 2, FALSE),"")</f>
        <v/>
      </c>
      <c r="AN3" s="230" t="str">
        <f>IFERROR(VLOOKUP(TEXT(AN4,"mm.yyyy"),HMG!$B$2:$C$1001, 2, FALSE),"")</f>
        <v/>
      </c>
      <c r="AO3" s="230" t="str">
        <f>IFERROR(VLOOKUP(TEXT(AO4,"mm.yyyy"),HMG!$B$2:$C$1001, 2, FALSE),"")</f>
        <v>zapis KS</v>
      </c>
      <c r="AP3" s="230" t="str">
        <f>IFERROR(VLOOKUP(TEXT(AP4,"mm.yyyy"),HMG!$B$2:$C$1001, 2, FALSE),"")</f>
        <v/>
      </c>
      <c r="AQ3" s="230" t="str">
        <f>IFERROR(VLOOKUP(TEXT(AQ4,"mm.yyyy"),HMG!$B$2:$C$1001, 2, FALSE),"")</f>
        <v/>
      </c>
      <c r="AR3" s="230" t="str">
        <f>IFERROR(VLOOKUP(TEXT(AR4,"mm.yyyy"),HMG!$B$2:$C$1001, 2, FALSE),"")</f>
        <v/>
      </c>
      <c r="AS3" s="230" t="str">
        <f>IFERROR(VLOOKUP(TEXT(AS4,"mm.yyyy"),HMG!$B$2:$C$1001, 2, FALSE),"")</f>
        <v/>
      </c>
      <c r="AT3" s="230" t="str">
        <f>IFERROR(VLOOKUP(TEXT(AT4,"mm.yyyy"),HMG!$B$2:$C$1001, 2, FALSE),"")</f>
        <v/>
      </c>
      <c r="AU3" s="230" t="str">
        <f>IFERROR(VLOOKUP(TEXT(AU4,"mm.yyyy"),HMG!$B$2:$C$1001, 2, FALSE),"")</f>
        <v/>
      </c>
      <c r="AV3" s="230" t="str">
        <f>IFERROR(VLOOKUP(TEXT(AV4,"mm.yyyy"),HMG!$B$2:$C$1001, 2, FALSE),"")</f>
        <v/>
      </c>
      <c r="AW3" s="230" t="str">
        <f>IFERROR(VLOOKUP(TEXT(AW4,"mm.yyyy"),HMG!$B$2:$C$1001, 2, FALSE),"")</f>
        <v/>
      </c>
      <c r="AX3" s="230" t="str">
        <f>IFERROR(VLOOKUP(TEXT(AX4,"mm.yyyy"),HMG!$B$2:$C$1001, 2, FALSE),"")</f>
        <v/>
      </c>
      <c r="AY3" s="230" t="str">
        <f>IFERROR(VLOOKUP(TEXT(AY4,"mm.yyyy"),HMG!$B$2:$C$1001, 2, FALSE),"")</f>
        <v/>
      </c>
      <c r="AZ3" s="230" t="str">
        <f>IFERROR(VLOOKUP(TEXT(AZ4,"mm.yyyy"),HMG!$B$2:$C$1001, 2, FALSE),"")</f>
        <v/>
      </c>
      <c r="BA3" s="230" t="str">
        <f>IFERROR(VLOOKUP(TEXT(BA4,"mm.yyyy"),HMG!$B$2:$C$1001, 2, FALSE),"")</f>
        <v>zapis KS</v>
      </c>
      <c r="BB3" s="230" t="str">
        <f>IFERROR(VLOOKUP(TEXT(BB4,"mm.yyyy"),HMG!$B$2:$C$1001, 2, FALSE),"")</f>
        <v/>
      </c>
      <c r="BC3" s="230" t="str">
        <f>IFERROR(VLOOKUP(TEXT(BC4,"mm.yyyy"),HMG!$B$2:$C$1001, 2, FALSE),"")</f>
        <v/>
      </c>
      <c r="BD3" s="230" t="str">
        <f>IFERROR(VLOOKUP(TEXT(BD4,"mm.yyyy"),HMG!$B$2:$C$1001, 2, FALSE),"")</f>
        <v/>
      </c>
      <c r="BE3" s="230" t="str">
        <f>IFERROR(VLOOKUP(TEXT(BE4,"mm.yyyy"),HMG!$B$2:$C$1001, 2, FALSE),"")</f>
        <v/>
      </c>
      <c r="BF3" s="230" t="str">
        <f>IFERROR(VLOOKUP(TEXT(BF4,"mm.yyyy"),HMG!$B$2:$C$1001, 2, FALSE),"")</f>
        <v/>
      </c>
      <c r="BG3" s="230" t="str">
        <f>IFERROR(VLOOKUP(TEXT(BG4,"mm.yyyy"),HMG!$B$2:$C$1001, 2, FALSE),"")</f>
        <v/>
      </c>
      <c r="BH3" s="230" t="str">
        <f>IFERROR(VLOOKUP(TEXT(BH4,"mm.yyyy"),HMG!$B$2:$C$1001, 2, FALSE),"")</f>
        <v/>
      </c>
      <c r="BI3" s="230" t="str">
        <f>IFERROR(VLOOKUP(TEXT(BI4,"mm.yyyy"),HMG!$B$2:$C$1001, 2, FALSE),"")</f>
        <v/>
      </c>
      <c r="BJ3" s="230" t="str">
        <f>IFERROR(VLOOKUP(TEXT(BJ4,"mm.yyyy"),HMG!$B$2:$C$1001, 2, FALSE),"")</f>
        <v/>
      </c>
      <c r="BK3" s="230" t="str">
        <f>IFERROR(VLOOKUP(TEXT(BK4,"mm.yyyy"),HMG!$B$2:$C$1001, 2, FALSE),"")</f>
        <v/>
      </c>
      <c r="BL3" s="230" t="str">
        <f>IFERROR(VLOOKUP(TEXT(BL4,"mm.yyyy"),HMG!$B$2:$C$1001, 2, FALSE),"")</f>
        <v/>
      </c>
      <c r="BM3" s="230" t="str">
        <f>IFERROR(VLOOKUP(TEXT(BM4,"mm.yyyy"),HMG!$B$2:$C$1001, 2, FALSE),"")</f>
        <v>zapis KS</v>
      </c>
      <c r="BN3" s="230" t="str">
        <f>IFERROR(VLOOKUP(TEXT(BN4,"mm.yyyy"),HMG!$B$2:$C$1001, 2, FALSE),"")</f>
        <v/>
      </c>
      <c r="BO3" s="230" t="str">
        <f>IFERROR(VLOOKUP(TEXT(BO4,"mm.yyyy"),HMG!$B$2:$C$1001, 2, FALSE),"")</f>
        <v/>
      </c>
      <c r="BP3" s="230" t="str">
        <f>IFERROR(VLOOKUP(TEXT(BP4,"mm.yyyy"),HMG!$B$2:$C$1001, 2, FALSE),"")</f>
        <v/>
      </c>
      <c r="BQ3" s="230" t="str">
        <f>IFERROR(VLOOKUP(TEXT(BQ4,"mm.yyyy"),HMG!$B$2:$C$1001, 2, FALSE),"")</f>
        <v/>
      </c>
      <c r="BR3" s="230" t="str">
        <f>IFERROR(VLOOKUP(TEXT(BR4,"mm.yyyy"),HMG!$B$2:$C$1001, 2, FALSE),"")</f>
        <v/>
      </c>
      <c r="BS3" s="230" t="str">
        <f>IFERROR(VLOOKUP(TEXT(BS4,"mm.yyyy"),HMG!$B$2:$C$1001, 2, FALSE),"")</f>
        <v/>
      </c>
      <c r="BT3" s="230" t="str">
        <f>IFERROR(VLOOKUP(TEXT(BT4,"mm.yyyy"),HMG!$B$2:$C$1001, 2, FALSE),"")</f>
        <v/>
      </c>
      <c r="BU3" s="230" t="str">
        <f>IFERROR(VLOOKUP(TEXT(BU4,"mm.yyyy"),HMG!$B$2:$C$1001, 2, FALSE),"")</f>
        <v/>
      </c>
      <c r="BV3" s="230" t="str">
        <f>IFERROR(VLOOKUP(TEXT(BV4,"mm.yyyy"),HMG!$B$2:$C$1001, 2, FALSE),"")</f>
        <v/>
      </c>
      <c r="BW3" s="230" t="str">
        <f>IFERROR(VLOOKUP(TEXT(BW4,"mm.yyyy"),HMG!$B$2:$C$1001, 2, FALSE),"")</f>
        <v/>
      </c>
      <c r="BX3" s="230" t="str">
        <f>IFERROR(VLOOKUP(TEXT(BX4,"mm.yyyy"),HMG!$B$2:$C$1001, 2, FALSE),"")</f>
        <v/>
      </c>
      <c r="BY3" s="772"/>
      <c r="BZ3" s="771"/>
    </row>
    <row r="4" spans="1:80" ht="16" thickBot="1">
      <c r="A4" s="603"/>
      <c r="B4" s="773"/>
      <c r="C4" s="774"/>
      <c r="D4" s="604"/>
      <c r="E4" s="231">
        <v>45292</v>
      </c>
      <c r="F4" s="231">
        <v>45323</v>
      </c>
      <c r="G4" s="231">
        <v>45352</v>
      </c>
      <c r="H4" s="231">
        <v>45383</v>
      </c>
      <c r="I4" s="231">
        <v>45413</v>
      </c>
      <c r="J4" s="231">
        <v>45444</v>
      </c>
      <c r="K4" s="231">
        <v>45474</v>
      </c>
      <c r="L4" s="231">
        <v>45505</v>
      </c>
      <c r="M4" s="231">
        <v>45536</v>
      </c>
      <c r="N4" s="231">
        <v>45566</v>
      </c>
      <c r="O4" s="231">
        <v>45597</v>
      </c>
      <c r="P4" s="231">
        <v>45627</v>
      </c>
      <c r="Q4" s="231">
        <v>45658</v>
      </c>
      <c r="R4" s="231">
        <v>45689</v>
      </c>
      <c r="S4" s="231">
        <v>45717</v>
      </c>
      <c r="T4" s="231">
        <v>45748</v>
      </c>
      <c r="U4" s="231">
        <v>45778</v>
      </c>
      <c r="V4" s="231">
        <v>45809</v>
      </c>
      <c r="W4" s="231">
        <v>45839</v>
      </c>
      <c r="X4" s="231">
        <v>45870</v>
      </c>
      <c r="Y4" s="231">
        <v>45901</v>
      </c>
      <c r="Z4" s="231">
        <v>45931</v>
      </c>
      <c r="AA4" s="231">
        <v>45962</v>
      </c>
      <c r="AB4" s="231">
        <v>45992</v>
      </c>
      <c r="AC4" s="231">
        <v>46023</v>
      </c>
      <c r="AD4" s="231">
        <v>46054</v>
      </c>
      <c r="AE4" s="231">
        <v>46082</v>
      </c>
      <c r="AF4" s="231">
        <v>46113</v>
      </c>
      <c r="AG4" s="231">
        <v>46143</v>
      </c>
      <c r="AH4" s="231">
        <v>46174</v>
      </c>
      <c r="AI4" s="231">
        <v>46204</v>
      </c>
      <c r="AJ4" s="231">
        <v>46235</v>
      </c>
      <c r="AK4" s="231">
        <v>46266</v>
      </c>
      <c r="AL4" s="231">
        <v>46296</v>
      </c>
      <c r="AM4" s="231">
        <v>46327</v>
      </c>
      <c r="AN4" s="231">
        <v>46357</v>
      </c>
      <c r="AO4" s="231">
        <v>46388</v>
      </c>
      <c r="AP4" s="231">
        <v>46419</v>
      </c>
      <c r="AQ4" s="231">
        <v>46447</v>
      </c>
      <c r="AR4" s="231">
        <v>46478</v>
      </c>
      <c r="AS4" s="231">
        <v>46508</v>
      </c>
      <c r="AT4" s="231">
        <v>46539</v>
      </c>
      <c r="AU4" s="231">
        <v>46569</v>
      </c>
      <c r="AV4" s="231">
        <v>46600</v>
      </c>
      <c r="AW4" s="231">
        <v>46631</v>
      </c>
      <c r="AX4" s="231">
        <v>46661</v>
      </c>
      <c r="AY4" s="231">
        <v>46692</v>
      </c>
      <c r="AZ4" s="231">
        <v>46722</v>
      </c>
      <c r="BA4" s="231">
        <v>46753</v>
      </c>
      <c r="BB4" s="231">
        <v>46784</v>
      </c>
      <c r="BC4" s="231">
        <v>46813</v>
      </c>
      <c r="BD4" s="231">
        <v>46844</v>
      </c>
      <c r="BE4" s="231">
        <v>46874</v>
      </c>
      <c r="BF4" s="231">
        <v>46905</v>
      </c>
      <c r="BG4" s="231">
        <v>46935</v>
      </c>
      <c r="BH4" s="231">
        <v>46966</v>
      </c>
      <c r="BI4" s="231">
        <v>46997</v>
      </c>
      <c r="BJ4" s="231">
        <v>47027</v>
      </c>
      <c r="BK4" s="231">
        <v>47058</v>
      </c>
      <c r="BL4" s="231">
        <v>47088</v>
      </c>
      <c r="BM4" s="231">
        <v>47119</v>
      </c>
      <c r="BN4" s="231">
        <v>47150</v>
      </c>
      <c r="BO4" s="231">
        <v>47178</v>
      </c>
      <c r="BP4" s="231">
        <v>47209</v>
      </c>
      <c r="BQ4" s="231">
        <v>47239</v>
      </c>
      <c r="BR4" s="231">
        <v>47270</v>
      </c>
      <c r="BS4" s="231">
        <v>47300</v>
      </c>
      <c r="BT4" s="231">
        <v>47331</v>
      </c>
      <c r="BU4" s="231">
        <v>47362</v>
      </c>
      <c r="BV4" s="231">
        <v>47392</v>
      </c>
      <c r="BW4" s="231">
        <v>47423</v>
      </c>
      <c r="BX4" s="231">
        <v>47453</v>
      </c>
      <c r="BY4" s="773"/>
      <c r="BZ4" s="774"/>
    </row>
    <row r="5" spans="1:80">
      <c r="A5" s="603"/>
      <c r="B5" s="786" t="s">
        <v>251</v>
      </c>
      <c r="C5" s="232" t="s">
        <v>252</v>
      </c>
      <c r="D5" s="233" t="s">
        <v>253</v>
      </c>
      <c r="E5" s="234"/>
      <c r="F5" s="235"/>
      <c r="G5" s="235"/>
      <c r="H5" s="235">
        <f>16365002</f>
        <v>16365002</v>
      </c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6"/>
      <c r="BY5" s="237">
        <f t="shared" ref="BY5:BY15" si="0">SUM(E5:BX5)</f>
        <v>16365002</v>
      </c>
      <c r="BZ5" s="775">
        <f>SUM(BY5:BY8)</f>
        <v>27850002</v>
      </c>
    </row>
    <row r="6" spans="1:80">
      <c r="A6" s="603"/>
      <c r="B6" s="787"/>
      <c r="C6" s="232" t="s">
        <v>254</v>
      </c>
      <c r="D6" s="233" t="s">
        <v>253</v>
      </c>
      <c r="E6" s="235"/>
      <c r="F6" s="235"/>
      <c r="G6" s="235"/>
      <c r="H6" s="235"/>
      <c r="I6" s="235"/>
      <c r="J6" s="235"/>
      <c r="K6" s="235">
        <v>885000</v>
      </c>
      <c r="L6" s="235">
        <f>1640000+300000</f>
        <v>1940000</v>
      </c>
      <c r="M6" s="235">
        <f>4260000</f>
        <v>4260000</v>
      </c>
      <c r="N6" s="235"/>
      <c r="O6" s="235">
        <f>50000+270000</f>
        <v>320000</v>
      </c>
      <c r="P6" s="235">
        <v>320000</v>
      </c>
      <c r="Q6" s="235"/>
      <c r="R6" s="235">
        <f>600000+70000</f>
        <v>670000</v>
      </c>
      <c r="S6" s="235"/>
      <c r="T6" s="235"/>
      <c r="U6" s="235"/>
      <c r="V6" s="235">
        <f>2700000+390000</f>
        <v>3090000</v>
      </c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  <c r="BV6" s="235"/>
      <c r="BW6" s="235"/>
      <c r="BX6" s="232"/>
      <c r="BY6" s="237">
        <f t="shared" si="0"/>
        <v>11485000</v>
      </c>
      <c r="BZ6" s="771"/>
    </row>
    <row r="7" spans="1:80">
      <c r="A7" s="603"/>
      <c r="B7" s="787"/>
      <c r="C7" s="238" t="s">
        <v>255</v>
      </c>
      <c r="D7" s="233" t="s">
        <v>253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2"/>
      <c r="BY7" s="237">
        <f t="shared" si="0"/>
        <v>0</v>
      </c>
      <c r="BZ7" s="771"/>
    </row>
    <row r="8" spans="1:80" ht="16" thickBot="1">
      <c r="A8" s="603"/>
      <c r="B8" s="781"/>
      <c r="C8" s="238" t="s">
        <v>256</v>
      </c>
      <c r="D8" s="239" t="s">
        <v>253</v>
      </c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38"/>
      <c r="BY8" s="241">
        <f t="shared" si="0"/>
        <v>0</v>
      </c>
      <c r="BZ8" s="774"/>
    </row>
    <row r="9" spans="1:80">
      <c r="A9" s="603"/>
      <c r="B9" s="786" t="s">
        <v>257</v>
      </c>
      <c r="C9" s="236" t="s">
        <v>258</v>
      </c>
      <c r="D9" s="233" t="s">
        <v>253</v>
      </c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  <c r="U9" s="234"/>
      <c r="V9" s="234">
        <f>-V61</f>
        <v>0</v>
      </c>
      <c r="W9" s="234">
        <v>42489</v>
      </c>
      <c r="X9" s="234">
        <f t="shared" ref="X9:AA9" si="1">-X61</f>
        <v>0</v>
      </c>
      <c r="Y9" s="234">
        <f>69979.18+87734.96</f>
        <v>157714.14000000001</v>
      </c>
      <c r="Z9" s="234">
        <f>99874</f>
        <v>99874</v>
      </c>
      <c r="AA9" s="234">
        <f t="shared" si="1"/>
        <v>0</v>
      </c>
      <c r="AB9" s="234">
        <v>234384</v>
      </c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4"/>
      <c r="BC9" s="234"/>
      <c r="BD9" s="234"/>
      <c r="BE9" s="234"/>
      <c r="BF9" s="234"/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4"/>
      <c r="BV9" s="234"/>
      <c r="BW9" s="234"/>
      <c r="BX9" s="236"/>
      <c r="BY9" s="237">
        <f t="shared" si="0"/>
        <v>534461.14</v>
      </c>
      <c r="BZ9" s="775">
        <f>SUM(BY9:BY11)</f>
        <v>78957537.300000012</v>
      </c>
    </row>
    <row r="10" spans="1:80">
      <c r="A10" s="603"/>
      <c r="B10" s="787"/>
      <c r="C10" s="236" t="s">
        <v>259</v>
      </c>
      <c r="D10" s="233" t="s">
        <v>253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>
        <v>2981528</v>
      </c>
      <c r="W10" s="235">
        <v>6673023</v>
      </c>
      <c r="X10" s="235">
        <f>6646729.67</f>
        <v>6646729.6699999999</v>
      </c>
      <c r="Y10" s="235">
        <v>4136195</v>
      </c>
      <c r="Z10" s="235"/>
      <c r="AA10" s="235">
        <v>3464382</v>
      </c>
      <c r="AB10" s="235"/>
      <c r="AC10" s="235">
        <v>174474</v>
      </c>
      <c r="AD10" s="235">
        <f>1432350</f>
        <v>1432350</v>
      </c>
      <c r="AE10" s="235">
        <f>1471628.8+120334.36</f>
        <v>1591963.1600000001</v>
      </c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2"/>
      <c r="BY10" s="237">
        <f t="shared" si="0"/>
        <v>27100644.830000002</v>
      </c>
      <c r="BZ10" s="771"/>
    </row>
    <row r="11" spans="1:80">
      <c r="A11" s="603"/>
      <c r="B11" s="768"/>
      <c r="C11" s="238" t="s">
        <v>260</v>
      </c>
      <c r="D11" s="239" t="s">
        <v>253</v>
      </c>
      <c r="E11" s="240"/>
      <c r="F11" s="240"/>
      <c r="G11" s="240"/>
      <c r="H11" s="240"/>
      <c r="I11" s="240"/>
      <c r="J11" s="240"/>
      <c r="K11" s="240"/>
      <c r="L11" s="240"/>
      <c r="M11" s="240">
        <f>6449487.53+48944.52</f>
        <v>6498432.0499999998</v>
      </c>
      <c r="N11" s="240">
        <f>19937831.95</f>
        <v>19937831.949999999</v>
      </c>
      <c r="O11" s="240">
        <f>133478.48+9278006.75</f>
        <v>9411485.2300000004</v>
      </c>
      <c r="P11" s="240">
        <f>186701+7000000+5138503.39+219819.11</f>
        <v>12545023.5</v>
      </c>
      <c r="Q11" s="240">
        <f>2929658.6</f>
        <v>2929658.6</v>
      </c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3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38"/>
      <c r="BY11" s="241">
        <f t="shared" si="0"/>
        <v>51322431.330000006</v>
      </c>
      <c r="BZ11" s="776"/>
    </row>
    <row r="12" spans="1:80">
      <c r="A12" s="603"/>
      <c r="B12" s="786" t="s">
        <v>261</v>
      </c>
      <c r="C12" s="232" t="s">
        <v>262</v>
      </c>
      <c r="D12" s="233" t="s">
        <v>253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>
        <f>(1368.39+21210.09+21210.09)*25</f>
        <v>1094714.25</v>
      </c>
      <c r="S12" s="234">
        <f>161197.41+57199.08+(21210.09+21210.09)*25</f>
        <v>1278900.99</v>
      </c>
      <c r="T12" s="234">
        <f>53732+21210.09*25.2</f>
        <v>588226.26800000004</v>
      </c>
      <c r="U12" s="234">
        <f>53732+60500+21210.09*25.2</f>
        <v>648726.26800000004</v>
      </c>
      <c r="V12" s="234">
        <f>53732+21210.09*25.2</f>
        <v>588226.26800000004</v>
      </c>
      <c r="W12" s="234">
        <f>53732.47+21210.09*25.2</f>
        <v>588226.73800000001</v>
      </c>
      <c r="X12" s="234">
        <f>4840*4+53732.47+21210.09*25.2</f>
        <v>607586.73800000001</v>
      </c>
      <c r="Y12" s="234">
        <f>53732.47+21210.09*25.2+4840</f>
        <v>593066.73800000001</v>
      </c>
      <c r="Z12" s="234">
        <f>1904.56+53732.47+84700+21210.09*25.2</f>
        <v>674831.29800000007</v>
      </c>
      <c r="AA12" s="234">
        <f>53732+4840+21210.09*25.2</f>
        <v>593066.26800000004</v>
      </c>
      <c r="AB12" s="234">
        <f>2662+2232.65+2662+4840+53732.47+10580+(2251.88+2684.93+8303.25+8303.25+8303.25+21210.09+2685.93+1978.79+3608.38+3608.38)*25.2</f>
        <v>1662749.9959999998</v>
      </c>
      <c r="AC12" s="234">
        <f>2662+4840+10580+105601.3+19249.29+(9991+8303.25+2684.93+3608.38+21210.09)*25</f>
        <v>1287873.8400000001</v>
      </c>
      <c r="AD12" s="234">
        <f>19233.19+55075.79+53732.47+28429.94+2662+4840+10580.94+560+560+4851.27+9597.94+(8303+2684+3608+21210)*25.2</f>
        <v>1092409.54</v>
      </c>
      <c r="AE12" s="234">
        <f>55075+560+2662+10580.94+4840+972.56+6807.94+(8303+21653.6+2684.93+3608.38+2212.58+316.08)*25.2</f>
        <v>1058718.4039999999</v>
      </c>
      <c r="AF12" s="234">
        <f>1815+560+2662+4840+55075+10580+6807+(8303.25+2646+2684.93+994.62+3608.38+2212.58+21653)*25.2</f>
        <v>1143328.5519999999</v>
      </c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4"/>
      <c r="BE12" s="234"/>
      <c r="BF12" s="234"/>
      <c r="BG12" s="234"/>
      <c r="BH12" s="234"/>
      <c r="BI12" s="234"/>
      <c r="BJ12" s="234"/>
      <c r="BK12" s="234"/>
      <c r="BL12" s="234"/>
      <c r="BM12" s="234"/>
      <c r="BN12" s="234"/>
      <c r="BO12" s="234"/>
      <c r="BP12" s="234"/>
      <c r="BQ12" s="234"/>
      <c r="BR12" s="234"/>
      <c r="BS12" s="234"/>
      <c r="BT12" s="234"/>
      <c r="BU12" s="234"/>
      <c r="BV12" s="234"/>
      <c r="BW12" s="234"/>
      <c r="BX12" s="236"/>
      <c r="BY12" s="237">
        <f t="shared" si="0"/>
        <v>13500652.155999998</v>
      </c>
      <c r="BZ12" s="775">
        <f>SUM(BY12:BY15)</f>
        <v>157056269.97161785</v>
      </c>
    </row>
    <row r="13" spans="1:80">
      <c r="A13" s="603"/>
      <c r="B13" s="787"/>
      <c r="C13" s="232" t="s">
        <v>263</v>
      </c>
      <c r="D13" s="233" t="s">
        <v>253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>
        <f>Businessplan_prodej!$J$25</f>
        <v>134227900.78571424</v>
      </c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6"/>
      <c r="BY13" s="237">
        <f t="shared" si="0"/>
        <v>134227900.78571424</v>
      </c>
      <c r="BZ13" s="771"/>
    </row>
    <row r="14" spans="1:80">
      <c r="A14" s="603"/>
      <c r="B14" s="787"/>
      <c r="C14" s="232" t="s">
        <v>10</v>
      </c>
      <c r="D14" s="233" t="s">
        <v>264</v>
      </c>
      <c r="E14" s="235"/>
      <c r="F14" s="235"/>
      <c r="G14" s="235"/>
      <c r="H14" s="235"/>
      <c r="I14" s="235">
        <v>6227</v>
      </c>
      <c r="J14" s="235">
        <v>14588</v>
      </c>
      <c r="K14" s="235">
        <f>457468</f>
        <v>457468</v>
      </c>
      <c r="L14" s="235">
        <v>57517</v>
      </c>
      <c r="M14" s="235">
        <f>60362</f>
        <v>60362</v>
      </c>
      <c r="N14" s="235">
        <v>56101</v>
      </c>
      <c r="O14" s="235">
        <f>59696</f>
        <v>59696</v>
      </c>
      <c r="P14" s="235">
        <f>60211</f>
        <v>60211</v>
      </c>
      <c r="Q14" s="235">
        <f>49860-602</f>
        <v>49258</v>
      </c>
      <c r="R14" s="235">
        <f>-79566+25315</f>
        <v>-54251</v>
      </c>
      <c r="S14" s="235">
        <f>-17980</f>
        <v>-17980</v>
      </c>
      <c r="T14" s="235">
        <f>-90242</f>
        <v>-90242</v>
      </c>
      <c r="U14" s="235">
        <f>-79281</f>
        <v>-79281</v>
      </c>
      <c r="V14" s="235">
        <f>-20929</f>
        <v>-20929</v>
      </c>
      <c r="W14" s="235"/>
      <c r="X14" s="235">
        <f>45553</f>
        <v>45553</v>
      </c>
      <c r="Y14" s="235">
        <f>-27125+56511</f>
        <v>29386</v>
      </c>
      <c r="Z14" s="235"/>
      <c r="AA14" s="235">
        <f>-74429+65184</f>
        <v>-9245</v>
      </c>
      <c r="AB14" s="235">
        <f>-133077</f>
        <v>-133077</v>
      </c>
      <c r="AC14" s="235">
        <f>-142961</f>
        <v>-142961</v>
      </c>
      <c r="AD14" s="235">
        <f>-131164</f>
        <v>-131164</v>
      </c>
      <c r="AE14" s="235">
        <f>-104987</f>
        <v>-104987</v>
      </c>
      <c r="AF14" s="235">
        <f>-138264</f>
        <v>-138264</v>
      </c>
      <c r="AG14" s="235">
        <f>IF(AE12&gt;0,-(SUM(Rentroll!$K$2:$K$4)+Rentroll!$N$2),0)-(SUM(AE23,AE37,AE63)-SUM(AE23,AE37,AE63)/1.21)+IF(AF12&gt;0,-(SUM(Rentroll!$K$2:$K$4)+Rentroll!$N$2),0)-(SUM(AF23,AF37,AF63)-SUM(AF23,AF37,AF63)/1.21)+IF(AG12&gt;0,-(SUM(Rentroll!$K$2:$K$4)+Rentroll!$N$2),0)-(SUM(AG23,AG37,AG63)-SUM(AG23,AG37,AG63)/1.21)</f>
        <v>63805.512052388774</v>
      </c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2"/>
      <c r="BY14" s="237">
        <f t="shared" si="0"/>
        <v>37791.512052388774</v>
      </c>
      <c r="BZ14" s="771"/>
    </row>
    <row r="15" spans="1:80">
      <c r="A15" s="603"/>
      <c r="B15" s="768"/>
      <c r="C15" s="238" t="s">
        <v>265</v>
      </c>
      <c r="D15" s="239" t="s">
        <v>264</v>
      </c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>
        <f>17343.33+17343.33+1835.52</f>
        <v>36522.18</v>
      </c>
      <c r="Q15" s="240">
        <f>9100000+2904+5142</f>
        <v>9108046</v>
      </c>
      <c r="R15" s="240">
        <f>2420</f>
        <v>2420</v>
      </c>
      <c r="S15" s="240"/>
      <c r="T15" s="240"/>
      <c r="U15" s="240"/>
      <c r="V15" s="240">
        <f>2420</f>
        <v>2420</v>
      </c>
      <c r="W15" s="240"/>
      <c r="X15" s="240">
        <f>11374</f>
        <v>11374</v>
      </c>
      <c r="Y15" s="240">
        <f>404.14+404.14</f>
        <v>808.28</v>
      </c>
      <c r="Z15" s="240"/>
      <c r="AA15" s="240"/>
      <c r="AB15" s="240">
        <f>13567</f>
        <v>13567</v>
      </c>
      <c r="AC15" s="240"/>
      <c r="AD15" s="240"/>
      <c r="AE15" s="240"/>
      <c r="AF15" s="240">
        <f>100435+17343/1.21</f>
        <v>114768.05785123968</v>
      </c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0"/>
      <c r="BK15" s="240"/>
      <c r="BL15" s="240"/>
      <c r="BM15" s="240"/>
      <c r="BN15" s="240"/>
      <c r="BO15" s="240"/>
      <c r="BP15" s="240"/>
      <c r="BQ15" s="240"/>
      <c r="BR15" s="240"/>
      <c r="BS15" s="240"/>
      <c r="BT15" s="240"/>
      <c r="BU15" s="240"/>
      <c r="BV15" s="240"/>
      <c r="BW15" s="240"/>
      <c r="BX15" s="238"/>
      <c r="BY15" s="241">
        <f t="shared" si="0"/>
        <v>9289925.5178512391</v>
      </c>
      <c r="BZ15" s="776"/>
    </row>
    <row r="16" spans="1:80" ht="17" thickBot="1">
      <c r="A16" s="603"/>
      <c r="B16" s="788" t="s">
        <v>266</v>
      </c>
      <c r="C16" s="774"/>
      <c r="D16" s="246"/>
      <c r="E16" s="247">
        <f t="shared" ref="E16:BX16" si="2">SUM(E5:E15)</f>
        <v>0</v>
      </c>
      <c r="F16" s="247">
        <f t="shared" si="2"/>
        <v>0</v>
      </c>
      <c r="G16" s="247">
        <f t="shared" si="2"/>
        <v>0</v>
      </c>
      <c r="H16" s="247">
        <f t="shared" si="2"/>
        <v>16365002</v>
      </c>
      <c r="I16" s="247">
        <f t="shared" si="2"/>
        <v>6227</v>
      </c>
      <c r="J16" s="247">
        <f t="shared" si="2"/>
        <v>14588</v>
      </c>
      <c r="K16" s="247">
        <f t="shared" si="2"/>
        <v>1342468</v>
      </c>
      <c r="L16" s="247">
        <f t="shared" si="2"/>
        <v>1997517</v>
      </c>
      <c r="M16" s="247">
        <f t="shared" si="2"/>
        <v>10818794.050000001</v>
      </c>
      <c r="N16" s="247">
        <f t="shared" si="2"/>
        <v>19993932.949999999</v>
      </c>
      <c r="O16" s="247">
        <f t="shared" si="2"/>
        <v>9791181.2300000004</v>
      </c>
      <c r="P16" s="247">
        <f t="shared" si="2"/>
        <v>12961756.68</v>
      </c>
      <c r="Q16" s="247">
        <f t="shared" si="2"/>
        <v>12086962.6</v>
      </c>
      <c r="R16" s="247">
        <f t="shared" si="2"/>
        <v>1712883.25</v>
      </c>
      <c r="S16" s="247">
        <f t="shared" si="2"/>
        <v>1260920.99</v>
      </c>
      <c r="T16" s="247">
        <f t="shared" si="2"/>
        <v>497984.26800000004</v>
      </c>
      <c r="U16" s="247">
        <f t="shared" si="2"/>
        <v>569445.26800000004</v>
      </c>
      <c r="V16" s="247">
        <f t="shared" si="2"/>
        <v>6641245.2680000002</v>
      </c>
      <c r="W16" s="247">
        <f t="shared" si="2"/>
        <v>7303738.7379999999</v>
      </c>
      <c r="X16" s="247">
        <f t="shared" si="2"/>
        <v>7311243.4079999998</v>
      </c>
      <c r="Y16" s="247">
        <f t="shared" si="2"/>
        <v>4917170.1579999998</v>
      </c>
      <c r="Z16" s="247">
        <f t="shared" si="2"/>
        <v>774705.29800000007</v>
      </c>
      <c r="AA16" s="247">
        <f t="shared" si="2"/>
        <v>4048203.2680000002</v>
      </c>
      <c r="AB16" s="247">
        <f t="shared" si="2"/>
        <v>1777623.9959999998</v>
      </c>
      <c r="AC16" s="247">
        <f t="shared" si="2"/>
        <v>1319386.8400000001</v>
      </c>
      <c r="AD16" s="247">
        <f t="shared" si="2"/>
        <v>2393595.54</v>
      </c>
      <c r="AE16" s="247">
        <f t="shared" si="2"/>
        <v>2545694.5640000002</v>
      </c>
      <c r="AF16" s="247">
        <f t="shared" si="2"/>
        <v>1119832.6098512395</v>
      </c>
      <c r="AG16" s="247">
        <f t="shared" si="2"/>
        <v>134291706.29776663</v>
      </c>
      <c r="AH16" s="247">
        <f t="shared" si="2"/>
        <v>0</v>
      </c>
      <c r="AI16" s="247">
        <f t="shared" si="2"/>
        <v>0</v>
      </c>
      <c r="AJ16" s="247">
        <f t="shared" si="2"/>
        <v>0</v>
      </c>
      <c r="AK16" s="247">
        <f t="shared" si="2"/>
        <v>0</v>
      </c>
      <c r="AL16" s="247">
        <f t="shared" si="2"/>
        <v>0</v>
      </c>
      <c r="AM16" s="247">
        <f t="shared" si="2"/>
        <v>0</v>
      </c>
      <c r="AN16" s="247">
        <f t="shared" si="2"/>
        <v>0</v>
      </c>
      <c r="AO16" s="247">
        <f t="shared" si="2"/>
        <v>0</v>
      </c>
      <c r="AP16" s="247">
        <f t="shared" si="2"/>
        <v>0</v>
      </c>
      <c r="AQ16" s="247">
        <f t="shared" si="2"/>
        <v>0</v>
      </c>
      <c r="AR16" s="247">
        <f t="shared" si="2"/>
        <v>0</v>
      </c>
      <c r="AS16" s="247">
        <f t="shared" si="2"/>
        <v>0</v>
      </c>
      <c r="AT16" s="247">
        <f t="shared" si="2"/>
        <v>0</v>
      </c>
      <c r="AU16" s="247">
        <f t="shared" si="2"/>
        <v>0</v>
      </c>
      <c r="AV16" s="247">
        <f t="shared" si="2"/>
        <v>0</v>
      </c>
      <c r="AW16" s="247">
        <f t="shared" si="2"/>
        <v>0</v>
      </c>
      <c r="AX16" s="247">
        <f t="shared" si="2"/>
        <v>0</v>
      </c>
      <c r="AY16" s="247">
        <f t="shared" si="2"/>
        <v>0</v>
      </c>
      <c r="AZ16" s="247">
        <f t="shared" si="2"/>
        <v>0</v>
      </c>
      <c r="BA16" s="247">
        <f t="shared" si="2"/>
        <v>0</v>
      </c>
      <c r="BB16" s="247">
        <f t="shared" si="2"/>
        <v>0</v>
      </c>
      <c r="BC16" s="247">
        <f t="shared" si="2"/>
        <v>0</v>
      </c>
      <c r="BD16" s="247">
        <f t="shared" si="2"/>
        <v>0</v>
      </c>
      <c r="BE16" s="247">
        <f t="shared" si="2"/>
        <v>0</v>
      </c>
      <c r="BF16" s="247">
        <f t="shared" si="2"/>
        <v>0</v>
      </c>
      <c r="BG16" s="247">
        <f t="shared" si="2"/>
        <v>0</v>
      </c>
      <c r="BH16" s="247">
        <f t="shared" si="2"/>
        <v>0</v>
      </c>
      <c r="BI16" s="247">
        <f t="shared" si="2"/>
        <v>0</v>
      </c>
      <c r="BJ16" s="247">
        <f t="shared" si="2"/>
        <v>0</v>
      </c>
      <c r="BK16" s="247">
        <f t="shared" si="2"/>
        <v>0</v>
      </c>
      <c r="BL16" s="247">
        <f t="shared" si="2"/>
        <v>0</v>
      </c>
      <c r="BM16" s="247">
        <f t="shared" si="2"/>
        <v>0</v>
      </c>
      <c r="BN16" s="247">
        <f t="shared" si="2"/>
        <v>0</v>
      </c>
      <c r="BO16" s="247">
        <f t="shared" si="2"/>
        <v>0</v>
      </c>
      <c r="BP16" s="247">
        <f t="shared" si="2"/>
        <v>0</v>
      </c>
      <c r="BQ16" s="247">
        <f t="shared" si="2"/>
        <v>0</v>
      </c>
      <c r="BR16" s="247">
        <f t="shared" si="2"/>
        <v>0</v>
      </c>
      <c r="BS16" s="247">
        <f t="shared" si="2"/>
        <v>0</v>
      </c>
      <c r="BT16" s="247">
        <f t="shared" si="2"/>
        <v>0</v>
      </c>
      <c r="BU16" s="247">
        <f t="shared" si="2"/>
        <v>0</v>
      </c>
      <c r="BV16" s="247">
        <f t="shared" si="2"/>
        <v>0</v>
      </c>
      <c r="BW16" s="247">
        <f t="shared" si="2"/>
        <v>0</v>
      </c>
      <c r="BX16" s="247">
        <f t="shared" si="2"/>
        <v>0</v>
      </c>
      <c r="BY16" s="778">
        <f>BZ5+BZ9+BZ12</f>
        <v>263863809.27161786</v>
      </c>
      <c r="BZ16" s="774"/>
      <c r="CB16" s="876"/>
    </row>
    <row r="17" spans="1:80" ht="16" collapsed="1">
      <c r="A17" s="603"/>
      <c r="B17" s="789" t="s">
        <v>267</v>
      </c>
      <c r="C17" s="248" t="s">
        <v>268</v>
      </c>
      <c r="D17" s="249"/>
      <c r="E17" s="250">
        <f t="shared" ref="E17:BY17" si="3">SUM(E18:E22)</f>
        <v>0</v>
      </c>
      <c r="F17" s="250">
        <f t="shared" si="3"/>
        <v>0</v>
      </c>
      <c r="G17" s="250">
        <f t="shared" si="3"/>
        <v>0</v>
      </c>
      <c r="H17" s="250">
        <f t="shared" si="3"/>
        <v>-10620712</v>
      </c>
      <c r="I17" s="250">
        <f t="shared" si="3"/>
        <v>0</v>
      </c>
      <c r="J17" s="250">
        <f t="shared" si="3"/>
        <v>-808333</v>
      </c>
      <c r="K17" s="250">
        <f t="shared" si="3"/>
        <v>0</v>
      </c>
      <c r="L17" s="250">
        <f t="shared" si="3"/>
        <v>0</v>
      </c>
      <c r="M17" s="250">
        <f t="shared" si="3"/>
        <v>0</v>
      </c>
      <c r="N17" s="250">
        <f t="shared" si="3"/>
        <v>0</v>
      </c>
      <c r="O17" s="250">
        <f t="shared" si="3"/>
        <v>0</v>
      </c>
      <c r="P17" s="250">
        <f t="shared" si="3"/>
        <v>0</v>
      </c>
      <c r="Q17" s="250">
        <f t="shared" si="3"/>
        <v>0</v>
      </c>
      <c r="R17" s="250">
        <f t="shared" si="3"/>
        <v>0</v>
      </c>
      <c r="S17" s="250">
        <f t="shared" si="3"/>
        <v>0</v>
      </c>
      <c r="T17" s="250">
        <f t="shared" si="3"/>
        <v>0</v>
      </c>
      <c r="U17" s="250">
        <f t="shared" si="3"/>
        <v>0</v>
      </c>
      <c r="V17" s="250">
        <f t="shared" si="3"/>
        <v>0</v>
      </c>
      <c r="W17" s="250">
        <f t="shared" si="3"/>
        <v>0</v>
      </c>
      <c r="X17" s="250">
        <f t="shared" si="3"/>
        <v>0</v>
      </c>
      <c r="Y17" s="250">
        <f t="shared" si="3"/>
        <v>0</v>
      </c>
      <c r="Z17" s="250">
        <f t="shared" si="3"/>
        <v>0</v>
      </c>
      <c r="AA17" s="250">
        <f t="shared" si="3"/>
        <v>0</v>
      </c>
      <c r="AB17" s="250">
        <f t="shared" si="3"/>
        <v>0</v>
      </c>
      <c r="AC17" s="250">
        <f t="shared" si="3"/>
        <v>0</v>
      </c>
      <c r="AD17" s="250">
        <f t="shared" si="3"/>
        <v>0</v>
      </c>
      <c r="AE17" s="250">
        <f t="shared" si="3"/>
        <v>0</v>
      </c>
      <c r="AF17" s="250">
        <f t="shared" si="3"/>
        <v>0</v>
      </c>
      <c r="AG17" s="250">
        <f t="shared" si="3"/>
        <v>0</v>
      </c>
      <c r="AH17" s="250">
        <f t="shared" si="3"/>
        <v>0</v>
      </c>
      <c r="AI17" s="250">
        <f t="shared" si="3"/>
        <v>0</v>
      </c>
      <c r="AJ17" s="250">
        <f t="shared" si="3"/>
        <v>0</v>
      </c>
      <c r="AK17" s="250">
        <f t="shared" si="3"/>
        <v>0</v>
      </c>
      <c r="AL17" s="250">
        <f t="shared" si="3"/>
        <v>0</v>
      </c>
      <c r="AM17" s="250">
        <f t="shared" si="3"/>
        <v>0</v>
      </c>
      <c r="AN17" s="250">
        <f t="shared" si="3"/>
        <v>0</v>
      </c>
      <c r="AO17" s="250">
        <f t="shared" si="3"/>
        <v>0</v>
      </c>
      <c r="AP17" s="250">
        <f t="shared" si="3"/>
        <v>0</v>
      </c>
      <c r="AQ17" s="250">
        <f t="shared" si="3"/>
        <v>0</v>
      </c>
      <c r="AR17" s="250">
        <f t="shared" si="3"/>
        <v>0</v>
      </c>
      <c r="AS17" s="250">
        <f t="shared" si="3"/>
        <v>0</v>
      </c>
      <c r="AT17" s="250">
        <f t="shared" si="3"/>
        <v>0</v>
      </c>
      <c r="AU17" s="250">
        <f t="shared" si="3"/>
        <v>0</v>
      </c>
      <c r="AV17" s="250">
        <f t="shared" si="3"/>
        <v>0</v>
      </c>
      <c r="AW17" s="250">
        <f t="shared" si="3"/>
        <v>0</v>
      </c>
      <c r="AX17" s="250">
        <f t="shared" si="3"/>
        <v>0</v>
      </c>
      <c r="AY17" s="250">
        <f t="shared" si="3"/>
        <v>0</v>
      </c>
      <c r="AZ17" s="250">
        <f t="shared" si="3"/>
        <v>0</v>
      </c>
      <c r="BA17" s="250">
        <f t="shared" si="3"/>
        <v>0</v>
      </c>
      <c r="BB17" s="250">
        <f t="shared" si="3"/>
        <v>0</v>
      </c>
      <c r="BC17" s="250">
        <f t="shared" si="3"/>
        <v>0</v>
      </c>
      <c r="BD17" s="250">
        <f t="shared" si="3"/>
        <v>0</v>
      </c>
      <c r="BE17" s="250">
        <f t="shared" si="3"/>
        <v>0</v>
      </c>
      <c r="BF17" s="250">
        <f t="shared" si="3"/>
        <v>0</v>
      </c>
      <c r="BG17" s="250">
        <f t="shared" si="3"/>
        <v>0</v>
      </c>
      <c r="BH17" s="250">
        <f t="shared" si="3"/>
        <v>0</v>
      </c>
      <c r="BI17" s="250">
        <f t="shared" si="3"/>
        <v>0</v>
      </c>
      <c r="BJ17" s="250">
        <f t="shared" si="3"/>
        <v>0</v>
      </c>
      <c r="BK17" s="250">
        <f t="shared" si="3"/>
        <v>0</v>
      </c>
      <c r="BL17" s="250">
        <f t="shared" si="3"/>
        <v>0</v>
      </c>
      <c r="BM17" s="250">
        <f t="shared" si="3"/>
        <v>0</v>
      </c>
      <c r="BN17" s="250">
        <f t="shared" si="3"/>
        <v>0</v>
      </c>
      <c r="BO17" s="250">
        <f t="shared" si="3"/>
        <v>0</v>
      </c>
      <c r="BP17" s="250">
        <f t="shared" si="3"/>
        <v>0</v>
      </c>
      <c r="BQ17" s="250">
        <f t="shared" si="3"/>
        <v>0</v>
      </c>
      <c r="BR17" s="250">
        <f t="shared" si="3"/>
        <v>0</v>
      </c>
      <c r="BS17" s="250">
        <f t="shared" si="3"/>
        <v>0</v>
      </c>
      <c r="BT17" s="250">
        <f t="shared" si="3"/>
        <v>0</v>
      </c>
      <c r="BU17" s="250">
        <f t="shared" si="3"/>
        <v>0</v>
      </c>
      <c r="BV17" s="250">
        <f t="shared" si="3"/>
        <v>0</v>
      </c>
      <c r="BW17" s="250">
        <f t="shared" si="3"/>
        <v>0</v>
      </c>
      <c r="BX17" s="250">
        <f t="shared" si="3"/>
        <v>0</v>
      </c>
      <c r="BY17" s="251">
        <f t="shared" si="3"/>
        <v>-11429045</v>
      </c>
      <c r="BZ17" s="777">
        <f>BY17+BY23+BY26+BY34+BY37+BY49+BY55+BY63+BY87</f>
        <v>-123711708.93297106</v>
      </c>
      <c r="CA17" s="226"/>
      <c r="CB17" s="876"/>
    </row>
    <row r="18" spans="1:80" hidden="1" outlineLevel="1">
      <c r="A18" s="603"/>
      <c r="B18" s="787"/>
      <c r="C18" s="253" t="s">
        <v>269</v>
      </c>
      <c r="D18" s="254" t="s">
        <v>270</v>
      </c>
      <c r="E18" s="255"/>
      <c r="F18" s="255"/>
      <c r="G18" s="255"/>
      <c r="H18" s="256">
        <f>-8458812-2161900</f>
        <v>-10620712</v>
      </c>
      <c r="I18" s="256"/>
      <c r="J18" s="256">
        <f>-657296-151037</f>
        <v>-808333</v>
      </c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7">
        <f t="shared" ref="BY18:BY22" si="4">SUM(E18:BX18)</f>
        <v>-11429045</v>
      </c>
      <c r="BZ18" s="771"/>
      <c r="CA18" s="226"/>
      <c r="CB18" s="876"/>
    </row>
    <row r="19" spans="1:80" hidden="1" outlineLevel="1">
      <c r="A19" s="603"/>
      <c r="B19" s="787"/>
      <c r="C19" s="253" t="s">
        <v>271</v>
      </c>
      <c r="D19" s="254" t="s">
        <v>270</v>
      </c>
      <c r="E19" s="255"/>
      <c r="F19" s="255"/>
      <c r="G19" s="255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7">
        <f t="shared" si="4"/>
        <v>0</v>
      </c>
      <c r="BZ19" s="771"/>
      <c r="CA19" s="226"/>
      <c r="CB19" s="876"/>
    </row>
    <row r="20" spans="1:80" hidden="1" outlineLevel="1">
      <c r="A20" s="603"/>
      <c r="B20" s="787"/>
      <c r="C20" s="253" t="s">
        <v>272</v>
      </c>
      <c r="D20" s="254" t="s">
        <v>270</v>
      </c>
      <c r="E20" s="255"/>
      <c r="F20" s="255"/>
      <c r="G20" s="255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7">
        <f t="shared" si="4"/>
        <v>0</v>
      </c>
      <c r="BZ20" s="771"/>
      <c r="CA20" s="226"/>
      <c r="CB20" s="876"/>
    </row>
    <row r="21" spans="1:80" hidden="1" outlineLevel="1">
      <c r="A21" s="603"/>
      <c r="B21" s="787"/>
      <c r="C21" s="253" t="s">
        <v>273</v>
      </c>
      <c r="D21" s="254" t="s">
        <v>270</v>
      </c>
      <c r="E21" s="255"/>
      <c r="F21" s="255"/>
      <c r="G21" s="255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7">
        <f t="shared" si="4"/>
        <v>0</v>
      </c>
      <c r="BZ21" s="771"/>
      <c r="CA21" s="226"/>
      <c r="CB21" s="876"/>
    </row>
    <row r="22" spans="1:80" hidden="1" outlineLevel="1">
      <c r="A22" s="603"/>
      <c r="B22" s="787"/>
      <c r="C22" s="253" t="s">
        <v>274</v>
      </c>
      <c r="D22" s="258" t="s">
        <v>270</v>
      </c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7">
        <f t="shared" si="4"/>
        <v>0</v>
      </c>
      <c r="BZ22" s="771"/>
      <c r="CA22" s="226"/>
      <c r="CB22" s="876"/>
    </row>
    <row r="23" spans="1:80" ht="16">
      <c r="A23" s="603"/>
      <c r="B23" s="787"/>
      <c r="C23" s="248" t="s">
        <v>275</v>
      </c>
      <c r="D23" s="249"/>
      <c r="E23" s="250">
        <f t="shared" ref="E23:BY23" si="5">SUM(E24:E25)</f>
        <v>0</v>
      </c>
      <c r="F23" s="250">
        <f t="shared" si="5"/>
        <v>0</v>
      </c>
      <c r="G23" s="250">
        <f t="shared" si="5"/>
        <v>0</v>
      </c>
      <c r="H23" s="250">
        <f t="shared" si="5"/>
        <v>0</v>
      </c>
      <c r="I23" s="250">
        <f t="shared" si="5"/>
        <v>-366025</v>
      </c>
      <c r="J23" s="250">
        <f t="shared" si="5"/>
        <v>0</v>
      </c>
      <c r="K23" s="250">
        <f t="shared" si="5"/>
        <v>0</v>
      </c>
      <c r="L23" s="250">
        <f t="shared" si="5"/>
        <v>-15913.92</v>
      </c>
      <c r="M23" s="250">
        <f t="shared" si="5"/>
        <v>0</v>
      </c>
      <c r="N23" s="250">
        <f t="shared" si="5"/>
        <v>0</v>
      </c>
      <c r="O23" s="250">
        <f t="shared" si="5"/>
        <v>0</v>
      </c>
      <c r="P23" s="250">
        <f t="shared" si="5"/>
        <v>0</v>
      </c>
      <c r="Q23" s="250">
        <f t="shared" si="5"/>
        <v>-36051</v>
      </c>
      <c r="R23" s="250">
        <f t="shared" si="5"/>
        <v>-314600</v>
      </c>
      <c r="S23" s="250">
        <f t="shared" si="5"/>
        <v>0</v>
      </c>
      <c r="T23" s="250">
        <f t="shared" si="5"/>
        <v>0</v>
      </c>
      <c r="U23" s="250">
        <f t="shared" si="5"/>
        <v>-471900</v>
      </c>
      <c r="V23" s="250">
        <f t="shared" si="5"/>
        <v>0</v>
      </c>
      <c r="W23" s="250">
        <f t="shared" si="5"/>
        <v>0</v>
      </c>
      <c r="X23" s="250">
        <f t="shared" si="5"/>
        <v>0</v>
      </c>
      <c r="Y23" s="250">
        <f t="shared" si="5"/>
        <v>0</v>
      </c>
      <c r="Z23" s="250">
        <f t="shared" si="5"/>
        <v>0</v>
      </c>
      <c r="AA23" s="250">
        <f t="shared" si="5"/>
        <v>-103999.5</v>
      </c>
      <c r="AB23" s="250">
        <f t="shared" si="5"/>
        <v>0</v>
      </c>
      <c r="AC23" s="250">
        <f t="shared" si="5"/>
        <v>0</v>
      </c>
      <c r="AD23" s="250">
        <f t="shared" si="5"/>
        <v>0</v>
      </c>
      <c r="AE23" s="250">
        <f t="shared" si="5"/>
        <v>0</v>
      </c>
      <c r="AF23" s="250">
        <f t="shared" si="5"/>
        <v>0</v>
      </c>
      <c r="AG23" s="250">
        <f t="shared" si="5"/>
        <v>0</v>
      </c>
      <c r="AH23" s="250">
        <f t="shared" si="5"/>
        <v>0</v>
      </c>
      <c r="AI23" s="250">
        <f t="shared" si="5"/>
        <v>0</v>
      </c>
      <c r="AJ23" s="250">
        <f t="shared" si="5"/>
        <v>0</v>
      </c>
      <c r="AK23" s="250">
        <f t="shared" si="5"/>
        <v>0</v>
      </c>
      <c r="AL23" s="250">
        <f t="shared" si="5"/>
        <v>0</v>
      </c>
      <c r="AM23" s="250">
        <f t="shared" si="5"/>
        <v>0</v>
      </c>
      <c r="AN23" s="250">
        <f t="shared" si="5"/>
        <v>0</v>
      </c>
      <c r="AO23" s="250">
        <f t="shared" si="5"/>
        <v>0</v>
      </c>
      <c r="AP23" s="250">
        <f t="shared" si="5"/>
        <v>0</v>
      </c>
      <c r="AQ23" s="250">
        <f t="shared" si="5"/>
        <v>0</v>
      </c>
      <c r="AR23" s="250">
        <f t="shared" si="5"/>
        <v>0</v>
      </c>
      <c r="AS23" s="250">
        <f t="shared" si="5"/>
        <v>0</v>
      </c>
      <c r="AT23" s="250">
        <f t="shared" si="5"/>
        <v>0</v>
      </c>
      <c r="AU23" s="250">
        <f t="shared" si="5"/>
        <v>0</v>
      </c>
      <c r="AV23" s="250">
        <f t="shared" si="5"/>
        <v>0</v>
      </c>
      <c r="AW23" s="250">
        <f t="shared" si="5"/>
        <v>0</v>
      </c>
      <c r="AX23" s="250">
        <f t="shared" si="5"/>
        <v>0</v>
      </c>
      <c r="AY23" s="250">
        <f t="shared" si="5"/>
        <v>0</v>
      </c>
      <c r="AZ23" s="250">
        <f t="shared" si="5"/>
        <v>0</v>
      </c>
      <c r="BA23" s="250">
        <f t="shared" si="5"/>
        <v>0</v>
      </c>
      <c r="BB23" s="250">
        <f t="shared" si="5"/>
        <v>0</v>
      </c>
      <c r="BC23" s="250">
        <f t="shared" si="5"/>
        <v>0</v>
      </c>
      <c r="BD23" s="250">
        <f t="shared" si="5"/>
        <v>0</v>
      </c>
      <c r="BE23" s="250">
        <f t="shared" si="5"/>
        <v>0</v>
      </c>
      <c r="BF23" s="250">
        <f t="shared" si="5"/>
        <v>0</v>
      </c>
      <c r="BG23" s="250">
        <f t="shared" si="5"/>
        <v>0</v>
      </c>
      <c r="BH23" s="250">
        <f t="shared" si="5"/>
        <v>0</v>
      </c>
      <c r="BI23" s="250">
        <f t="shared" si="5"/>
        <v>0</v>
      </c>
      <c r="BJ23" s="250">
        <f t="shared" si="5"/>
        <v>0</v>
      </c>
      <c r="BK23" s="250">
        <f t="shared" si="5"/>
        <v>0</v>
      </c>
      <c r="BL23" s="250">
        <f t="shared" si="5"/>
        <v>0</v>
      </c>
      <c r="BM23" s="250">
        <f t="shared" si="5"/>
        <v>0</v>
      </c>
      <c r="BN23" s="250">
        <f t="shared" si="5"/>
        <v>0</v>
      </c>
      <c r="BO23" s="250">
        <f t="shared" si="5"/>
        <v>0</v>
      </c>
      <c r="BP23" s="250">
        <f t="shared" si="5"/>
        <v>0</v>
      </c>
      <c r="BQ23" s="250">
        <f t="shared" si="5"/>
        <v>0</v>
      </c>
      <c r="BR23" s="250">
        <f t="shared" si="5"/>
        <v>0</v>
      </c>
      <c r="BS23" s="250">
        <f t="shared" si="5"/>
        <v>0</v>
      </c>
      <c r="BT23" s="250">
        <f t="shared" si="5"/>
        <v>0</v>
      </c>
      <c r="BU23" s="250">
        <f t="shared" si="5"/>
        <v>0</v>
      </c>
      <c r="BV23" s="250">
        <f t="shared" si="5"/>
        <v>0</v>
      </c>
      <c r="BW23" s="250">
        <f t="shared" si="5"/>
        <v>0</v>
      </c>
      <c r="BX23" s="250">
        <f t="shared" si="5"/>
        <v>0</v>
      </c>
      <c r="BY23" s="251">
        <f t="shared" si="5"/>
        <v>-1308489.42</v>
      </c>
      <c r="BZ23" s="771"/>
      <c r="CA23" s="226"/>
      <c r="CB23" s="876">
        <f>BY5</f>
        <v>16365002</v>
      </c>
    </row>
    <row r="24" spans="1:80" outlineLevel="1">
      <c r="A24" s="603"/>
      <c r="B24" s="787"/>
      <c r="C24" s="253" t="s">
        <v>276</v>
      </c>
      <c r="D24" s="258" t="s">
        <v>270</v>
      </c>
      <c r="E24" s="259"/>
      <c r="F24" s="259"/>
      <c r="G24" s="259"/>
      <c r="H24" s="260"/>
      <c r="I24" s="260">
        <f>-302500*1.21</f>
        <v>-366025</v>
      </c>
      <c r="J24" s="260"/>
      <c r="K24" s="260"/>
      <c r="L24" s="260">
        <f>-15913.92</f>
        <v>-15913.92</v>
      </c>
      <c r="M24" s="260"/>
      <c r="N24" s="260"/>
      <c r="O24" s="260"/>
      <c r="P24" s="260"/>
      <c r="Q24" s="260">
        <f>-36051</f>
        <v>-36051</v>
      </c>
      <c r="R24" s="260">
        <f>-314600</f>
        <v>-314600</v>
      </c>
      <c r="S24" s="260"/>
      <c r="T24" s="260"/>
      <c r="U24" s="335">
        <f>-390000*1.21</f>
        <v>-471900</v>
      </c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61">
        <f t="shared" ref="BY24:BY25" si="6">SUM(E24:BX24)</f>
        <v>-1204489.92</v>
      </c>
      <c r="BZ24" s="771"/>
      <c r="CA24" s="226"/>
      <c r="CB24" s="876">
        <f>0.11</f>
        <v>0.11</v>
      </c>
    </row>
    <row r="25" spans="1:80" outlineLevel="1">
      <c r="A25" s="603"/>
      <c r="B25" s="787"/>
      <c r="C25" s="253" t="s">
        <v>277</v>
      </c>
      <c r="D25" s="258" t="s">
        <v>270</v>
      </c>
      <c r="E25" s="259"/>
      <c r="F25" s="259"/>
      <c r="G25" s="259"/>
      <c r="H25" s="260"/>
      <c r="I25" s="260"/>
      <c r="J25" s="260"/>
      <c r="K25" s="260"/>
      <c r="L25" s="260"/>
      <c r="M25" s="260"/>
      <c r="N25" s="260"/>
      <c r="O25" s="260"/>
      <c r="P25" s="260"/>
      <c r="Q25" s="260"/>
      <c r="R25" s="260"/>
      <c r="S25" s="260"/>
      <c r="T25" s="260"/>
      <c r="U25" s="259"/>
      <c r="V25" s="260"/>
      <c r="W25" s="260"/>
      <c r="X25" s="260"/>
      <c r="Y25" s="260"/>
      <c r="Z25" s="260"/>
      <c r="AA25" s="260">
        <f>-Businessplan_prodej!$F$22*1.21</f>
        <v>-103999.5</v>
      </c>
      <c r="AB25" s="260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61">
        <f t="shared" si="6"/>
        <v>-103999.5</v>
      </c>
      <c r="BZ25" s="771"/>
      <c r="CA25" s="226"/>
      <c r="CB25" s="876">
        <v>45597</v>
      </c>
    </row>
    <row r="26" spans="1:80" ht="16">
      <c r="A26" s="603"/>
      <c r="B26" s="787"/>
      <c r="C26" s="248" t="s">
        <v>278</v>
      </c>
      <c r="D26" s="249"/>
      <c r="E26" s="250">
        <f t="shared" ref="E26:BX26" si="7">SUM(E27:E33)</f>
        <v>0</v>
      </c>
      <c r="F26" s="250">
        <f t="shared" si="7"/>
        <v>0</v>
      </c>
      <c r="G26" s="250">
        <f t="shared" si="7"/>
        <v>0</v>
      </c>
      <c r="H26" s="250">
        <f t="shared" si="7"/>
        <v>-2420</v>
      </c>
      <c r="I26" s="250">
        <f t="shared" si="7"/>
        <v>-1081909</v>
      </c>
      <c r="J26" s="250">
        <f t="shared" si="7"/>
        <v>0</v>
      </c>
      <c r="K26" s="250">
        <f t="shared" si="7"/>
        <v>0</v>
      </c>
      <c r="L26" s="250">
        <f t="shared" si="7"/>
        <v>-4688041</v>
      </c>
      <c r="M26" s="250">
        <f t="shared" si="7"/>
        <v>-10044501.530000001</v>
      </c>
      <c r="N26" s="250">
        <f t="shared" si="7"/>
        <v>-19919080.57</v>
      </c>
      <c r="O26" s="250">
        <f t="shared" si="7"/>
        <v>-9000862.4199999999</v>
      </c>
      <c r="P26" s="250">
        <f t="shared" si="7"/>
        <v>-12065344.113</v>
      </c>
      <c r="Q26" s="250">
        <f t="shared" si="7"/>
        <v>-2929659.3669999987</v>
      </c>
      <c r="R26" s="250">
        <f t="shared" si="7"/>
        <v>-1499970</v>
      </c>
      <c r="S26" s="250">
        <f t="shared" si="7"/>
        <v>0</v>
      </c>
      <c r="T26" s="250">
        <f t="shared" si="7"/>
        <v>0</v>
      </c>
      <c r="U26" s="250">
        <f t="shared" si="7"/>
        <v>0</v>
      </c>
      <c r="V26" s="250">
        <f t="shared" si="7"/>
        <v>-6300000</v>
      </c>
      <c r="W26" s="250">
        <f t="shared" si="7"/>
        <v>-6300000</v>
      </c>
      <c r="X26" s="250">
        <f t="shared" si="7"/>
        <v>-6300000</v>
      </c>
      <c r="Y26" s="250">
        <f t="shared" si="7"/>
        <v>-4087324.58</v>
      </c>
      <c r="Z26" s="250">
        <f t="shared" si="7"/>
        <v>0</v>
      </c>
      <c r="AA26" s="250">
        <f t="shared" si="7"/>
        <v>-2838670</v>
      </c>
      <c r="AB26" s="250">
        <f t="shared" si="7"/>
        <v>0</v>
      </c>
      <c r="AC26" s="250">
        <f t="shared" si="7"/>
        <v>-50</v>
      </c>
      <c r="AD26" s="250">
        <f t="shared" si="7"/>
        <v>-1400000</v>
      </c>
      <c r="AE26" s="250">
        <f t="shared" si="7"/>
        <v>-1400000</v>
      </c>
      <c r="AF26" s="250">
        <f t="shared" si="7"/>
        <v>0</v>
      </c>
      <c r="AG26" s="250">
        <f t="shared" si="7"/>
        <v>0</v>
      </c>
      <c r="AH26" s="250">
        <f t="shared" si="7"/>
        <v>0</v>
      </c>
      <c r="AI26" s="250">
        <f t="shared" si="7"/>
        <v>0</v>
      </c>
      <c r="AJ26" s="250">
        <f t="shared" si="7"/>
        <v>0</v>
      </c>
      <c r="AK26" s="250">
        <f t="shared" si="7"/>
        <v>0</v>
      </c>
      <c r="AL26" s="250">
        <f t="shared" si="7"/>
        <v>0</v>
      </c>
      <c r="AM26" s="250">
        <f t="shared" si="7"/>
        <v>0</v>
      </c>
      <c r="AN26" s="250">
        <f t="shared" si="7"/>
        <v>0</v>
      </c>
      <c r="AO26" s="250">
        <f t="shared" si="7"/>
        <v>0</v>
      </c>
      <c r="AP26" s="250">
        <f t="shared" si="7"/>
        <v>0</v>
      </c>
      <c r="AQ26" s="250">
        <f t="shared" si="7"/>
        <v>0</v>
      </c>
      <c r="AR26" s="250">
        <f t="shared" si="7"/>
        <v>0</v>
      </c>
      <c r="AS26" s="250">
        <f t="shared" si="7"/>
        <v>0</v>
      </c>
      <c r="AT26" s="250">
        <f t="shared" si="7"/>
        <v>0</v>
      </c>
      <c r="AU26" s="250">
        <f t="shared" si="7"/>
        <v>0</v>
      </c>
      <c r="AV26" s="250">
        <f t="shared" si="7"/>
        <v>0</v>
      </c>
      <c r="AW26" s="250">
        <f t="shared" si="7"/>
        <v>0</v>
      </c>
      <c r="AX26" s="250">
        <f t="shared" si="7"/>
        <v>0</v>
      </c>
      <c r="AY26" s="250">
        <f t="shared" si="7"/>
        <v>0</v>
      </c>
      <c r="AZ26" s="250">
        <f t="shared" si="7"/>
        <v>0</v>
      </c>
      <c r="BA26" s="250">
        <f t="shared" si="7"/>
        <v>0</v>
      </c>
      <c r="BB26" s="250">
        <f t="shared" si="7"/>
        <v>0</v>
      </c>
      <c r="BC26" s="250">
        <f t="shared" si="7"/>
        <v>0</v>
      </c>
      <c r="BD26" s="250">
        <f t="shared" si="7"/>
        <v>0</v>
      </c>
      <c r="BE26" s="250">
        <f t="shared" si="7"/>
        <v>0</v>
      </c>
      <c r="BF26" s="250">
        <f t="shared" si="7"/>
        <v>0</v>
      </c>
      <c r="BG26" s="250">
        <f t="shared" si="7"/>
        <v>0</v>
      </c>
      <c r="BH26" s="250">
        <f t="shared" si="7"/>
        <v>0</v>
      </c>
      <c r="BI26" s="250">
        <f t="shared" si="7"/>
        <v>0</v>
      </c>
      <c r="BJ26" s="250">
        <f t="shared" si="7"/>
        <v>0</v>
      </c>
      <c r="BK26" s="250">
        <f t="shared" si="7"/>
        <v>0</v>
      </c>
      <c r="BL26" s="250">
        <f t="shared" si="7"/>
        <v>0</v>
      </c>
      <c r="BM26" s="250">
        <f t="shared" si="7"/>
        <v>0</v>
      </c>
      <c r="BN26" s="250">
        <f t="shared" si="7"/>
        <v>0</v>
      </c>
      <c r="BO26" s="250">
        <f t="shared" si="7"/>
        <v>0</v>
      </c>
      <c r="BP26" s="250">
        <f t="shared" si="7"/>
        <v>0</v>
      </c>
      <c r="BQ26" s="250">
        <f t="shared" si="7"/>
        <v>0</v>
      </c>
      <c r="BR26" s="250">
        <f t="shared" si="7"/>
        <v>0</v>
      </c>
      <c r="BS26" s="250">
        <f t="shared" si="7"/>
        <v>0</v>
      </c>
      <c r="BT26" s="250">
        <f t="shared" si="7"/>
        <v>0</v>
      </c>
      <c r="BU26" s="250">
        <f t="shared" si="7"/>
        <v>0</v>
      </c>
      <c r="BV26" s="250">
        <f t="shared" si="7"/>
        <v>0</v>
      </c>
      <c r="BW26" s="250">
        <f t="shared" si="7"/>
        <v>0</v>
      </c>
      <c r="BX26" s="250">
        <f t="shared" si="7"/>
        <v>0</v>
      </c>
      <c r="BY26" s="252">
        <f>SUM(BY27:BY33)</f>
        <v>-89857832.579999998</v>
      </c>
      <c r="BZ26" s="771"/>
      <c r="CA26" s="226"/>
      <c r="CB26" s="876">
        <v>46147</v>
      </c>
    </row>
    <row r="27" spans="1:80" outlineLevel="1">
      <c r="A27" s="603"/>
      <c r="B27" s="787"/>
      <c r="C27" s="253" t="s">
        <v>279</v>
      </c>
      <c r="D27" s="254" t="s">
        <v>270</v>
      </c>
      <c r="E27" s="255"/>
      <c r="F27" s="255"/>
      <c r="G27" s="255"/>
      <c r="H27" s="256"/>
      <c r="I27" s="256"/>
      <c r="J27" s="256"/>
      <c r="K27" s="256"/>
      <c r="L27" s="256">
        <f>-4688041</f>
        <v>-4688041</v>
      </c>
      <c r="M27" s="256">
        <f>-3615000-6429501.53</f>
        <v>-10044501.530000001</v>
      </c>
      <c r="N27" s="256">
        <f>-19909473.57</f>
        <v>-19909473.57</v>
      </c>
      <c r="O27" s="256">
        <f>-8977222.42</f>
        <v>-8977222.4199999999</v>
      </c>
      <c r="P27" s="256">
        <f>-10127350.57*0.9-2929658.6</f>
        <v>-12044274.113</v>
      </c>
      <c r="Q27" s="256">
        <f>-(58593172+SUM($L$27:P27))</f>
        <v>-2929659.3669999987</v>
      </c>
      <c r="R27" s="256">
        <f>-1499970</f>
        <v>-1499970</v>
      </c>
      <c r="S27" s="256"/>
      <c r="T27" s="256"/>
      <c r="U27" s="256"/>
      <c r="V27" s="256">
        <f>-(Businessplan_prodej!$F$31+Businessplan_prodej!$F$49)*0.25*0.9</f>
        <v>-6300000</v>
      </c>
      <c r="W27" s="256">
        <f>-(Businessplan_prodej!$F$31+Businessplan_prodej!$F$49)*0.25*0.9</f>
        <v>-6300000</v>
      </c>
      <c r="X27" s="256">
        <f>-(Businessplan_prodej!$F$31+Businessplan_prodej!$F$49)*0.25*0.9</f>
        <v>-6300000</v>
      </c>
      <c r="Y27" s="256">
        <f>-(Businessplan_prodej!$F$31+Businessplan_prodej!$F$49)*0.15*0.9</f>
        <v>-3780000</v>
      </c>
      <c r="Z27" s="256"/>
      <c r="AA27" s="269">
        <f>-2520000</f>
        <v>-2520000</v>
      </c>
      <c r="AB27" s="255"/>
      <c r="AC27" s="255"/>
      <c r="AD27" s="255">
        <f>-1400000</f>
        <v>-1400000</v>
      </c>
      <c r="AE27" s="255">
        <f>-1400000</f>
        <v>-1400000</v>
      </c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64"/>
      <c r="BY27" s="265">
        <f t="shared" ref="BY27:BY33" si="8">SUM(E27:BX27)</f>
        <v>-88093142</v>
      </c>
      <c r="BZ27" s="771"/>
      <c r="CA27" s="226"/>
      <c r="CB27" s="876">
        <f>CB26-CB25</f>
        <v>550</v>
      </c>
    </row>
    <row r="28" spans="1:80" outlineLevel="1">
      <c r="A28" s="603"/>
      <c r="B28" s="787"/>
      <c r="C28" s="253" t="s">
        <v>280</v>
      </c>
      <c r="D28" s="254" t="s">
        <v>270</v>
      </c>
      <c r="E28" s="255"/>
      <c r="F28" s="255"/>
      <c r="G28" s="255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64"/>
      <c r="BY28" s="266">
        <f t="shared" si="8"/>
        <v>0</v>
      </c>
      <c r="BZ28" s="771"/>
      <c r="CA28" s="226"/>
      <c r="CB28" s="876"/>
    </row>
    <row r="29" spans="1:80" outlineLevel="1">
      <c r="A29" s="603"/>
      <c r="B29" s="787"/>
      <c r="C29" s="253" t="s">
        <v>281</v>
      </c>
      <c r="D29" s="254" t="s">
        <v>270</v>
      </c>
      <c r="E29" s="255"/>
      <c r="F29" s="255"/>
      <c r="G29" s="255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5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64"/>
      <c r="BY29" s="266">
        <f t="shared" si="8"/>
        <v>0</v>
      </c>
      <c r="BZ29" s="771"/>
      <c r="CA29" s="226"/>
      <c r="CB29" s="876"/>
    </row>
    <row r="30" spans="1:80" outlineLevel="1">
      <c r="A30" s="603"/>
      <c r="B30" s="787"/>
      <c r="C30" s="253" t="s">
        <v>282</v>
      </c>
      <c r="D30" s="254" t="s">
        <v>270</v>
      </c>
      <c r="E30" s="255"/>
      <c r="F30" s="255"/>
      <c r="G30" s="255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6"/>
      <c r="V30" s="256"/>
      <c r="W30" s="256"/>
      <c r="X30" s="256"/>
      <c r="Y30" s="256">
        <f>-305500-1824.58</f>
        <v>-307324.58</v>
      </c>
      <c r="Z30" s="255"/>
      <c r="AA30" s="255">
        <f>-315810-1800-1060</f>
        <v>-318670</v>
      </c>
      <c r="AB30" s="255"/>
      <c r="AC30" s="255"/>
      <c r="AD30" s="255"/>
      <c r="AE30" s="255"/>
      <c r="AF30" s="255"/>
      <c r="AG30" s="255"/>
      <c r="AH30" s="255"/>
      <c r="AI30" s="255"/>
      <c r="AJ30" s="255"/>
      <c r="AK30" s="255"/>
      <c r="AL30" s="255"/>
      <c r="AM30" s="255"/>
      <c r="AN30" s="255"/>
      <c r="AO30" s="255"/>
      <c r="AP30" s="255"/>
      <c r="AQ30" s="255"/>
      <c r="AR30" s="255"/>
      <c r="AS30" s="255"/>
      <c r="AT30" s="255"/>
      <c r="AU30" s="255"/>
      <c r="AV30" s="255"/>
      <c r="AW30" s="255"/>
      <c r="AX30" s="255"/>
      <c r="AY30" s="255"/>
      <c r="AZ30" s="255"/>
      <c r="BA30" s="255"/>
      <c r="BB30" s="255"/>
      <c r="BC30" s="255"/>
      <c r="BD30" s="255"/>
      <c r="BE30" s="255"/>
      <c r="BF30" s="255"/>
      <c r="BG30" s="255"/>
      <c r="BH30" s="255"/>
      <c r="BI30" s="255"/>
      <c r="BJ30" s="255"/>
      <c r="BK30" s="255"/>
      <c r="BL30" s="255"/>
      <c r="BM30" s="255"/>
      <c r="BN30" s="255"/>
      <c r="BO30" s="255"/>
      <c r="BP30" s="255"/>
      <c r="BQ30" s="255"/>
      <c r="BR30" s="255"/>
      <c r="BS30" s="255"/>
      <c r="BT30" s="255"/>
      <c r="BU30" s="255"/>
      <c r="BV30" s="255"/>
      <c r="BW30" s="255"/>
      <c r="BX30" s="264"/>
      <c r="BY30" s="266">
        <f t="shared" si="8"/>
        <v>-625994.58000000007</v>
      </c>
      <c r="BZ30" s="771"/>
      <c r="CA30" s="226"/>
      <c r="CB30" s="876"/>
    </row>
    <row r="31" spans="1:80" outlineLevel="1">
      <c r="A31" s="603"/>
      <c r="B31" s="787"/>
      <c r="C31" s="253" t="s">
        <v>283</v>
      </c>
      <c r="D31" s="254" t="s">
        <v>270</v>
      </c>
      <c r="E31" s="255"/>
      <c r="F31" s="255"/>
      <c r="G31" s="255"/>
      <c r="H31" s="256">
        <f>-2420</f>
        <v>-2420</v>
      </c>
      <c r="I31" s="256"/>
      <c r="J31" s="256"/>
      <c r="K31" s="256"/>
      <c r="L31" s="256"/>
      <c r="M31" s="256"/>
      <c r="N31" s="256">
        <f>-500-9107</f>
        <v>-9607</v>
      </c>
      <c r="O31" s="256">
        <f>-18750-2420-2470</f>
        <v>-23640</v>
      </c>
      <c r="P31" s="256">
        <f>-500-20570</f>
        <v>-21070</v>
      </c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5"/>
      <c r="AC31" s="255"/>
      <c r="AD31" s="255"/>
      <c r="AE31" s="255"/>
      <c r="AF31" s="255"/>
      <c r="AG31" s="255"/>
      <c r="AH31" s="255"/>
      <c r="AI31" s="255"/>
      <c r="AJ31" s="255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55"/>
      <c r="AV31" s="255"/>
      <c r="AW31" s="255"/>
      <c r="AX31" s="255"/>
      <c r="AY31" s="255"/>
      <c r="AZ31" s="255"/>
      <c r="BA31" s="255"/>
      <c r="BB31" s="255"/>
      <c r="BC31" s="255"/>
      <c r="BD31" s="255"/>
      <c r="BE31" s="255"/>
      <c r="BF31" s="255"/>
      <c r="BG31" s="255"/>
      <c r="BH31" s="255"/>
      <c r="BI31" s="255"/>
      <c r="BJ31" s="255"/>
      <c r="BK31" s="255"/>
      <c r="BL31" s="255"/>
      <c r="BM31" s="255"/>
      <c r="BN31" s="255"/>
      <c r="BO31" s="255"/>
      <c r="BP31" s="255"/>
      <c r="BQ31" s="255"/>
      <c r="BR31" s="255"/>
      <c r="BS31" s="255"/>
      <c r="BT31" s="255"/>
      <c r="BU31" s="255"/>
      <c r="BV31" s="255"/>
      <c r="BW31" s="255"/>
      <c r="BX31" s="264"/>
      <c r="BY31" s="266">
        <f t="shared" si="8"/>
        <v>-56737</v>
      </c>
      <c r="BZ31" s="771"/>
      <c r="CA31" s="226"/>
      <c r="CB31" s="876"/>
    </row>
    <row r="32" spans="1:80" outlineLevel="1">
      <c r="A32" s="603"/>
      <c r="B32" s="787"/>
      <c r="C32" s="267" t="s">
        <v>284</v>
      </c>
      <c r="D32" s="254" t="s">
        <v>270</v>
      </c>
      <c r="E32" s="255"/>
      <c r="F32" s="255"/>
      <c r="G32" s="255"/>
      <c r="H32" s="256"/>
      <c r="I32" s="256">
        <f>-1081909</f>
        <v>-1081909</v>
      </c>
      <c r="J32" s="256"/>
      <c r="K32" s="256"/>
      <c r="L32" s="256"/>
      <c r="M32" s="256"/>
      <c r="N32" s="256"/>
      <c r="O32" s="256"/>
      <c r="P32" s="256"/>
      <c r="Q32" s="256"/>
      <c r="R32" s="256"/>
      <c r="S32" s="256"/>
      <c r="T32" s="256"/>
      <c r="U32" s="256"/>
      <c r="V32" s="256"/>
      <c r="W32" s="256"/>
      <c r="X32" s="256"/>
      <c r="Y32" s="256"/>
      <c r="Z32" s="255"/>
      <c r="AA32" s="255"/>
      <c r="AB32" s="255"/>
      <c r="AC32" s="255">
        <f>-50</f>
        <v>-50</v>
      </c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255"/>
      <c r="AQ32" s="255"/>
      <c r="AR32" s="255"/>
      <c r="AS32" s="255"/>
      <c r="AT32" s="255"/>
      <c r="AU32" s="255"/>
      <c r="AV32" s="255"/>
      <c r="AW32" s="255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64"/>
      <c r="BY32" s="266">
        <f t="shared" si="8"/>
        <v>-1081959</v>
      </c>
      <c r="BZ32" s="771"/>
      <c r="CA32" s="226"/>
      <c r="CB32" s="876"/>
    </row>
    <row r="33" spans="1:80" outlineLevel="1">
      <c r="A33" s="603"/>
      <c r="B33" s="787"/>
      <c r="C33" s="253" t="s">
        <v>285</v>
      </c>
      <c r="D33" s="258" t="s">
        <v>270</v>
      </c>
      <c r="E33" s="255"/>
      <c r="F33" s="255"/>
      <c r="G33" s="255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55"/>
      <c r="BK33" s="255"/>
      <c r="BL33" s="255"/>
      <c r="BM33" s="255"/>
      <c r="BN33" s="255"/>
      <c r="BO33" s="255"/>
      <c r="BP33" s="255"/>
      <c r="BQ33" s="255"/>
      <c r="BR33" s="255"/>
      <c r="BS33" s="255"/>
      <c r="BT33" s="255"/>
      <c r="BU33" s="255"/>
      <c r="BV33" s="255"/>
      <c r="BW33" s="255"/>
      <c r="BX33" s="264"/>
      <c r="BY33" s="268">
        <f t="shared" si="8"/>
        <v>0</v>
      </c>
      <c r="BZ33" s="771"/>
      <c r="CB33" s="876"/>
    </row>
    <row r="34" spans="1:80" ht="16">
      <c r="A34" s="603"/>
      <c r="B34" s="787"/>
      <c r="C34" s="248" t="s">
        <v>286</v>
      </c>
      <c r="D34" s="249"/>
      <c r="E34" s="250">
        <f t="shared" ref="E34:BX34" si="9">SUM(E35:E36)</f>
        <v>0</v>
      </c>
      <c r="F34" s="250">
        <f t="shared" si="9"/>
        <v>0</v>
      </c>
      <c r="G34" s="250">
        <f t="shared" si="9"/>
        <v>0</v>
      </c>
      <c r="H34" s="250">
        <f t="shared" si="9"/>
        <v>0</v>
      </c>
      <c r="I34" s="250">
        <f t="shared" si="9"/>
        <v>0</v>
      </c>
      <c r="J34" s="250">
        <f t="shared" si="9"/>
        <v>0</v>
      </c>
      <c r="K34" s="250">
        <f t="shared" si="9"/>
        <v>0</v>
      </c>
      <c r="L34" s="250">
        <f t="shared" si="9"/>
        <v>0</v>
      </c>
      <c r="M34" s="250">
        <f t="shared" si="9"/>
        <v>0</v>
      </c>
      <c r="N34" s="250">
        <f t="shared" si="9"/>
        <v>0</v>
      </c>
      <c r="O34" s="250">
        <f t="shared" si="9"/>
        <v>0</v>
      </c>
      <c r="P34" s="250">
        <f t="shared" si="9"/>
        <v>0</v>
      </c>
      <c r="Q34" s="250">
        <f t="shared" si="9"/>
        <v>0</v>
      </c>
      <c r="R34" s="250">
        <f t="shared" si="9"/>
        <v>0</v>
      </c>
      <c r="S34" s="250">
        <f t="shared" si="9"/>
        <v>0</v>
      </c>
      <c r="T34" s="250">
        <f t="shared" si="9"/>
        <v>0</v>
      </c>
      <c r="U34" s="250">
        <f t="shared" si="9"/>
        <v>0</v>
      </c>
      <c r="V34" s="250">
        <f t="shared" si="9"/>
        <v>0</v>
      </c>
      <c r="W34" s="250">
        <f t="shared" si="9"/>
        <v>0</v>
      </c>
      <c r="X34" s="250">
        <f t="shared" si="9"/>
        <v>0</v>
      </c>
      <c r="Y34" s="250">
        <f t="shared" si="9"/>
        <v>0</v>
      </c>
      <c r="Z34" s="250">
        <f t="shared" si="9"/>
        <v>0</v>
      </c>
      <c r="AA34" s="250">
        <f t="shared" si="9"/>
        <v>0</v>
      </c>
      <c r="AB34" s="250">
        <f t="shared" si="9"/>
        <v>0</v>
      </c>
      <c r="AC34" s="250">
        <f t="shared" si="9"/>
        <v>0</v>
      </c>
      <c r="AD34" s="250">
        <f t="shared" si="9"/>
        <v>0</v>
      </c>
      <c r="AE34" s="250">
        <f t="shared" si="9"/>
        <v>0</v>
      </c>
      <c r="AF34" s="250">
        <f t="shared" si="9"/>
        <v>-303273.43199999997</v>
      </c>
      <c r="AG34" s="250">
        <f t="shared" si="9"/>
        <v>0</v>
      </c>
      <c r="AH34" s="250">
        <f t="shared" si="9"/>
        <v>0</v>
      </c>
      <c r="AI34" s="250">
        <f t="shared" si="9"/>
        <v>0</v>
      </c>
      <c r="AJ34" s="250">
        <f t="shared" si="9"/>
        <v>0</v>
      </c>
      <c r="AK34" s="250">
        <f t="shared" si="9"/>
        <v>0</v>
      </c>
      <c r="AL34" s="250">
        <f t="shared" si="9"/>
        <v>0</v>
      </c>
      <c r="AM34" s="250">
        <f t="shared" si="9"/>
        <v>0</v>
      </c>
      <c r="AN34" s="250">
        <f t="shared" si="9"/>
        <v>0</v>
      </c>
      <c r="AO34" s="250">
        <f t="shared" si="9"/>
        <v>0</v>
      </c>
      <c r="AP34" s="250">
        <f t="shared" si="9"/>
        <v>0</v>
      </c>
      <c r="AQ34" s="250">
        <f t="shared" si="9"/>
        <v>0</v>
      </c>
      <c r="AR34" s="250">
        <f t="shared" si="9"/>
        <v>0</v>
      </c>
      <c r="AS34" s="250">
        <f t="shared" si="9"/>
        <v>0</v>
      </c>
      <c r="AT34" s="250">
        <f t="shared" si="9"/>
        <v>0</v>
      </c>
      <c r="AU34" s="250">
        <f t="shared" si="9"/>
        <v>0</v>
      </c>
      <c r="AV34" s="250">
        <f t="shared" si="9"/>
        <v>0</v>
      </c>
      <c r="AW34" s="250">
        <f t="shared" si="9"/>
        <v>0</v>
      </c>
      <c r="AX34" s="250">
        <f t="shared" si="9"/>
        <v>0</v>
      </c>
      <c r="AY34" s="250">
        <f t="shared" si="9"/>
        <v>0</v>
      </c>
      <c r="AZ34" s="250">
        <f t="shared" si="9"/>
        <v>0</v>
      </c>
      <c r="BA34" s="250">
        <f t="shared" si="9"/>
        <v>0</v>
      </c>
      <c r="BB34" s="250">
        <f t="shared" si="9"/>
        <v>0</v>
      </c>
      <c r="BC34" s="250">
        <f t="shared" si="9"/>
        <v>0</v>
      </c>
      <c r="BD34" s="250">
        <f t="shared" si="9"/>
        <v>0</v>
      </c>
      <c r="BE34" s="250">
        <f t="shared" si="9"/>
        <v>0</v>
      </c>
      <c r="BF34" s="250">
        <f t="shared" si="9"/>
        <v>0</v>
      </c>
      <c r="BG34" s="250">
        <f t="shared" si="9"/>
        <v>0</v>
      </c>
      <c r="BH34" s="250">
        <f t="shared" si="9"/>
        <v>0</v>
      </c>
      <c r="BI34" s="250">
        <f t="shared" si="9"/>
        <v>0</v>
      </c>
      <c r="BJ34" s="250">
        <f t="shared" si="9"/>
        <v>0</v>
      </c>
      <c r="BK34" s="250">
        <f t="shared" si="9"/>
        <v>0</v>
      </c>
      <c r="BL34" s="250">
        <f t="shared" si="9"/>
        <v>0</v>
      </c>
      <c r="BM34" s="250">
        <f t="shared" si="9"/>
        <v>0</v>
      </c>
      <c r="BN34" s="250">
        <f t="shared" si="9"/>
        <v>0</v>
      </c>
      <c r="BO34" s="250">
        <f t="shared" si="9"/>
        <v>0</v>
      </c>
      <c r="BP34" s="250">
        <f t="shared" si="9"/>
        <v>0</v>
      </c>
      <c r="BQ34" s="250">
        <f t="shared" si="9"/>
        <v>0</v>
      </c>
      <c r="BR34" s="250">
        <f t="shared" si="9"/>
        <v>0</v>
      </c>
      <c r="BS34" s="250">
        <f t="shared" si="9"/>
        <v>0</v>
      </c>
      <c r="BT34" s="250">
        <f t="shared" si="9"/>
        <v>0</v>
      </c>
      <c r="BU34" s="250">
        <f t="shared" si="9"/>
        <v>0</v>
      </c>
      <c r="BV34" s="250">
        <f t="shared" si="9"/>
        <v>0</v>
      </c>
      <c r="BW34" s="250">
        <f t="shared" si="9"/>
        <v>0</v>
      </c>
      <c r="BX34" s="250">
        <f t="shared" si="9"/>
        <v>0</v>
      </c>
      <c r="BY34" s="252">
        <f>SUM(BY35:BY36)</f>
        <v>-303273.43199999997</v>
      </c>
      <c r="BZ34" s="771"/>
      <c r="CB34" s="876"/>
    </row>
    <row r="35" spans="1:80" outlineLevel="1">
      <c r="A35" s="603"/>
      <c r="B35" s="787"/>
      <c r="C35" s="253" t="s">
        <v>287</v>
      </c>
      <c r="D35" s="254" t="s">
        <v>270</v>
      </c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55"/>
      <c r="V35" s="255"/>
      <c r="W35" s="255"/>
      <c r="X35" s="255"/>
      <c r="Y35" s="255"/>
      <c r="Z35" s="255"/>
      <c r="AA35" s="255"/>
      <c r="AB35" s="255"/>
      <c r="AC35" s="255"/>
      <c r="AD35" s="255"/>
      <c r="AE35" s="255"/>
      <c r="AF35" s="255"/>
      <c r="AG35" s="255"/>
      <c r="AH35" s="255"/>
      <c r="AI35" s="255"/>
      <c r="AJ35" s="255"/>
      <c r="AK35" s="255"/>
      <c r="AL35" s="255"/>
      <c r="AM35" s="255"/>
      <c r="AN35" s="255"/>
      <c r="AO35" s="255"/>
      <c r="AP35" s="255"/>
      <c r="AQ35" s="255"/>
      <c r="AR35" s="255"/>
      <c r="AS35" s="255"/>
      <c r="AT35" s="255"/>
      <c r="AU35" s="255"/>
      <c r="AV35" s="255"/>
      <c r="AW35" s="255"/>
      <c r="AX35" s="255"/>
      <c r="AY35" s="255"/>
      <c r="AZ35" s="255"/>
      <c r="BA35" s="255"/>
      <c r="BB35" s="255"/>
      <c r="BC35" s="255"/>
      <c r="BD35" s="255"/>
      <c r="BE35" s="255"/>
      <c r="BF35" s="255"/>
      <c r="BG35" s="255"/>
      <c r="BH35" s="255"/>
      <c r="BI35" s="255"/>
      <c r="BJ35" s="255"/>
      <c r="BK35" s="255"/>
      <c r="BL35" s="255"/>
      <c r="BM35" s="255"/>
      <c r="BN35" s="255"/>
      <c r="BO35" s="255"/>
      <c r="BP35" s="255"/>
      <c r="BQ35" s="255"/>
      <c r="BR35" s="255"/>
      <c r="BS35" s="255"/>
      <c r="BT35" s="255"/>
      <c r="BU35" s="255"/>
      <c r="BV35" s="255"/>
      <c r="BW35" s="255"/>
      <c r="BX35" s="264"/>
      <c r="BY35" s="265">
        <f t="shared" ref="BY35:BY36" si="10">SUM(E35:BX35)</f>
        <v>0</v>
      </c>
      <c r="BZ35" s="771"/>
    </row>
    <row r="36" spans="1:80" outlineLevel="1">
      <c r="A36" s="603"/>
      <c r="B36" s="787"/>
      <c r="C36" s="253" t="s">
        <v>288</v>
      </c>
      <c r="D36" s="258" t="s">
        <v>270</v>
      </c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70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>
        <f>-12034.66*25.2</f>
        <v>-303273.43199999997</v>
      </c>
      <c r="AG36" s="255"/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64"/>
      <c r="BY36" s="268">
        <f t="shared" si="10"/>
        <v>-303273.43199999997</v>
      </c>
      <c r="BZ36" s="771"/>
    </row>
    <row r="37" spans="1:80" ht="16">
      <c r="A37" s="603"/>
      <c r="B37" s="787"/>
      <c r="C37" s="248" t="s">
        <v>289</v>
      </c>
      <c r="D37" s="249"/>
      <c r="E37" s="250">
        <f t="shared" ref="E37:G37" si="11">SUM(E38:E48)</f>
        <v>0</v>
      </c>
      <c r="F37" s="250">
        <f t="shared" si="11"/>
        <v>0</v>
      </c>
      <c r="G37" s="250">
        <f t="shared" si="11"/>
        <v>0</v>
      </c>
      <c r="H37" s="250">
        <f t="shared" ref="H37:BM37" si="12">SUM(H38:H41,H42,H45,H46:H48)</f>
        <v>-113225.2</v>
      </c>
      <c r="I37" s="250">
        <f t="shared" si="12"/>
        <v>-414970</v>
      </c>
      <c r="J37" s="250">
        <f t="shared" si="12"/>
        <v>-1007845.81</v>
      </c>
      <c r="K37" s="250">
        <f t="shared" si="12"/>
        <v>-901583.60700000008</v>
      </c>
      <c r="L37" s="250">
        <f t="shared" si="12"/>
        <v>-332396.81</v>
      </c>
      <c r="M37" s="250">
        <f t="shared" si="12"/>
        <v>-666968.62</v>
      </c>
      <c r="N37" s="250">
        <f t="shared" si="12"/>
        <v>-25339</v>
      </c>
      <c r="O37" s="250">
        <f t="shared" si="12"/>
        <v>-744252.62</v>
      </c>
      <c r="P37" s="250">
        <f t="shared" si="12"/>
        <v>-417381.81</v>
      </c>
      <c r="Q37" s="250">
        <f t="shared" si="12"/>
        <v>-306298.36900000001</v>
      </c>
      <c r="R37" s="250">
        <f t="shared" si="12"/>
        <v>-427733.66000000003</v>
      </c>
      <c r="S37" s="250">
        <f t="shared" si="12"/>
        <v>-34227</v>
      </c>
      <c r="T37" s="250">
        <f t="shared" si="12"/>
        <v>-132833</v>
      </c>
      <c r="U37" s="250">
        <f>SUM(U38:U41,U42,U45,U46:U48)</f>
        <v>-50934</v>
      </c>
      <c r="V37" s="250">
        <f t="shared" si="12"/>
        <v>-1341688</v>
      </c>
      <c r="W37" s="250">
        <f t="shared" si="12"/>
        <v>-435539</v>
      </c>
      <c r="X37" s="250">
        <f t="shared" si="12"/>
        <v>-420753</v>
      </c>
      <c r="Y37" s="250">
        <f t="shared" si="12"/>
        <v>-413209</v>
      </c>
      <c r="Z37" s="250">
        <f t="shared" si="12"/>
        <v>0</v>
      </c>
      <c r="AA37" s="250">
        <f t="shared" si="12"/>
        <v>-695098</v>
      </c>
      <c r="AB37" s="250">
        <f t="shared" si="12"/>
        <v>-30691</v>
      </c>
      <c r="AC37" s="250">
        <f t="shared" si="12"/>
        <v>-71971</v>
      </c>
      <c r="AD37" s="250">
        <f t="shared" si="12"/>
        <v>-25033.057851239668</v>
      </c>
      <c r="AE37" s="250">
        <f t="shared" si="12"/>
        <v>-73987.603305785131</v>
      </c>
      <c r="AF37" s="250">
        <f t="shared" si="12"/>
        <v>-92594.214876033075</v>
      </c>
      <c r="AG37" s="250">
        <f t="shared" si="12"/>
        <v>0</v>
      </c>
      <c r="AH37" s="250">
        <f t="shared" si="12"/>
        <v>0</v>
      </c>
      <c r="AI37" s="250">
        <f t="shared" si="12"/>
        <v>0</v>
      </c>
      <c r="AJ37" s="250">
        <f t="shared" si="12"/>
        <v>0</v>
      </c>
      <c r="AK37" s="250">
        <f t="shared" si="12"/>
        <v>0</v>
      </c>
      <c r="AL37" s="250">
        <f t="shared" si="12"/>
        <v>0</v>
      </c>
      <c r="AM37" s="250">
        <f t="shared" si="12"/>
        <v>0</v>
      </c>
      <c r="AN37" s="250">
        <f t="shared" si="12"/>
        <v>0</v>
      </c>
      <c r="AO37" s="250">
        <f t="shared" si="12"/>
        <v>0</v>
      </c>
      <c r="AP37" s="250">
        <f t="shared" si="12"/>
        <v>0</v>
      </c>
      <c r="AQ37" s="250">
        <f t="shared" si="12"/>
        <v>0</v>
      </c>
      <c r="AR37" s="250">
        <f t="shared" si="12"/>
        <v>0</v>
      </c>
      <c r="AS37" s="250">
        <f t="shared" si="12"/>
        <v>0</v>
      </c>
      <c r="AT37" s="250">
        <f t="shared" si="12"/>
        <v>0</v>
      </c>
      <c r="AU37" s="250">
        <f t="shared" si="12"/>
        <v>0</v>
      </c>
      <c r="AV37" s="250">
        <f t="shared" si="12"/>
        <v>0</v>
      </c>
      <c r="AW37" s="250">
        <f t="shared" si="12"/>
        <v>0</v>
      </c>
      <c r="AX37" s="250">
        <f t="shared" si="12"/>
        <v>0</v>
      </c>
      <c r="AY37" s="250">
        <f t="shared" si="12"/>
        <v>0</v>
      </c>
      <c r="AZ37" s="250">
        <f t="shared" si="12"/>
        <v>0</v>
      </c>
      <c r="BA37" s="250">
        <f t="shared" si="12"/>
        <v>0</v>
      </c>
      <c r="BB37" s="250">
        <f t="shared" si="12"/>
        <v>0</v>
      </c>
      <c r="BC37" s="250">
        <f t="shared" si="12"/>
        <v>0</v>
      </c>
      <c r="BD37" s="250">
        <f t="shared" si="12"/>
        <v>0</v>
      </c>
      <c r="BE37" s="250">
        <f t="shared" si="12"/>
        <v>0</v>
      </c>
      <c r="BF37" s="250">
        <f t="shared" si="12"/>
        <v>0</v>
      </c>
      <c r="BG37" s="250">
        <f t="shared" si="12"/>
        <v>0</v>
      </c>
      <c r="BH37" s="250">
        <f t="shared" si="12"/>
        <v>0</v>
      </c>
      <c r="BI37" s="250">
        <f t="shared" si="12"/>
        <v>0</v>
      </c>
      <c r="BJ37" s="250">
        <f t="shared" si="12"/>
        <v>0</v>
      </c>
      <c r="BK37" s="250">
        <f t="shared" si="12"/>
        <v>0</v>
      </c>
      <c r="BL37" s="250">
        <f t="shared" si="12"/>
        <v>0</v>
      </c>
      <c r="BM37" s="250">
        <f t="shared" si="12"/>
        <v>0</v>
      </c>
      <c r="BN37" s="250">
        <f t="shared" ref="BN37:BX37" si="13">SUM(BN38:BN48)</f>
        <v>0</v>
      </c>
      <c r="BO37" s="250">
        <f t="shared" si="13"/>
        <v>0</v>
      </c>
      <c r="BP37" s="250">
        <f t="shared" si="13"/>
        <v>0</v>
      </c>
      <c r="BQ37" s="250">
        <f t="shared" si="13"/>
        <v>0</v>
      </c>
      <c r="BR37" s="250">
        <f t="shared" si="13"/>
        <v>0</v>
      </c>
      <c r="BS37" s="250">
        <f t="shared" si="13"/>
        <v>0</v>
      </c>
      <c r="BT37" s="250">
        <f t="shared" si="13"/>
        <v>0</v>
      </c>
      <c r="BU37" s="250">
        <f t="shared" si="13"/>
        <v>0</v>
      </c>
      <c r="BV37" s="250">
        <f t="shared" si="13"/>
        <v>0</v>
      </c>
      <c r="BW37" s="250">
        <f t="shared" si="13"/>
        <v>0</v>
      </c>
      <c r="BX37" s="250">
        <f t="shared" si="13"/>
        <v>0</v>
      </c>
      <c r="BY37" s="252">
        <f>SUM(BY38:BY42,BY45:BY48)</f>
        <v>-9176553.3820330575</v>
      </c>
      <c r="BZ37" s="771"/>
    </row>
    <row r="38" spans="1:80" outlineLevel="1">
      <c r="A38" s="603"/>
      <c r="B38" s="787"/>
      <c r="C38" s="267" t="s">
        <v>216</v>
      </c>
      <c r="D38" s="254" t="s">
        <v>270</v>
      </c>
      <c r="E38" s="259"/>
      <c r="F38" s="259"/>
      <c r="G38" s="259"/>
      <c r="H38" s="260"/>
      <c r="I38" s="260">
        <f>-400000</f>
        <v>-400000</v>
      </c>
      <c r="J38" s="260">
        <f>-661353-(23520+28160+192281+20000)*1.21</f>
        <v>-980745.81</v>
      </c>
      <c r="K38" s="260"/>
      <c r="L38" s="260">
        <f>-(23520+28160+192281+20000)*1.21</f>
        <v>-319392.81</v>
      </c>
      <c r="M38" s="260">
        <f>-(23520+28160+192281+20000)*1.21-(23520+28160+192281+20000)*1.21</f>
        <v>-638785.62</v>
      </c>
      <c r="N38" s="260"/>
      <c r="O38" s="260">
        <f>-(23520+28160+192281+20000)*1.21*2</f>
        <v>-638785.62</v>
      </c>
      <c r="P38" s="260">
        <f>-(23520+28160+192281+20000)*1.21</f>
        <v>-319392.81</v>
      </c>
      <c r="Q38" s="260"/>
      <c r="R38" s="260">
        <f>-(23520+28160+192281+20000)*1.21</f>
        <v>-319392.81</v>
      </c>
      <c r="S38" s="260"/>
      <c r="T38" s="260"/>
      <c r="U38" s="260"/>
      <c r="V38" s="260">
        <f>-487954</f>
        <v>-487954</v>
      </c>
      <c r="W38" s="260">
        <f>-387319</f>
        <v>-387319</v>
      </c>
      <c r="X38" s="260">
        <f>-387319</f>
        <v>-387319</v>
      </c>
      <c r="Y38" s="260">
        <f>-387319</f>
        <v>-387319</v>
      </c>
      <c r="Z38" s="729"/>
      <c r="AA38" s="260">
        <f>-237572-387319</f>
        <v>-624891</v>
      </c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71"/>
      <c r="BY38" s="265">
        <f t="shared" ref="BY38:BY48" si="14">SUM(E38:BX38)</f>
        <v>-5891297.4800000004</v>
      </c>
      <c r="BZ38" s="771"/>
    </row>
    <row r="39" spans="1:80" outlineLevel="1">
      <c r="A39" s="603"/>
      <c r="B39" s="787"/>
      <c r="C39" s="267" t="s">
        <v>217</v>
      </c>
      <c r="D39" s="254" t="s">
        <v>270</v>
      </c>
      <c r="E39" s="259"/>
      <c r="F39" s="259"/>
      <c r="G39" s="259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/>
      <c r="S39" s="260"/>
      <c r="T39" s="260"/>
      <c r="U39" s="260"/>
      <c r="V39" s="260"/>
      <c r="W39" s="260"/>
      <c r="X39" s="260"/>
      <c r="Y39" s="260"/>
      <c r="Z39" s="260"/>
      <c r="AA39" s="260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59"/>
      <c r="BR39" s="259"/>
      <c r="BS39" s="259"/>
      <c r="BT39" s="259"/>
      <c r="BU39" s="259"/>
      <c r="BV39" s="259"/>
      <c r="BW39" s="259"/>
      <c r="BX39" s="271"/>
      <c r="BY39" s="266">
        <f t="shared" si="14"/>
        <v>0</v>
      </c>
      <c r="BZ39" s="771"/>
    </row>
    <row r="40" spans="1:80" outlineLevel="1">
      <c r="A40" s="603"/>
      <c r="B40" s="787"/>
      <c r="C40" s="267" t="s">
        <v>218</v>
      </c>
      <c r="D40" s="254" t="s">
        <v>270</v>
      </c>
      <c r="E40" s="259"/>
      <c r="F40" s="259"/>
      <c r="G40" s="259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72"/>
      <c r="T40" s="272"/>
      <c r="U40" s="259"/>
      <c r="V40" s="259"/>
      <c r="W40" s="259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59"/>
      <c r="BR40" s="259"/>
      <c r="BS40" s="259"/>
      <c r="BT40" s="259"/>
      <c r="BU40" s="259"/>
      <c r="BV40" s="259"/>
      <c r="BW40" s="259"/>
      <c r="BX40" s="271"/>
      <c r="BY40" s="266">
        <f t="shared" si="14"/>
        <v>0</v>
      </c>
      <c r="BZ40" s="771"/>
    </row>
    <row r="41" spans="1:80" outlineLevel="1">
      <c r="A41" s="603"/>
      <c r="B41" s="787"/>
      <c r="C41" s="267" t="s">
        <v>222</v>
      </c>
      <c r="D41" s="254" t="s">
        <v>270</v>
      </c>
      <c r="E41" s="259"/>
      <c r="F41" s="259"/>
      <c r="G41" s="259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72"/>
      <c r="S41" s="272"/>
      <c r="T41" s="272"/>
      <c r="U41" s="272"/>
      <c r="V41" s="272"/>
      <c r="W41" s="272"/>
      <c r="X41" s="272"/>
      <c r="Y41" s="272"/>
      <c r="Z41" s="272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71"/>
      <c r="BY41" s="266">
        <f t="shared" si="14"/>
        <v>0</v>
      </c>
      <c r="BZ41" s="771"/>
    </row>
    <row r="42" spans="1:80" outlineLevel="1">
      <c r="A42" s="603"/>
      <c r="B42" s="787"/>
      <c r="C42" s="253" t="s">
        <v>223</v>
      </c>
      <c r="D42" s="273" t="s">
        <v>270</v>
      </c>
      <c r="E42" s="274"/>
      <c r="F42" s="275"/>
      <c r="G42" s="275"/>
      <c r="H42" s="275">
        <f t="shared" ref="H42:AH42" si="15">SUM(H43:H44)</f>
        <v>-36364</v>
      </c>
      <c r="I42" s="275">
        <f t="shared" si="15"/>
        <v>-8194</v>
      </c>
      <c r="J42" s="275">
        <f t="shared" si="15"/>
        <v>-27000</v>
      </c>
      <c r="K42" s="275">
        <f t="shared" si="15"/>
        <v>-7113</v>
      </c>
      <c r="L42" s="275">
        <f t="shared" si="15"/>
        <v>-5262</v>
      </c>
      <c r="M42" s="275">
        <f t="shared" si="15"/>
        <v>-3613</v>
      </c>
      <c r="N42" s="275">
        <f t="shared" si="15"/>
        <v>-3999</v>
      </c>
      <c r="O42" s="275">
        <f t="shared" si="15"/>
        <v>-6441</v>
      </c>
      <c r="P42" s="275">
        <f t="shared" si="15"/>
        <v>-8402</v>
      </c>
      <c r="Q42" s="275">
        <f t="shared" si="15"/>
        <v>-8131</v>
      </c>
      <c r="R42" s="275">
        <f t="shared" si="15"/>
        <v>-101110.85</v>
      </c>
      <c r="S42" s="275">
        <f t="shared" si="15"/>
        <v>-22651</v>
      </c>
      <c r="T42" s="275">
        <f t="shared" si="15"/>
        <v>-18691</v>
      </c>
      <c r="U42" s="275">
        <f t="shared" si="15"/>
        <v>-12393</v>
      </c>
      <c r="V42" s="275">
        <f t="shared" si="15"/>
        <v>-7249</v>
      </c>
      <c r="W42" s="275">
        <f t="shared" si="15"/>
        <v>-5959</v>
      </c>
      <c r="X42" s="275">
        <f t="shared" si="15"/>
        <v>-11405</v>
      </c>
      <c r="Y42" s="275">
        <f t="shared" si="15"/>
        <v>-6167</v>
      </c>
      <c r="Z42" s="275">
        <f t="shared" si="15"/>
        <v>0</v>
      </c>
      <c r="AA42" s="275">
        <f t="shared" si="15"/>
        <v>-29637</v>
      </c>
      <c r="AB42" s="275">
        <f t="shared" si="15"/>
        <v>-10013</v>
      </c>
      <c r="AC42" s="275">
        <f t="shared" si="15"/>
        <v>-6172</v>
      </c>
      <c r="AD42" s="275">
        <f t="shared" si="15"/>
        <v>-10974.380165289256</v>
      </c>
      <c r="AE42" s="275">
        <f t="shared" si="15"/>
        <v>-18980.165289256198</v>
      </c>
      <c r="AF42" s="275">
        <f t="shared" si="15"/>
        <v>-7109.9173553719011</v>
      </c>
      <c r="AG42" s="275">
        <f t="shared" si="15"/>
        <v>0</v>
      </c>
      <c r="AH42" s="275">
        <f t="shared" si="15"/>
        <v>0</v>
      </c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  <c r="BC42" s="275"/>
      <c r="BD42" s="275"/>
      <c r="BE42" s="275"/>
      <c r="BF42" s="275"/>
      <c r="BG42" s="275"/>
      <c r="BH42" s="275"/>
      <c r="BI42" s="275"/>
      <c r="BJ42" s="275"/>
      <c r="BK42" s="275"/>
      <c r="BL42" s="275"/>
      <c r="BM42" s="276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64"/>
      <c r="BY42" s="266">
        <f t="shared" si="14"/>
        <v>-383031.31280991738</v>
      </c>
      <c r="BZ42" s="771"/>
    </row>
    <row r="43" spans="1:80" outlineLevel="2">
      <c r="A43" s="603"/>
      <c r="B43" s="787"/>
      <c r="C43" s="277" t="s">
        <v>290</v>
      </c>
      <c r="D43" s="254" t="s">
        <v>270</v>
      </c>
      <c r="E43" s="255"/>
      <c r="F43" s="255"/>
      <c r="G43" s="255"/>
      <c r="H43" s="278">
        <f>-11364</f>
        <v>-11364</v>
      </c>
      <c r="I43" s="278">
        <f>-8194</f>
        <v>-8194</v>
      </c>
      <c r="J43" s="278"/>
      <c r="K43" s="278">
        <f>-3219-3894</f>
        <v>-7113</v>
      </c>
      <c r="L43" s="278">
        <f>-5262</f>
        <v>-5262</v>
      </c>
      <c r="M43" s="278">
        <f>-3613</f>
        <v>-3613</v>
      </c>
      <c r="N43" s="278">
        <f>-3999</f>
        <v>-3999</v>
      </c>
      <c r="O43" s="278">
        <f>-6441</f>
        <v>-6441</v>
      </c>
      <c r="P43" s="278">
        <f>-8402</f>
        <v>-8402</v>
      </c>
      <c r="Q43" s="278">
        <f>-8131</f>
        <v>-8131</v>
      </c>
      <c r="R43" s="278">
        <f>-4200-5816</f>
        <v>-10016</v>
      </c>
      <c r="S43" s="278">
        <f>-22651</f>
        <v>-22651</v>
      </c>
      <c r="T43" s="278">
        <f>-18691</f>
        <v>-18691</v>
      </c>
      <c r="U43" s="278">
        <f>-12393</f>
        <v>-12393</v>
      </c>
      <c r="V43" s="278">
        <f>-7249</f>
        <v>-7249</v>
      </c>
      <c r="W43" s="278">
        <f>-5959</f>
        <v>-5959</v>
      </c>
      <c r="X43" s="278">
        <f>-11405</f>
        <v>-11405</v>
      </c>
      <c r="Y43" s="278">
        <f>-6167</f>
        <v>-6167</v>
      </c>
      <c r="Z43" s="278"/>
      <c r="AA43" s="278">
        <f>-24695-4942</f>
        <v>-29637</v>
      </c>
      <c r="AB43" s="278">
        <f>-10013</f>
        <v>-10013</v>
      </c>
      <c r="AC43" s="278">
        <f>-6172</f>
        <v>-6172</v>
      </c>
      <c r="AD43" s="278">
        <f>-13279/1.21</f>
        <v>-10974.380165289256</v>
      </c>
      <c r="AE43" s="278">
        <f>-22966/1.21</f>
        <v>-18980.165289256198</v>
      </c>
      <c r="AF43" s="278">
        <f>-8603/1.21</f>
        <v>-7109.9173553719011</v>
      </c>
      <c r="AG43" s="278"/>
      <c r="AH43" s="278"/>
      <c r="AI43" s="278"/>
      <c r="AJ43" s="278"/>
      <c r="AK43" s="278"/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  <c r="BF43" s="278"/>
      <c r="BG43" s="278"/>
      <c r="BH43" s="278"/>
      <c r="BI43" s="278"/>
      <c r="BJ43" s="278"/>
      <c r="BK43" s="278"/>
      <c r="BL43" s="278"/>
      <c r="BM43" s="278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64"/>
      <c r="BY43" s="266">
        <f t="shared" si="14"/>
        <v>-239936.46280991734</v>
      </c>
      <c r="BZ43" s="771"/>
    </row>
    <row r="44" spans="1:80" outlineLevel="2">
      <c r="A44" s="603"/>
      <c r="B44" s="787"/>
      <c r="C44" s="277" t="s">
        <v>291</v>
      </c>
      <c r="D44" s="254" t="s">
        <v>270</v>
      </c>
      <c r="E44" s="255"/>
      <c r="F44" s="255"/>
      <c r="G44" s="255"/>
      <c r="H44" s="278">
        <f>-25000</f>
        <v>-25000</v>
      </c>
      <c r="I44" s="278"/>
      <c r="J44" s="278">
        <f>-27000</f>
        <v>-27000</v>
      </c>
      <c r="K44" s="278"/>
      <c r="L44" s="278"/>
      <c r="M44" s="278"/>
      <c r="N44" s="278"/>
      <c r="O44" s="278"/>
      <c r="P44" s="278"/>
      <c r="Q44" s="278"/>
      <c r="R44" s="278">
        <f>-91094.85</f>
        <v>-91094.85</v>
      </c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  <c r="AJ44" s="278"/>
      <c r="AK44" s="278"/>
      <c r="AL44" s="278"/>
      <c r="AM44" s="278"/>
      <c r="AN44" s="278"/>
      <c r="AO44" s="278"/>
      <c r="AP44" s="278"/>
      <c r="AQ44" s="278"/>
      <c r="AR44" s="278"/>
      <c r="AS44" s="278"/>
      <c r="AT44" s="278"/>
      <c r="AU44" s="278"/>
      <c r="AV44" s="278"/>
      <c r="AW44" s="278"/>
      <c r="AX44" s="278"/>
      <c r="AY44" s="278"/>
      <c r="AZ44" s="278"/>
      <c r="BA44" s="278"/>
      <c r="BB44" s="278"/>
      <c r="BC44" s="278"/>
      <c r="BD44" s="278"/>
      <c r="BE44" s="278"/>
      <c r="BF44" s="278"/>
      <c r="BG44" s="278"/>
      <c r="BH44" s="278"/>
      <c r="BI44" s="278"/>
      <c r="BJ44" s="278"/>
      <c r="BK44" s="278"/>
      <c r="BL44" s="278"/>
      <c r="BM44" s="278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64"/>
      <c r="BY44" s="266">
        <f t="shared" si="14"/>
        <v>-143094.85</v>
      </c>
      <c r="BZ44" s="771"/>
    </row>
    <row r="45" spans="1:80" outlineLevel="1">
      <c r="A45" s="603"/>
      <c r="B45" s="787"/>
      <c r="C45" s="253" t="s">
        <v>224</v>
      </c>
      <c r="D45" s="254" t="s">
        <v>270</v>
      </c>
      <c r="E45" s="255"/>
      <c r="F45" s="255"/>
      <c r="G45" s="255"/>
      <c r="H45" s="256">
        <f>-1000</f>
        <v>-1000</v>
      </c>
      <c r="I45" s="256"/>
      <c r="J45" s="256">
        <f>-100</f>
        <v>-100</v>
      </c>
      <c r="K45" s="256">
        <f>-7230</f>
        <v>-7230</v>
      </c>
      <c r="L45" s="256">
        <f>-1000-6742</f>
        <v>-7742</v>
      </c>
      <c r="M45" s="256">
        <f>-2000-20570-2000</f>
        <v>-24570</v>
      </c>
      <c r="N45" s="256">
        <f>-19360-1980</f>
        <v>-21340</v>
      </c>
      <c r="O45" s="256">
        <f>-7865-7000-19360-21780-43021</f>
        <v>-99026</v>
      </c>
      <c r="P45" s="256">
        <f>-7230-33957-13068-5082</f>
        <v>-59337</v>
      </c>
      <c r="Q45" s="256">
        <f>-4054</f>
        <v>-4054</v>
      </c>
      <c r="R45" s="256">
        <f>-7230</f>
        <v>-7230</v>
      </c>
      <c r="S45" s="256">
        <f>-4800-6776</f>
        <v>-11576</v>
      </c>
      <c r="T45" s="256">
        <f>-53142-60500-500</f>
        <v>-114142</v>
      </c>
      <c r="U45" s="256">
        <f>-19364-18677-500</f>
        <v>-38541</v>
      </c>
      <c r="V45" s="256">
        <f>-2000-1600</f>
        <v>-3600</v>
      </c>
      <c r="W45" s="256">
        <f>-500-20570-19360-968-500-363</f>
        <v>-42261</v>
      </c>
      <c r="X45" s="256">
        <f>-19360-2669</f>
        <v>-22029</v>
      </c>
      <c r="Y45" s="256">
        <f>-363-19360</f>
        <v>-19723</v>
      </c>
      <c r="Z45" s="256"/>
      <c r="AA45" s="256">
        <f>-20570-12000-8000</f>
        <v>-40570</v>
      </c>
      <c r="AB45" s="256">
        <f>-20678</f>
        <v>-20678</v>
      </c>
      <c r="AC45" s="256">
        <f>-2904-49923-8672-4200-100</f>
        <v>-65799</v>
      </c>
      <c r="AD45" s="256">
        <f>-6000/1.21-11011/1.21</f>
        <v>-14058.677685950413</v>
      </c>
      <c r="AE45" s="256">
        <f>-12000/1.21-800/1.21</f>
        <v>-10578.512396694216</v>
      </c>
      <c r="AF45" s="256">
        <f>-9000/1.21-3336/1.21-2000/1.21-10000/1.21-59900/1.21-19200/1.21</f>
        <v>-85484.297520661174</v>
      </c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64"/>
      <c r="BY45" s="266">
        <f t="shared" si="14"/>
        <v>-720669.48760330572</v>
      </c>
      <c r="BZ45" s="771"/>
    </row>
    <row r="46" spans="1:80" ht="14.25" customHeight="1" outlineLevel="1">
      <c r="A46" s="603"/>
      <c r="B46" s="787"/>
      <c r="C46" s="253" t="s">
        <v>225</v>
      </c>
      <c r="D46" s="254" t="s">
        <v>270</v>
      </c>
      <c r="E46" s="255"/>
      <c r="F46" s="255"/>
      <c r="G46" s="255"/>
      <c r="H46" s="256">
        <f>-10188.2-65673</f>
        <v>-75861.2</v>
      </c>
      <c r="I46" s="256">
        <f>-6776</f>
        <v>-6776</v>
      </c>
      <c r="J46" s="256"/>
      <c r="K46" s="256">
        <f>-4900.5</f>
        <v>-4900.5</v>
      </c>
      <c r="L46" s="256"/>
      <c r="M46" s="256"/>
      <c r="N46" s="256"/>
      <c r="O46" s="256"/>
      <c r="P46" s="256">
        <f>-30250</f>
        <v>-30250</v>
      </c>
      <c r="Q46" s="256"/>
      <c r="R46" s="256"/>
      <c r="S46" s="256"/>
      <c r="T46" s="256"/>
      <c r="U46" s="256"/>
      <c r="V46" s="256"/>
      <c r="W46" s="256"/>
      <c r="X46" s="256"/>
      <c r="Y46" s="256"/>
      <c r="Z46" s="256"/>
      <c r="AA46" s="255"/>
      <c r="AB46" s="256"/>
      <c r="AC46" s="255"/>
      <c r="AD46" s="256"/>
      <c r="AE46" s="255"/>
      <c r="AF46" s="255"/>
      <c r="AG46" s="255"/>
      <c r="AH46" s="255"/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  <c r="AW46" s="255"/>
      <c r="AX46" s="255"/>
      <c r="AY46" s="255"/>
      <c r="AZ46" s="255"/>
      <c r="BA46" s="255"/>
      <c r="BB46" s="255"/>
      <c r="BC46" s="255"/>
      <c r="BD46" s="255"/>
      <c r="BE46" s="255"/>
      <c r="BF46" s="255"/>
      <c r="BG46" s="255"/>
      <c r="BH46" s="255"/>
      <c r="BI46" s="255"/>
      <c r="BJ46" s="255"/>
      <c r="BK46" s="255"/>
      <c r="BL46" s="255"/>
      <c r="BM46" s="255"/>
      <c r="BN46" s="255"/>
      <c r="BO46" s="255"/>
      <c r="BP46" s="255"/>
      <c r="BQ46" s="255"/>
      <c r="BR46" s="255"/>
      <c r="BS46" s="255"/>
      <c r="BT46" s="255"/>
      <c r="BU46" s="255"/>
      <c r="BV46" s="255"/>
      <c r="BW46" s="255"/>
      <c r="BX46" s="264"/>
      <c r="BY46" s="266">
        <f t="shared" si="14"/>
        <v>-117787.7</v>
      </c>
      <c r="BZ46" s="771"/>
    </row>
    <row r="47" spans="1:80" ht="14.25" customHeight="1" outlineLevel="1">
      <c r="A47" s="603"/>
      <c r="B47" s="787"/>
      <c r="C47" s="253" t="s">
        <v>226</v>
      </c>
      <c r="D47" s="254" t="s">
        <v>270</v>
      </c>
      <c r="E47" s="255"/>
      <c r="F47" s="255"/>
      <c r="G47" s="255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5"/>
      <c r="W47" s="256"/>
      <c r="X47" s="255"/>
      <c r="Y47" s="256"/>
      <c r="Z47" s="256"/>
      <c r="AA47" s="256">
        <f>-Businessplan_prodej!$F$91*0.3*1.21</f>
        <v>0</v>
      </c>
      <c r="AB47" s="256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  <c r="BA47" s="255"/>
      <c r="BB47" s="255"/>
      <c r="BC47" s="255"/>
      <c r="BD47" s="255"/>
      <c r="BE47" s="255"/>
      <c r="BF47" s="255"/>
      <c r="BG47" s="255"/>
      <c r="BH47" s="255"/>
      <c r="BI47" s="255"/>
      <c r="BJ47" s="255"/>
      <c r="BK47" s="255"/>
      <c r="BL47" s="255"/>
      <c r="BM47" s="255"/>
      <c r="BN47" s="255"/>
      <c r="BO47" s="255"/>
      <c r="BP47" s="255"/>
      <c r="BQ47" s="255"/>
      <c r="BR47" s="255"/>
      <c r="BS47" s="255"/>
      <c r="BT47" s="255"/>
      <c r="BU47" s="255"/>
      <c r="BV47" s="255"/>
      <c r="BW47" s="255"/>
      <c r="BX47" s="264"/>
      <c r="BY47" s="266">
        <f t="shared" si="14"/>
        <v>0</v>
      </c>
      <c r="BZ47" s="771"/>
    </row>
    <row r="48" spans="1:80" ht="14.25" customHeight="1" outlineLevel="1">
      <c r="A48" s="603"/>
      <c r="B48" s="787"/>
      <c r="C48" s="253" t="s">
        <v>227</v>
      </c>
      <c r="D48" s="258" t="s">
        <v>270</v>
      </c>
      <c r="E48" s="255"/>
      <c r="F48" s="255"/>
      <c r="G48" s="255"/>
      <c r="H48" s="256"/>
      <c r="I48" s="256"/>
      <c r="J48" s="256"/>
      <c r="K48" s="256">
        <f>-((17529*2*25.2+44407*2)*1.21)*75%</f>
        <v>-882340.10700000008</v>
      </c>
      <c r="L48" s="256"/>
      <c r="M48" s="256"/>
      <c r="N48" s="256"/>
      <c r="O48" s="256"/>
      <c r="P48" s="256"/>
      <c r="Q48" s="256">
        <f>-((17529*2*25.2+44407*2)*1.21)*25%</f>
        <v>-294113.36900000001</v>
      </c>
      <c r="R48" s="256"/>
      <c r="S48" s="256"/>
      <c r="T48" s="256"/>
      <c r="U48" s="256"/>
      <c r="V48" s="337">
        <f>-693116-149769</f>
        <v>-842885</v>
      </c>
      <c r="W48" s="255"/>
      <c r="X48" s="255"/>
      <c r="Y48" s="255"/>
      <c r="Z48" s="256"/>
      <c r="AA48" s="256"/>
      <c r="AB48" s="256"/>
      <c r="AC48" s="256"/>
      <c r="AD48" s="256"/>
      <c r="AE48" s="256">
        <f>-53759/1.21</f>
        <v>-44428.925619834714</v>
      </c>
      <c r="AF48" s="256"/>
      <c r="AG48" s="255"/>
      <c r="AH48" s="255"/>
      <c r="AI48" s="255"/>
      <c r="AJ48" s="255"/>
      <c r="AK48" s="255"/>
      <c r="AL48" s="255"/>
      <c r="AM48" s="255"/>
      <c r="AN48" s="255"/>
      <c r="AO48" s="255"/>
      <c r="AP48" s="255"/>
      <c r="AQ48" s="255"/>
      <c r="AR48" s="255"/>
      <c r="AS48" s="255"/>
      <c r="AT48" s="255"/>
      <c r="AU48" s="255"/>
      <c r="AV48" s="255"/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64"/>
      <c r="BY48" s="266">
        <f t="shared" si="14"/>
        <v>-2063767.4016198348</v>
      </c>
      <c r="BZ48" s="771"/>
    </row>
    <row r="49" spans="1:78" ht="16">
      <c r="A49" s="603"/>
      <c r="B49" s="787"/>
      <c r="C49" s="248" t="s">
        <v>292</v>
      </c>
      <c r="D49" s="249"/>
      <c r="E49" s="250">
        <f t="shared" ref="E49:BX49" si="16">SUM(E50:E54)</f>
        <v>0</v>
      </c>
      <c r="F49" s="250">
        <f t="shared" si="16"/>
        <v>0</v>
      </c>
      <c r="G49" s="250">
        <f t="shared" si="16"/>
        <v>0</v>
      </c>
      <c r="H49" s="250">
        <f t="shared" si="16"/>
        <v>-1442.155</v>
      </c>
      <c r="I49" s="250">
        <f t="shared" si="16"/>
        <v>-4792.1949999999997</v>
      </c>
      <c r="J49" s="250">
        <f t="shared" si="16"/>
        <v>-1444.855</v>
      </c>
      <c r="K49" s="250">
        <f t="shared" si="16"/>
        <v>-1290.27</v>
      </c>
      <c r="L49" s="250">
        <f t="shared" si="16"/>
        <v>-1842.35</v>
      </c>
      <c r="M49" s="250">
        <f t="shared" si="16"/>
        <v>-1088.2900000000002</v>
      </c>
      <c r="N49" s="250">
        <f t="shared" si="16"/>
        <v>-1844.5900000000001</v>
      </c>
      <c r="O49" s="250">
        <f t="shared" si="16"/>
        <v>-3360</v>
      </c>
      <c r="P49" s="250">
        <f t="shared" si="16"/>
        <v>-11871.31</v>
      </c>
      <c r="Q49" s="250">
        <f t="shared" si="16"/>
        <v>-1369.95</v>
      </c>
      <c r="R49" s="250">
        <f t="shared" si="16"/>
        <v>-1895.74</v>
      </c>
      <c r="S49" s="250">
        <f t="shared" si="16"/>
        <v>-2437.34</v>
      </c>
      <c r="T49" s="250">
        <f t="shared" si="16"/>
        <v>-25793.256000000001</v>
      </c>
      <c r="U49" s="250">
        <f t="shared" si="16"/>
        <v>-18715.2</v>
      </c>
      <c r="V49" s="250">
        <f t="shared" si="16"/>
        <v>-82480.876000000004</v>
      </c>
      <c r="W49" s="250">
        <f t="shared" si="16"/>
        <v>-1505.25</v>
      </c>
      <c r="X49" s="250">
        <f t="shared" si="16"/>
        <v>-15681.248</v>
      </c>
      <c r="Y49" s="250">
        <f t="shared" si="16"/>
        <v>-1519.2539999999999</v>
      </c>
      <c r="Z49" s="250">
        <f t="shared" si="16"/>
        <v>-1464.296</v>
      </c>
      <c r="AA49" s="250">
        <f t="shared" si="16"/>
        <v>-16413</v>
      </c>
      <c r="AB49" s="250">
        <f t="shared" si="16"/>
        <v>-19633.73</v>
      </c>
      <c r="AC49" s="250">
        <f t="shared" si="16"/>
        <v>-1140</v>
      </c>
      <c r="AD49" s="250">
        <f t="shared" si="16"/>
        <v>-1158.0700000000002</v>
      </c>
      <c r="AE49" s="250">
        <f t="shared" si="16"/>
        <v>-1166.08</v>
      </c>
      <c r="AF49" s="250">
        <f t="shared" si="16"/>
        <v>-1200.99</v>
      </c>
      <c r="AG49" s="250">
        <f t="shared" si="16"/>
        <v>0</v>
      </c>
      <c r="AH49" s="250">
        <f t="shared" si="16"/>
        <v>0</v>
      </c>
      <c r="AI49" s="250">
        <f t="shared" si="16"/>
        <v>0</v>
      </c>
      <c r="AJ49" s="250">
        <f t="shared" si="16"/>
        <v>0</v>
      </c>
      <c r="AK49" s="250">
        <f t="shared" si="16"/>
        <v>0</v>
      </c>
      <c r="AL49" s="250">
        <f t="shared" si="16"/>
        <v>0</v>
      </c>
      <c r="AM49" s="250">
        <f t="shared" si="16"/>
        <v>0</v>
      </c>
      <c r="AN49" s="250">
        <f t="shared" si="16"/>
        <v>0</v>
      </c>
      <c r="AO49" s="250">
        <f t="shared" si="16"/>
        <v>0</v>
      </c>
      <c r="AP49" s="250">
        <f t="shared" si="16"/>
        <v>0</v>
      </c>
      <c r="AQ49" s="250">
        <f t="shared" si="16"/>
        <v>0</v>
      </c>
      <c r="AR49" s="250">
        <f t="shared" si="16"/>
        <v>0</v>
      </c>
      <c r="AS49" s="250">
        <f t="shared" si="16"/>
        <v>0</v>
      </c>
      <c r="AT49" s="250">
        <f t="shared" si="16"/>
        <v>0</v>
      </c>
      <c r="AU49" s="250">
        <f t="shared" si="16"/>
        <v>0</v>
      </c>
      <c r="AV49" s="250">
        <f t="shared" si="16"/>
        <v>0</v>
      </c>
      <c r="AW49" s="250">
        <f t="shared" si="16"/>
        <v>0</v>
      </c>
      <c r="AX49" s="250">
        <f t="shared" si="16"/>
        <v>0</v>
      </c>
      <c r="AY49" s="250">
        <f t="shared" si="16"/>
        <v>0</v>
      </c>
      <c r="AZ49" s="250">
        <f t="shared" si="16"/>
        <v>0</v>
      </c>
      <c r="BA49" s="250">
        <f t="shared" si="16"/>
        <v>0</v>
      </c>
      <c r="BB49" s="250">
        <f t="shared" si="16"/>
        <v>0</v>
      </c>
      <c r="BC49" s="250">
        <f t="shared" si="16"/>
        <v>0</v>
      </c>
      <c r="BD49" s="250">
        <f t="shared" si="16"/>
        <v>0</v>
      </c>
      <c r="BE49" s="250">
        <f t="shared" si="16"/>
        <v>0</v>
      </c>
      <c r="BF49" s="250">
        <f t="shared" si="16"/>
        <v>0</v>
      </c>
      <c r="BG49" s="250">
        <f t="shared" si="16"/>
        <v>0</v>
      </c>
      <c r="BH49" s="250">
        <f t="shared" si="16"/>
        <v>0</v>
      </c>
      <c r="BI49" s="250">
        <f t="shared" si="16"/>
        <v>0</v>
      </c>
      <c r="BJ49" s="250">
        <f t="shared" si="16"/>
        <v>0</v>
      </c>
      <c r="BK49" s="250">
        <f t="shared" si="16"/>
        <v>0</v>
      </c>
      <c r="BL49" s="250">
        <f t="shared" si="16"/>
        <v>0</v>
      </c>
      <c r="BM49" s="250">
        <f t="shared" si="16"/>
        <v>0</v>
      </c>
      <c r="BN49" s="250">
        <f t="shared" si="16"/>
        <v>0</v>
      </c>
      <c r="BO49" s="250">
        <f t="shared" si="16"/>
        <v>0</v>
      </c>
      <c r="BP49" s="250">
        <f t="shared" si="16"/>
        <v>0</v>
      </c>
      <c r="BQ49" s="250">
        <f t="shared" si="16"/>
        <v>0</v>
      </c>
      <c r="BR49" s="250">
        <f t="shared" si="16"/>
        <v>0</v>
      </c>
      <c r="BS49" s="250">
        <f t="shared" si="16"/>
        <v>0</v>
      </c>
      <c r="BT49" s="250">
        <f t="shared" si="16"/>
        <v>0</v>
      </c>
      <c r="BU49" s="250">
        <f t="shared" si="16"/>
        <v>0</v>
      </c>
      <c r="BV49" s="250">
        <f t="shared" si="16"/>
        <v>0</v>
      </c>
      <c r="BW49" s="250">
        <f t="shared" si="16"/>
        <v>0</v>
      </c>
      <c r="BX49" s="250">
        <f t="shared" si="16"/>
        <v>0</v>
      </c>
      <c r="BY49" s="252">
        <f>SUM(BY50:BY54)</f>
        <v>-222550.29500000004</v>
      </c>
      <c r="BZ49" s="771"/>
    </row>
    <row r="50" spans="1:78" outlineLevel="1">
      <c r="A50" s="603"/>
      <c r="B50" s="787"/>
      <c r="C50" s="253" t="s">
        <v>229</v>
      </c>
      <c r="D50" s="254" t="s">
        <v>270</v>
      </c>
      <c r="E50" s="255"/>
      <c r="F50" s="255"/>
      <c r="G50" s="255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5"/>
      <c r="V50" s="255">
        <f>-60000</f>
        <v>-60000</v>
      </c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  <c r="AW50" s="255"/>
      <c r="AX50" s="255"/>
      <c r="AY50" s="255"/>
      <c r="AZ50" s="255"/>
      <c r="BA50" s="255"/>
      <c r="BB50" s="255"/>
      <c r="BC50" s="255"/>
      <c r="BD50" s="255"/>
      <c r="BE50" s="255"/>
      <c r="BF50" s="255"/>
      <c r="BG50" s="255"/>
      <c r="BH50" s="25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64"/>
      <c r="BY50" s="265">
        <f t="shared" ref="BY50:BY54" si="17">SUM(E50:BX50)</f>
        <v>-60000</v>
      </c>
      <c r="BZ50" s="771"/>
    </row>
    <row r="51" spans="1:78" outlineLevel="1">
      <c r="A51" s="603"/>
      <c r="B51" s="787"/>
      <c r="C51" s="253" t="s">
        <v>293</v>
      </c>
      <c r="D51" s="254" t="s">
        <v>270</v>
      </c>
      <c r="E51" s="255"/>
      <c r="F51" s="255"/>
      <c r="G51" s="255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5"/>
      <c r="V51" s="255"/>
      <c r="W51" s="255"/>
      <c r="X51" s="255"/>
      <c r="Y51" s="255"/>
      <c r="Z51" s="255"/>
      <c r="AA51" s="255"/>
      <c r="AB51" s="255"/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  <c r="BA51" s="255"/>
      <c r="BB51" s="255"/>
      <c r="BC51" s="255"/>
      <c r="BD51" s="255"/>
      <c r="BE51" s="255"/>
      <c r="BF51" s="255"/>
      <c r="BG51" s="255"/>
      <c r="BH51" s="255"/>
      <c r="BI51" s="255"/>
      <c r="BJ51" s="255"/>
      <c r="BK51" s="255"/>
      <c r="BL51" s="255"/>
      <c r="BM51" s="255"/>
      <c r="BN51" s="255"/>
      <c r="BO51" s="255"/>
      <c r="BP51" s="255"/>
      <c r="BQ51" s="255"/>
      <c r="BR51" s="255"/>
      <c r="BS51" s="255"/>
      <c r="BT51" s="255"/>
      <c r="BU51" s="255"/>
      <c r="BV51" s="255"/>
      <c r="BW51" s="255"/>
      <c r="BX51" s="264"/>
      <c r="BY51" s="265">
        <f t="shared" si="17"/>
        <v>0</v>
      </c>
      <c r="BZ51" s="771"/>
    </row>
    <row r="52" spans="1:78" outlineLevel="1">
      <c r="A52" s="603"/>
      <c r="B52" s="787"/>
      <c r="C52" s="253" t="s">
        <v>294</v>
      </c>
      <c r="D52" s="254" t="s">
        <v>270</v>
      </c>
      <c r="E52" s="255"/>
      <c r="F52" s="255"/>
      <c r="G52" s="255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  <c r="AW52" s="255"/>
      <c r="AX52" s="255"/>
      <c r="AY52" s="255"/>
      <c r="AZ52" s="255"/>
      <c r="BA52" s="255"/>
      <c r="BB52" s="255"/>
      <c r="BC52" s="255"/>
      <c r="BD52" s="255"/>
      <c r="BE52" s="255"/>
      <c r="BF52" s="255"/>
      <c r="BG52" s="255"/>
      <c r="BH52" s="25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64"/>
      <c r="BY52" s="265">
        <f t="shared" si="17"/>
        <v>0</v>
      </c>
      <c r="BZ52" s="771"/>
    </row>
    <row r="53" spans="1:78" outlineLevel="1">
      <c r="A53" s="603"/>
      <c r="B53" s="787"/>
      <c r="C53" s="253" t="s">
        <v>236</v>
      </c>
      <c r="D53" s="254" t="s">
        <v>270</v>
      </c>
      <c r="E53" s="255"/>
      <c r="F53" s="255"/>
      <c r="G53" s="255"/>
      <c r="H53" s="256">
        <f>-3-12-5-200-2-12-400-36-(0.02+0.09+0.21+17.06)*22-15.91*24.5</f>
        <v>-1442.155</v>
      </c>
      <c r="I53" s="256">
        <f>-6-5-200-12-400-24-2-16.19*24.5-17.57*22</f>
        <v>-1432.1949999999999</v>
      </c>
      <c r="J53" s="256">
        <f>-3-32-5-6-200-15-400-2-(0.01+0.08+15.98+0.2)*24.5-(0.02+0.09+0.21+17.1)*22</f>
        <v>-1444.855</v>
      </c>
      <c r="K53" s="256">
        <f>-20-12-3-200-2-400-10-2-10.9*24.5-17.01*22</f>
        <v>-1290.27</v>
      </c>
      <c r="L53" s="256">
        <f>-12-4-6-200-15-400-24-400-15.98*24.5-17.72*22</f>
        <v>-1842.35</v>
      </c>
      <c r="M53" s="256">
        <f>-40-200-15-2-12-400-10-2-400.11-(0.01+0.08+0.2+15.89)*25-(0.03-0.09-17.78-0.22)*22</f>
        <v>-1088.2900000000002</v>
      </c>
      <c r="N53" s="256">
        <f>-9-9-5-200-400-24-3-399.88-15.79*25-18.18*22</f>
        <v>-1844.5900000000001</v>
      </c>
      <c r="O53" s="256"/>
      <c r="P53" s="256">
        <f>-500-5656.91-300-6-25-4-18-44-200-15-400-399.94-500-972.22-2053.74-16.5*23-15.88*25</f>
        <v>-11871.31</v>
      </c>
      <c r="Q53" s="256">
        <f>-300-9-20-9-200-400-8-24-399.95</f>
        <v>-1369.95</v>
      </c>
      <c r="R53" s="256">
        <f>-4-40-20-200-15-4-12-400-399.9-(0.8+0.24+0.08+15.98)*25-(0.04+0.08+0.21+16.64)*22</f>
        <v>-1895.74</v>
      </c>
      <c r="S53" s="256">
        <f>-2.19-2-20-6-9-200-15-4-400-399.94-500-76.45-(0.12+0.4+0.16+0.16+16.02)*25-(17.33)*22</f>
        <v>-2437.34</v>
      </c>
      <c r="T53" s="256">
        <f>-2-12-9-28-200-15-400-2-399.88-2-500-(0.12+16.04+0.32+0.2+0.08+0.12)*25.2</f>
        <v>-1995.2560000000001</v>
      </c>
      <c r="U53" s="256">
        <f>-2-12-18-44-200-15-4-400-399.88-(0.12+16.04+0.16+0.2+0.08)*25.2</f>
        <v>-1513.2</v>
      </c>
      <c r="V53" s="256">
        <f>-500-4920-500-2-2-4-40-15-200-15-4-400-30-399.96-500-11231.54-500-2792-(0.12+16.16+0.32+0.2+0.08)*25.2</f>
        <v>-22480.876</v>
      </c>
      <c r="W53" s="256">
        <f>-18-15-5-44-200-400-2-400-(0.08+16.28+0.08+0.41)*25</f>
        <v>-1505.25</v>
      </c>
      <c r="X53" s="256">
        <f>-35-9-14-200-15-400-36-399.92-(16.36+0.2+0.08)*25.2</f>
        <v>-1528.248</v>
      </c>
      <c r="Y53" s="256">
        <f>-25-10-200-15-12-400-36-399.91-(16.43+0.21+0.08)*25.2</f>
        <v>-1519.2539999999999</v>
      </c>
      <c r="Z53" s="256">
        <f>-8-3-20-200-3-400-8-400.7-(16.44+0.21+0.08)*25.2</f>
        <v>-1464.296</v>
      </c>
      <c r="AA53" s="256">
        <f>-6-27-200-15-30-400-76-400</f>
        <v>-1154</v>
      </c>
      <c r="AB53" s="256">
        <f>-500-2482.18-500-6-32-9-45-200-15-400-12-400-(0.56+0.24+2.06+16.5)*25.2-19.39*20.2</f>
        <v>-5480.7300000000005</v>
      </c>
      <c r="AC53" s="256">
        <f>-25-15-200-2-30-400-8-60-400</f>
        <v>-1140</v>
      </c>
      <c r="AD53" s="256">
        <f>-6-12-18-16-44-200-55-400-5.09-1.94-400.04</f>
        <v>-1158.0700000000002</v>
      </c>
      <c r="AE53" s="256">
        <f>-2-15-45-200-2-30-400-12-60-400.08</f>
        <v>-1166.08</v>
      </c>
      <c r="AF53" s="256">
        <f>-2-21-30-4-14-200-68-60-400-399.99-2</f>
        <v>-1200.99</v>
      </c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255"/>
      <c r="AS53" s="255"/>
      <c r="AT53" s="255"/>
      <c r="AU53" s="255"/>
      <c r="AV53" s="255"/>
      <c r="AW53" s="255"/>
      <c r="AX53" s="255"/>
      <c r="AY53" s="255"/>
      <c r="AZ53" s="255"/>
      <c r="BA53" s="255"/>
      <c r="BB53" s="255"/>
      <c r="BC53" s="255"/>
      <c r="BD53" s="255"/>
      <c r="BE53" s="255"/>
      <c r="BF53" s="255"/>
      <c r="BG53" s="255"/>
      <c r="BH53" s="255"/>
      <c r="BI53" s="255"/>
      <c r="BJ53" s="255"/>
      <c r="BK53" s="255"/>
      <c r="BL53" s="255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64"/>
      <c r="BY53" s="266">
        <f t="shared" si="17"/>
        <v>-71265.295000000027</v>
      </c>
      <c r="BZ53" s="771"/>
    </row>
    <row r="54" spans="1:78" outlineLevel="1">
      <c r="A54" s="603"/>
      <c r="B54" s="787"/>
      <c r="C54" s="253" t="s">
        <v>237</v>
      </c>
      <c r="D54" s="258" t="s">
        <v>270</v>
      </c>
      <c r="E54" s="259"/>
      <c r="F54" s="259"/>
      <c r="G54" s="255"/>
      <c r="H54" s="256"/>
      <c r="I54" s="256">
        <f>-3360</f>
        <v>-3360</v>
      </c>
      <c r="J54" s="256"/>
      <c r="K54" s="256"/>
      <c r="L54" s="256"/>
      <c r="M54" s="256"/>
      <c r="N54" s="256"/>
      <c r="O54" s="256">
        <f>-3360</f>
        <v>-3360</v>
      </c>
      <c r="P54" s="256"/>
      <c r="Q54" s="256"/>
      <c r="R54" s="256"/>
      <c r="S54" s="256"/>
      <c r="T54" s="256">
        <f>-23798</f>
        <v>-23798</v>
      </c>
      <c r="U54" s="255">
        <f>-15259-1943</f>
        <v>-17202</v>
      </c>
      <c r="V54" s="255"/>
      <c r="W54" s="255"/>
      <c r="X54" s="255">
        <f>-14153</f>
        <v>-14153</v>
      </c>
      <c r="Y54" s="255"/>
      <c r="Z54" s="255"/>
      <c r="AA54" s="255">
        <f>-15259</f>
        <v>-15259</v>
      </c>
      <c r="AB54" s="255">
        <f>-14153</f>
        <v>-14153</v>
      </c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55"/>
      <c r="BK54" s="255"/>
      <c r="BL54" s="255"/>
      <c r="BM54" s="255"/>
      <c r="BN54" s="255"/>
      <c r="BO54" s="255"/>
      <c r="BP54" s="255"/>
      <c r="BQ54" s="255"/>
      <c r="BR54" s="255"/>
      <c r="BS54" s="255"/>
      <c r="BT54" s="255"/>
      <c r="BU54" s="255"/>
      <c r="BV54" s="255"/>
      <c r="BW54" s="255"/>
      <c r="BX54" s="264"/>
      <c r="BY54" s="268">
        <f t="shared" si="17"/>
        <v>-91285</v>
      </c>
      <c r="BZ54" s="771"/>
    </row>
    <row r="55" spans="1:78" ht="16">
      <c r="A55" s="603"/>
      <c r="B55" s="787"/>
      <c r="C55" s="248" t="s">
        <v>295</v>
      </c>
      <c r="D55" s="249"/>
      <c r="E55" s="250">
        <f t="shared" ref="E55:BX55" si="18">SUM(E56:E62)</f>
        <v>0</v>
      </c>
      <c r="F55" s="250">
        <f t="shared" si="18"/>
        <v>0</v>
      </c>
      <c r="G55" s="250">
        <f t="shared" si="18"/>
        <v>0</v>
      </c>
      <c r="H55" s="250">
        <f t="shared" si="18"/>
        <v>0</v>
      </c>
      <c r="I55" s="250">
        <f t="shared" si="18"/>
        <v>0</v>
      </c>
      <c r="J55" s="250">
        <f t="shared" si="18"/>
        <v>0</v>
      </c>
      <c r="K55" s="250">
        <f t="shared" si="18"/>
        <v>0</v>
      </c>
      <c r="L55" s="250">
        <f t="shared" si="18"/>
        <v>0</v>
      </c>
      <c r="M55" s="250">
        <f t="shared" si="18"/>
        <v>-48944.520000000004</v>
      </c>
      <c r="N55" s="250">
        <f t="shared" si="18"/>
        <v>-123582.04</v>
      </c>
      <c r="O55" s="250">
        <f t="shared" si="18"/>
        <v>-10395.44</v>
      </c>
      <c r="P55" s="250">
        <f t="shared" si="18"/>
        <v>-394726.13999999996</v>
      </c>
      <c r="Q55" s="250">
        <f t="shared" si="18"/>
        <v>-245545.71499999997</v>
      </c>
      <c r="R55" s="250">
        <f t="shared" si="18"/>
        <v>-41897.49</v>
      </c>
      <c r="S55" s="250">
        <f t="shared" si="18"/>
        <v>-391165.82999999996</v>
      </c>
      <c r="T55" s="250">
        <f t="shared" si="18"/>
        <v>-180942.52</v>
      </c>
      <c r="U55" s="250">
        <f t="shared" si="18"/>
        <v>0</v>
      </c>
      <c r="V55" s="250">
        <f t="shared" si="18"/>
        <v>-215113.24799999999</v>
      </c>
      <c r="W55" s="250">
        <f t="shared" si="18"/>
        <v>-344115.46</v>
      </c>
      <c r="X55" s="250">
        <f t="shared" si="18"/>
        <v>0</v>
      </c>
      <c r="Y55" s="250">
        <f t="shared" si="18"/>
        <v>-489887.75199999998</v>
      </c>
      <c r="Z55" s="250">
        <f t="shared" si="18"/>
        <v>-273789.46600000001</v>
      </c>
      <c r="AA55" s="250">
        <f t="shared" si="18"/>
        <v>0</v>
      </c>
      <c r="AB55" s="250">
        <f t="shared" si="18"/>
        <v>-564565.38199999998</v>
      </c>
      <c r="AC55" s="250">
        <f t="shared" si="18"/>
        <v>0</v>
      </c>
      <c r="AD55" s="250">
        <f t="shared" si="18"/>
        <v>-307520.43</v>
      </c>
      <c r="AE55" s="250">
        <f t="shared" si="18"/>
        <v>-547823.61199999996</v>
      </c>
      <c r="AF55" s="250">
        <f t="shared" si="18"/>
        <v>-263351.44200000004</v>
      </c>
      <c r="AG55" s="250">
        <f t="shared" si="18"/>
        <v>-4628773.8760273969</v>
      </c>
      <c r="AH55" s="250">
        <f t="shared" si="18"/>
        <v>0</v>
      </c>
      <c r="AI55" s="250">
        <f t="shared" si="18"/>
        <v>0</v>
      </c>
      <c r="AJ55" s="250">
        <f t="shared" si="18"/>
        <v>0</v>
      </c>
      <c r="AK55" s="250">
        <f t="shared" si="18"/>
        <v>0</v>
      </c>
      <c r="AL55" s="250">
        <f t="shared" si="18"/>
        <v>0</v>
      </c>
      <c r="AM55" s="250">
        <f t="shared" si="18"/>
        <v>0</v>
      </c>
      <c r="AN55" s="250">
        <f t="shared" si="18"/>
        <v>0</v>
      </c>
      <c r="AO55" s="250">
        <f t="shared" si="18"/>
        <v>0</v>
      </c>
      <c r="AP55" s="250">
        <f t="shared" si="18"/>
        <v>0</v>
      </c>
      <c r="AQ55" s="250">
        <f t="shared" si="18"/>
        <v>0</v>
      </c>
      <c r="AR55" s="250">
        <f t="shared" si="18"/>
        <v>0</v>
      </c>
      <c r="AS55" s="250">
        <f t="shared" si="18"/>
        <v>0</v>
      </c>
      <c r="AT55" s="250">
        <f t="shared" si="18"/>
        <v>0</v>
      </c>
      <c r="AU55" s="250">
        <f t="shared" si="18"/>
        <v>0</v>
      </c>
      <c r="AV55" s="250">
        <f t="shared" si="18"/>
        <v>0</v>
      </c>
      <c r="AW55" s="250">
        <f t="shared" si="18"/>
        <v>0</v>
      </c>
      <c r="AX55" s="250">
        <f t="shared" si="18"/>
        <v>0</v>
      </c>
      <c r="AY55" s="250">
        <f t="shared" si="18"/>
        <v>0</v>
      </c>
      <c r="AZ55" s="250">
        <f t="shared" si="18"/>
        <v>0</v>
      </c>
      <c r="BA55" s="250">
        <f t="shared" si="18"/>
        <v>0</v>
      </c>
      <c r="BB55" s="250">
        <f t="shared" si="18"/>
        <v>0</v>
      </c>
      <c r="BC55" s="250">
        <f t="shared" si="18"/>
        <v>0</v>
      </c>
      <c r="BD55" s="250">
        <f t="shared" si="18"/>
        <v>0</v>
      </c>
      <c r="BE55" s="250">
        <f t="shared" si="18"/>
        <v>0</v>
      </c>
      <c r="BF55" s="250">
        <f t="shared" si="18"/>
        <v>0</v>
      </c>
      <c r="BG55" s="250">
        <f t="shared" si="18"/>
        <v>0</v>
      </c>
      <c r="BH55" s="250">
        <f t="shared" si="18"/>
        <v>0</v>
      </c>
      <c r="BI55" s="250">
        <f t="shared" si="18"/>
        <v>0</v>
      </c>
      <c r="BJ55" s="250">
        <f t="shared" si="18"/>
        <v>0</v>
      </c>
      <c r="BK55" s="250">
        <f t="shared" si="18"/>
        <v>0</v>
      </c>
      <c r="BL55" s="250">
        <f t="shared" si="18"/>
        <v>0</v>
      </c>
      <c r="BM55" s="250">
        <f t="shared" si="18"/>
        <v>0</v>
      </c>
      <c r="BN55" s="250">
        <f t="shared" si="18"/>
        <v>0</v>
      </c>
      <c r="BO55" s="250">
        <f t="shared" si="18"/>
        <v>0</v>
      </c>
      <c r="BP55" s="250">
        <f t="shared" si="18"/>
        <v>0</v>
      </c>
      <c r="BQ55" s="250">
        <f t="shared" si="18"/>
        <v>0</v>
      </c>
      <c r="BR55" s="250">
        <f t="shared" si="18"/>
        <v>0</v>
      </c>
      <c r="BS55" s="250">
        <f t="shared" si="18"/>
        <v>0</v>
      </c>
      <c r="BT55" s="250">
        <f t="shared" si="18"/>
        <v>0</v>
      </c>
      <c r="BU55" s="250">
        <f t="shared" si="18"/>
        <v>0</v>
      </c>
      <c r="BV55" s="250">
        <f t="shared" si="18"/>
        <v>0</v>
      </c>
      <c r="BW55" s="250">
        <f t="shared" si="18"/>
        <v>0</v>
      </c>
      <c r="BX55" s="250">
        <f t="shared" si="18"/>
        <v>0</v>
      </c>
      <c r="BY55" s="252">
        <f>SUM(BY56:BY62)</f>
        <v>-9072140.3630273975</v>
      </c>
      <c r="BZ55" s="771"/>
    </row>
    <row r="56" spans="1:78" outlineLevel="1">
      <c r="A56" s="603"/>
      <c r="B56" s="787"/>
      <c r="C56" s="253" t="s">
        <v>296</v>
      </c>
      <c r="D56" s="279">
        <v>0</v>
      </c>
      <c r="E56" s="255"/>
      <c r="F56" s="255"/>
      <c r="G56" s="255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69">
        <f>-$BY$5*$D$57/365*$CB$27</f>
        <v>-2712555.1260273973</v>
      </c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55"/>
      <c r="BK56" s="255"/>
      <c r="BL56" s="255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80">
        <f t="shared" ref="BY56:BY62" si="19">SUM(E56:BX56)</f>
        <v>-2712555.1260273973</v>
      </c>
      <c r="BZ56" s="771"/>
    </row>
    <row r="57" spans="1:78" outlineLevel="1">
      <c r="A57" s="603"/>
      <c r="B57" s="787"/>
      <c r="C57" s="253" t="s">
        <v>297</v>
      </c>
      <c r="D57" s="279">
        <v>0.11</v>
      </c>
      <c r="E57" s="255"/>
      <c r="F57" s="255"/>
      <c r="G57" s="255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55"/>
      <c r="AG57" s="255">
        <f>-SUM('Interest Calc EQ 14.4.2025'!J14:J35)-'Interest Calc EQ 14.4.2025'!J35</f>
        <v>-1916218.7499999998</v>
      </c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80">
        <f t="shared" si="19"/>
        <v>-1916218.7499999998</v>
      </c>
      <c r="BZ57" s="771"/>
    </row>
    <row r="58" spans="1:78" outlineLevel="1">
      <c r="A58" s="603"/>
      <c r="B58" s="787"/>
      <c r="C58" s="253" t="s">
        <v>298</v>
      </c>
      <c r="D58" s="279">
        <v>0.11</v>
      </c>
      <c r="E58" s="255"/>
      <c r="F58" s="255"/>
      <c r="G58" s="255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55"/>
      <c r="BK58" s="255"/>
      <c r="BL58" s="255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80">
        <f t="shared" si="19"/>
        <v>0</v>
      </c>
      <c r="BZ58" s="771"/>
    </row>
    <row r="59" spans="1:78" outlineLevel="1">
      <c r="A59" s="603"/>
      <c r="B59" s="787"/>
      <c r="C59" s="253" t="s">
        <v>299</v>
      </c>
      <c r="D59" s="279">
        <v>0.105</v>
      </c>
      <c r="E59" s="255"/>
      <c r="F59" s="255"/>
      <c r="G59" s="255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81">
        <f t="shared" si="19"/>
        <v>0</v>
      </c>
      <c r="BZ59" s="771"/>
    </row>
    <row r="60" spans="1:78" outlineLevel="1">
      <c r="A60" s="603"/>
      <c r="B60" s="787"/>
      <c r="C60" s="253" t="s">
        <v>300</v>
      </c>
      <c r="D60" s="279">
        <v>0.15</v>
      </c>
      <c r="E60" s="255"/>
      <c r="F60" s="255"/>
      <c r="G60" s="255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5"/>
      <c r="AL60" s="255"/>
      <c r="AM60" s="255"/>
      <c r="AN60" s="255"/>
      <c r="AO60" s="255"/>
      <c r="AP60" s="255"/>
      <c r="AQ60" s="255"/>
      <c r="AR60" s="255"/>
      <c r="AS60" s="255"/>
      <c r="AT60" s="255"/>
      <c r="AU60" s="255"/>
      <c r="AV60" s="255"/>
      <c r="AW60" s="255"/>
      <c r="AX60" s="255"/>
      <c r="AY60" s="255"/>
      <c r="AZ60" s="255"/>
      <c r="BA60" s="255"/>
      <c r="BB60" s="255"/>
      <c r="BC60" s="255"/>
      <c r="BD60" s="255"/>
      <c r="BE60" s="255"/>
      <c r="BF60" s="255"/>
      <c r="BG60" s="255"/>
      <c r="BH60" s="255"/>
      <c r="BI60" s="255"/>
      <c r="BJ60" s="255"/>
      <c r="BK60" s="255"/>
      <c r="BL60" s="255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82">
        <f t="shared" si="19"/>
        <v>0</v>
      </c>
      <c r="BZ60" s="771"/>
    </row>
    <row r="61" spans="1:78" outlineLevel="1">
      <c r="A61" s="603"/>
      <c r="B61" s="787"/>
      <c r="C61" s="253" t="s">
        <v>301</v>
      </c>
      <c r="D61" s="283">
        <v>5.8799999999999998E-2</v>
      </c>
      <c r="E61" s="259"/>
      <c r="F61" s="259"/>
      <c r="G61" s="259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/>
      <c r="V61" s="260"/>
      <c r="W61" s="260">
        <f>-500-9850.71-500-14428-17709</f>
        <v>-42987.71</v>
      </c>
      <c r="X61" s="260"/>
      <c r="Y61" s="260">
        <f>-500-7610.1-500-14867.89-33276.14-211.88-13513.17-500-4532.09-82702.87-500</f>
        <v>-158714.13999999998</v>
      </c>
      <c r="Z61" s="260">
        <f>-500-3824.33-500-14428.94-32293.72-205.62-32166.48-338.66-20016.89-424.59</f>
        <v>-104699.23000000001</v>
      </c>
      <c r="AA61" s="260"/>
      <c r="AB61" s="260">
        <f>-14454.61-32351.19-205.99-32223.71-339.26-20052.5-425.34-484.2-14602.37-113547.42-2215.86-500-500</f>
        <v>-231902.44999999995</v>
      </c>
      <c r="AC61" s="260"/>
      <c r="AD61" s="260">
        <f>-500-2322-500-15359.84-34377.19-218.89-34241.74-360.51-21308.3-451.98-17847.34-1207.47-81.57</f>
        <v>-128776.83</v>
      </c>
      <c r="AE61" s="260">
        <f>-500-1580.57-500-13009.4-18690.95-2-36.49-0.65-101.51-1.07-63.17-1.34-1.53-52.91-3.58-2.66-1.97-10.96-10425-185.39-29001.9-305.34-18047.6-382.82-435.79-15116.25-1022.7-761.29-561.64-3130.48-500-1348.55-500-13498.04-30210.26-192.36-30091.22-316.81-18725.47-397.19-452.15-15684.03-1061.11-789.88-582.73-6484.56</f>
        <v>-234771.31999999998</v>
      </c>
      <c r="AF61" s="260">
        <f>-467.93-1047.29-6.67-1043.17-10.98-649.15-13.77-15.67-543.72-36.79-27.38-20.2-224.8-230.96-18.89-500-500-(0.12+0.08+1.44+0.66+0.48+0.12+16.42)*25.2</f>
        <v>-5844.2340000000004</v>
      </c>
      <c r="AG61" s="259"/>
      <c r="AH61" s="259"/>
      <c r="AI61" s="259"/>
      <c r="AJ61" s="259"/>
      <c r="AK61" s="259"/>
      <c r="AL61" s="259"/>
      <c r="AM61" s="259"/>
      <c r="AN61" s="259"/>
      <c r="AO61" s="259"/>
      <c r="AP61" s="259"/>
      <c r="AQ61" s="259"/>
      <c r="AR61" s="259"/>
      <c r="AS61" s="259"/>
      <c r="AT61" s="259"/>
      <c r="AU61" s="259"/>
      <c r="AV61" s="259"/>
      <c r="AW61" s="259"/>
      <c r="AX61" s="259"/>
      <c r="AY61" s="259"/>
      <c r="AZ61" s="259"/>
      <c r="BA61" s="259"/>
      <c r="BB61" s="259"/>
      <c r="BC61" s="259"/>
      <c r="BD61" s="259"/>
      <c r="BE61" s="259"/>
      <c r="BF61" s="259"/>
      <c r="BG61" s="259"/>
      <c r="BH61" s="259"/>
      <c r="BI61" s="259"/>
      <c r="BJ61" s="259"/>
      <c r="BK61" s="259"/>
      <c r="BL61" s="255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82">
        <f t="shared" si="19"/>
        <v>-907695.91399999987</v>
      </c>
      <c r="BZ61" s="771"/>
    </row>
    <row r="62" spans="1:78" outlineLevel="1">
      <c r="A62" s="603"/>
      <c r="B62" s="787"/>
      <c r="C62" s="284" t="s">
        <v>302</v>
      </c>
      <c r="D62" s="285">
        <v>7.0000000000000007E-2</v>
      </c>
      <c r="E62" s="286"/>
      <c r="F62" s="286"/>
      <c r="G62" s="286"/>
      <c r="H62" s="287"/>
      <c r="I62" s="287"/>
      <c r="J62" s="287"/>
      <c r="K62" s="287"/>
      <c r="L62" s="287"/>
      <c r="M62" s="287">
        <f>-500-3013.89-17009.89-28420.74</f>
        <v>-48944.520000000004</v>
      </c>
      <c r="N62" s="287">
        <f>-500-3013.89-9715.85-35542.84-269.74-74539.72</f>
        <v>-123582.04</v>
      </c>
      <c r="O62" s="287">
        <f>-10395.44</f>
        <v>-10395.44</v>
      </c>
      <c r="P62" s="287">
        <f>-36289.12-275.39-112183.53-655.08-28529.87-31795.97-241.3-98293.51-658.05-45740.57-920.44-22573.06-16570.25</f>
        <v>-394726.13999999996</v>
      </c>
      <c r="Q62" s="287">
        <f>-11880.56-500-4442.66-33933.26-257.52-104900.69-702.28-48815.2-982.31-27035.66-1156.555-10939.02</f>
        <v>-245545.71499999997</v>
      </c>
      <c r="R62" s="287">
        <f>500-69.05-30398.58-230.69-11699.17</f>
        <v>-41897.49</v>
      </c>
      <c r="S62" s="287">
        <f>-224419.27-1.26-87.46-1.76-48.44-2.07-27.62-82274.48-629.13-43730.34-879.98-24219.48-1036.08-13808.46</f>
        <v>-391165.82999999996</v>
      </c>
      <c r="T62" s="287">
        <f>-7227.02-(6948.62)*25</f>
        <v>-180942.52</v>
      </c>
      <c r="U62" s="287"/>
      <c r="V62" s="287">
        <f>-(7581+955.24)*25.2</f>
        <v>-215113.24799999999</v>
      </c>
      <c r="W62" s="287">
        <f>-(5247.39+6762.86+34.86)*25</f>
        <v>-301127.75</v>
      </c>
      <c r="X62" s="287"/>
      <c r="Y62" s="287">
        <f>-(6927.11+6214.7)*25.2</f>
        <v>-331173.61199999996</v>
      </c>
      <c r="Z62" s="287">
        <f>-6709.93*25.2</f>
        <v>-169090.236</v>
      </c>
      <c r="AA62" s="287"/>
      <c r="AB62" s="287">
        <f>-(6670.06+6530.85)*25.2</f>
        <v>-332662.93199999997</v>
      </c>
      <c r="AC62" s="287"/>
      <c r="AD62" s="287">
        <f>-7093*25.2</f>
        <v>-178743.6</v>
      </c>
      <c r="AE62" s="287">
        <f>-6132.21*25.2-6290.5*25.2</f>
        <v>-313052.29200000002</v>
      </c>
      <c r="AF62" s="287">
        <f>(-6407.68-3810.86)*25.2</f>
        <v>-257507.20800000001</v>
      </c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8"/>
      <c r="BN62" s="288"/>
      <c r="BO62" s="288"/>
      <c r="BP62" s="288"/>
      <c r="BQ62" s="288"/>
      <c r="BR62" s="288"/>
      <c r="BS62" s="288"/>
      <c r="BT62" s="288"/>
      <c r="BU62" s="288"/>
      <c r="BV62" s="288"/>
      <c r="BW62" s="288"/>
      <c r="BX62" s="288"/>
      <c r="BY62" s="289">
        <f t="shared" si="19"/>
        <v>-3535670.5729999999</v>
      </c>
      <c r="BZ62" s="771"/>
    </row>
    <row r="63" spans="1:78" ht="16">
      <c r="A63" s="603"/>
      <c r="B63" s="787"/>
      <c r="C63" s="248" t="s">
        <v>303</v>
      </c>
      <c r="D63" s="249"/>
      <c r="E63" s="250">
        <f t="shared" ref="E63:BY63" si="20">SUM(E64:E86)</f>
        <v>0</v>
      </c>
      <c r="F63" s="250">
        <f t="shared" si="20"/>
        <v>0</v>
      </c>
      <c r="G63" s="250">
        <f t="shared" si="20"/>
        <v>0</v>
      </c>
      <c r="H63" s="250">
        <f t="shared" si="20"/>
        <v>0</v>
      </c>
      <c r="I63" s="250">
        <f t="shared" si="20"/>
        <v>0</v>
      </c>
      <c r="J63" s="250">
        <f t="shared" si="20"/>
        <v>0</v>
      </c>
      <c r="K63" s="250">
        <f t="shared" si="20"/>
        <v>0</v>
      </c>
      <c r="L63" s="250">
        <f t="shared" si="20"/>
        <v>0</v>
      </c>
      <c r="M63" s="250">
        <f t="shared" si="20"/>
        <v>0</v>
      </c>
      <c r="N63" s="250">
        <f t="shared" si="20"/>
        <v>0</v>
      </c>
      <c r="O63" s="250">
        <f t="shared" si="20"/>
        <v>0</v>
      </c>
      <c r="P63" s="250">
        <f t="shared" si="20"/>
        <v>0</v>
      </c>
      <c r="Q63" s="250">
        <f t="shared" si="20"/>
        <v>0</v>
      </c>
      <c r="R63" s="250">
        <f t="shared" si="20"/>
        <v>0</v>
      </c>
      <c r="S63" s="250">
        <f t="shared" si="20"/>
        <v>-57959</v>
      </c>
      <c r="T63" s="250">
        <f t="shared" si="20"/>
        <v>-81554</v>
      </c>
      <c r="U63" s="250">
        <f t="shared" si="20"/>
        <v>-75000</v>
      </c>
      <c r="V63" s="250">
        <f t="shared" si="20"/>
        <v>-26495</v>
      </c>
      <c r="W63" s="250">
        <f t="shared" si="20"/>
        <v>-15000</v>
      </c>
      <c r="X63" s="250">
        <f t="shared" si="20"/>
        <v>-15000</v>
      </c>
      <c r="Y63" s="250">
        <f t="shared" si="20"/>
        <v>-15000</v>
      </c>
      <c r="Z63" s="250">
        <f t="shared" si="20"/>
        <v>-55207</v>
      </c>
      <c r="AA63" s="250">
        <f t="shared" si="20"/>
        <v>-167895</v>
      </c>
      <c r="AB63" s="250">
        <f t="shared" si="20"/>
        <v>-69388.42975206612</v>
      </c>
      <c r="AC63" s="250">
        <f t="shared" si="20"/>
        <v>-267449.58677685953</v>
      </c>
      <c r="AD63" s="250">
        <f>SUM(AD64:AD86)</f>
        <v>-73964.876033057852</v>
      </c>
      <c r="AE63" s="250">
        <f t="shared" si="20"/>
        <v>-260147.02479338847</v>
      </c>
      <c r="AF63" s="250">
        <f t="shared" si="20"/>
        <v>-349685.74380165292</v>
      </c>
      <c r="AG63" s="250">
        <f t="shared" si="20"/>
        <v>-812078.79975357116</v>
      </c>
      <c r="AH63" s="250">
        <f t="shared" si="20"/>
        <v>0</v>
      </c>
      <c r="AI63" s="250">
        <f t="shared" si="20"/>
        <v>0</v>
      </c>
      <c r="AJ63" s="250">
        <f t="shared" si="20"/>
        <v>0</v>
      </c>
      <c r="AK63" s="250">
        <f t="shared" si="20"/>
        <v>0</v>
      </c>
      <c r="AL63" s="250">
        <f t="shared" si="20"/>
        <v>0</v>
      </c>
      <c r="AM63" s="250">
        <f t="shared" si="20"/>
        <v>0</v>
      </c>
      <c r="AN63" s="250">
        <f t="shared" si="20"/>
        <v>0</v>
      </c>
      <c r="AO63" s="250">
        <f t="shared" si="20"/>
        <v>0</v>
      </c>
      <c r="AP63" s="250">
        <f t="shared" si="20"/>
        <v>0</v>
      </c>
      <c r="AQ63" s="250">
        <f t="shared" si="20"/>
        <v>0</v>
      </c>
      <c r="AR63" s="250">
        <f t="shared" si="20"/>
        <v>0</v>
      </c>
      <c r="AS63" s="250">
        <f t="shared" si="20"/>
        <v>0</v>
      </c>
      <c r="AT63" s="250">
        <f t="shared" si="20"/>
        <v>0</v>
      </c>
      <c r="AU63" s="250">
        <f t="shared" si="20"/>
        <v>0</v>
      </c>
      <c r="AV63" s="250">
        <f t="shared" si="20"/>
        <v>0</v>
      </c>
      <c r="AW63" s="250">
        <f t="shared" si="20"/>
        <v>0</v>
      </c>
      <c r="AX63" s="250">
        <f t="shared" si="20"/>
        <v>0</v>
      </c>
      <c r="AY63" s="250">
        <f t="shared" si="20"/>
        <v>0</v>
      </c>
      <c r="AZ63" s="250">
        <f t="shared" si="20"/>
        <v>0</v>
      </c>
      <c r="BA63" s="250">
        <f t="shared" si="20"/>
        <v>0</v>
      </c>
      <c r="BB63" s="250">
        <f t="shared" si="20"/>
        <v>0</v>
      </c>
      <c r="BC63" s="250">
        <f t="shared" si="20"/>
        <v>0</v>
      </c>
      <c r="BD63" s="250">
        <f t="shared" si="20"/>
        <v>0</v>
      </c>
      <c r="BE63" s="250">
        <f t="shared" si="20"/>
        <v>0</v>
      </c>
      <c r="BF63" s="250">
        <f t="shared" si="20"/>
        <v>0</v>
      </c>
      <c r="BG63" s="250">
        <f t="shared" si="20"/>
        <v>0</v>
      </c>
      <c r="BH63" s="250">
        <f t="shared" si="20"/>
        <v>0</v>
      </c>
      <c r="BI63" s="250">
        <f t="shared" si="20"/>
        <v>0</v>
      </c>
      <c r="BJ63" s="250">
        <f t="shared" si="20"/>
        <v>0</v>
      </c>
      <c r="BK63" s="250">
        <f t="shared" si="20"/>
        <v>0</v>
      </c>
      <c r="BL63" s="250">
        <f t="shared" si="20"/>
        <v>0</v>
      </c>
      <c r="BM63" s="250">
        <f t="shared" si="20"/>
        <v>0</v>
      </c>
      <c r="BN63" s="250">
        <f t="shared" si="20"/>
        <v>0</v>
      </c>
      <c r="BO63" s="250">
        <f t="shared" si="20"/>
        <v>0</v>
      </c>
      <c r="BP63" s="250">
        <f t="shared" si="20"/>
        <v>0</v>
      </c>
      <c r="BQ63" s="250">
        <f t="shared" si="20"/>
        <v>0</v>
      </c>
      <c r="BR63" s="250">
        <f t="shared" si="20"/>
        <v>0</v>
      </c>
      <c r="BS63" s="250">
        <f t="shared" si="20"/>
        <v>0</v>
      </c>
      <c r="BT63" s="250">
        <f t="shared" si="20"/>
        <v>0</v>
      </c>
      <c r="BU63" s="250">
        <f t="shared" si="20"/>
        <v>0</v>
      </c>
      <c r="BV63" s="250">
        <f t="shared" si="20"/>
        <v>0</v>
      </c>
      <c r="BW63" s="250">
        <f t="shared" si="20"/>
        <v>0</v>
      </c>
      <c r="BX63" s="250">
        <f t="shared" si="20"/>
        <v>0</v>
      </c>
      <c r="BY63" s="251">
        <f t="shared" si="20"/>
        <v>-2341824.460910596</v>
      </c>
      <c r="BZ63" s="771"/>
    </row>
    <row r="64" spans="1:78" outlineLevel="1">
      <c r="A64" s="603"/>
      <c r="B64" s="787"/>
      <c r="C64" s="290" t="s">
        <v>304</v>
      </c>
      <c r="D64" s="254" t="s">
        <v>270</v>
      </c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  <c r="AN64" s="256"/>
      <c r="AO64" s="256"/>
      <c r="AP64" s="256"/>
      <c r="AQ64" s="256"/>
      <c r="AR64" s="256"/>
      <c r="AS64" s="256"/>
      <c r="AT64" s="256"/>
      <c r="AU64" s="256"/>
      <c r="AV64" s="256"/>
      <c r="AW64" s="256"/>
      <c r="AX64" s="256"/>
      <c r="AY64" s="256"/>
      <c r="AZ64" s="256"/>
      <c r="BA64" s="256"/>
      <c r="BB64" s="256"/>
      <c r="BC64" s="256"/>
      <c r="BD64" s="256"/>
      <c r="BE64" s="256"/>
      <c r="BF64" s="256"/>
      <c r="BG64" s="256"/>
      <c r="BH64" s="256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91">
        <f t="shared" ref="BY64:BY86" si="21">SUM(E64:BX64)</f>
        <v>0</v>
      </c>
      <c r="BZ64" s="771"/>
    </row>
    <row r="65" spans="1:78" outlineLevel="1">
      <c r="A65" s="603"/>
      <c r="B65" s="787"/>
      <c r="C65" s="292" t="s">
        <v>305</v>
      </c>
      <c r="D65" s="254" t="s">
        <v>270</v>
      </c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  <c r="AM65" s="256"/>
      <c r="AN65" s="256"/>
      <c r="AO65" s="256"/>
      <c r="AP65" s="256"/>
      <c r="AQ65" s="256"/>
      <c r="AR65" s="256"/>
      <c r="AS65" s="256"/>
      <c r="AT65" s="256"/>
      <c r="AU65" s="256"/>
      <c r="AV65" s="256"/>
      <c r="AW65" s="256"/>
      <c r="AX65" s="256"/>
      <c r="AY65" s="256"/>
      <c r="AZ65" s="256"/>
      <c r="BA65" s="256"/>
      <c r="BB65" s="256"/>
      <c r="BC65" s="256"/>
      <c r="BD65" s="256"/>
      <c r="BE65" s="256"/>
      <c r="BF65" s="256"/>
      <c r="BG65" s="256"/>
      <c r="BH65" s="256"/>
      <c r="BI65" s="256"/>
      <c r="BJ65" s="256"/>
      <c r="BK65" s="256"/>
      <c r="BL65" s="256"/>
      <c r="BM65" s="256"/>
      <c r="BN65" s="256"/>
      <c r="BO65" s="256"/>
      <c r="BP65" s="256"/>
      <c r="BQ65" s="256"/>
      <c r="BR65" s="256"/>
      <c r="BS65" s="256"/>
      <c r="BT65" s="256"/>
      <c r="BU65" s="256"/>
      <c r="BV65" s="256"/>
      <c r="BW65" s="256"/>
      <c r="BX65" s="256"/>
      <c r="BY65" s="291">
        <f t="shared" si="21"/>
        <v>0</v>
      </c>
      <c r="BZ65" s="771"/>
    </row>
    <row r="66" spans="1:78" outlineLevel="1">
      <c r="A66" s="603"/>
      <c r="B66" s="787"/>
      <c r="C66" s="292" t="s">
        <v>306</v>
      </c>
      <c r="D66" s="254" t="s">
        <v>270</v>
      </c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  <c r="AM66" s="256"/>
      <c r="AN66" s="256"/>
      <c r="AO66" s="256"/>
      <c r="AP66" s="256"/>
      <c r="AQ66" s="256"/>
      <c r="AR66" s="256"/>
      <c r="AS66" s="256"/>
      <c r="AT66" s="256"/>
      <c r="AU66" s="256"/>
      <c r="AV66" s="256"/>
      <c r="AW66" s="256"/>
      <c r="AX66" s="256"/>
      <c r="AY66" s="256"/>
      <c r="AZ66" s="256"/>
      <c r="BA66" s="256"/>
      <c r="BB66" s="256"/>
      <c r="BC66" s="256"/>
      <c r="BD66" s="256"/>
      <c r="BE66" s="256"/>
      <c r="BF66" s="256"/>
      <c r="BG66" s="256"/>
      <c r="BH66" s="256"/>
      <c r="BI66" s="256"/>
      <c r="BJ66" s="256"/>
      <c r="BK66" s="256"/>
      <c r="BL66" s="256"/>
      <c r="BM66" s="256"/>
      <c r="BN66" s="256"/>
      <c r="BO66" s="256"/>
      <c r="BP66" s="256"/>
      <c r="BQ66" s="256"/>
      <c r="BR66" s="256"/>
      <c r="BS66" s="256"/>
      <c r="BT66" s="256"/>
      <c r="BU66" s="256"/>
      <c r="BV66" s="256"/>
      <c r="BW66" s="256"/>
      <c r="BX66" s="256"/>
      <c r="BY66" s="291">
        <f t="shared" si="21"/>
        <v>0</v>
      </c>
      <c r="BZ66" s="771"/>
    </row>
    <row r="67" spans="1:78" outlineLevel="1">
      <c r="A67" s="603"/>
      <c r="B67" s="787"/>
      <c r="C67" s="292" t="s">
        <v>307</v>
      </c>
      <c r="D67" s="254" t="s">
        <v>270</v>
      </c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91">
        <f t="shared" si="21"/>
        <v>0</v>
      </c>
      <c r="BZ67" s="771"/>
    </row>
    <row r="68" spans="1:78" outlineLevel="1">
      <c r="A68" s="603"/>
      <c r="B68" s="787"/>
      <c r="C68" s="292" t="s">
        <v>308</v>
      </c>
      <c r="D68" s="254" t="s">
        <v>270</v>
      </c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  <c r="AM68" s="256"/>
      <c r="AN68" s="256"/>
      <c r="AO68" s="256"/>
      <c r="AP68" s="256"/>
      <c r="AQ68" s="256"/>
      <c r="AR68" s="256"/>
      <c r="AS68" s="256"/>
      <c r="AT68" s="256"/>
      <c r="AU68" s="256"/>
      <c r="AV68" s="256"/>
      <c r="AW68" s="256"/>
      <c r="AX68" s="256"/>
      <c r="AY68" s="256"/>
      <c r="AZ68" s="256"/>
      <c r="BA68" s="256"/>
      <c r="BB68" s="256"/>
      <c r="BC68" s="256"/>
      <c r="BD68" s="256"/>
      <c r="BE68" s="256"/>
      <c r="BF68" s="256"/>
      <c r="BG68" s="256"/>
      <c r="BH68" s="256"/>
      <c r="BI68" s="256"/>
      <c r="BJ68" s="256"/>
      <c r="BK68" s="256"/>
      <c r="BL68" s="256"/>
      <c r="BM68" s="256"/>
      <c r="BN68" s="256"/>
      <c r="BO68" s="256"/>
      <c r="BP68" s="256"/>
      <c r="BQ68" s="256"/>
      <c r="BR68" s="256"/>
      <c r="BS68" s="256"/>
      <c r="BT68" s="256"/>
      <c r="BU68" s="256"/>
      <c r="BV68" s="256"/>
      <c r="BW68" s="256"/>
      <c r="BX68" s="256"/>
      <c r="BY68" s="291">
        <f t="shared" si="21"/>
        <v>0</v>
      </c>
      <c r="BZ68" s="771"/>
    </row>
    <row r="69" spans="1:78" outlineLevel="1">
      <c r="A69" s="603"/>
      <c r="B69" s="787"/>
      <c r="C69" s="292" t="s">
        <v>309</v>
      </c>
      <c r="D69" s="254" t="s">
        <v>270</v>
      </c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  <c r="AM69" s="256"/>
      <c r="AN69" s="256"/>
      <c r="AO69" s="256"/>
      <c r="AP69" s="256"/>
      <c r="AQ69" s="256"/>
      <c r="AR69" s="256"/>
      <c r="AS69" s="256"/>
      <c r="AT69" s="256"/>
      <c r="AU69" s="256"/>
      <c r="AV69" s="256"/>
      <c r="AW69" s="256"/>
      <c r="AX69" s="256"/>
      <c r="AY69" s="256"/>
      <c r="AZ69" s="256"/>
      <c r="BA69" s="256"/>
      <c r="BB69" s="256"/>
      <c r="BC69" s="256"/>
      <c r="BD69" s="256"/>
      <c r="BE69" s="256"/>
      <c r="BF69" s="256"/>
      <c r="BG69" s="256"/>
      <c r="BH69" s="256"/>
      <c r="BI69" s="256"/>
      <c r="BJ69" s="256"/>
      <c r="BK69" s="256"/>
      <c r="BL69" s="256"/>
      <c r="BM69" s="256"/>
      <c r="BN69" s="256"/>
      <c r="BO69" s="256"/>
      <c r="BP69" s="256"/>
      <c r="BQ69" s="256"/>
      <c r="BR69" s="256"/>
      <c r="BS69" s="256"/>
      <c r="BT69" s="256"/>
      <c r="BU69" s="256"/>
      <c r="BV69" s="256"/>
      <c r="BW69" s="256"/>
      <c r="BX69" s="256"/>
      <c r="BY69" s="291">
        <f t="shared" si="21"/>
        <v>0</v>
      </c>
      <c r="BZ69" s="771"/>
    </row>
    <row r="70" spans="1:78" outlineLevel="1">
      <c r="A70" s="603"/>
      <c r="B70" s="787"/>
      <c r="C70" s="292" t="s">
        <v>310</v>
      </c>
      <c r="D70" s="254" t="s">
        <v>270</v>
      </c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  <c r="AM70" s="256"/>
      <c r="AN70" s="256"/>
      <c r="AO70" s="256"/>
      <c r="AP70" s="256"/>
      <c r="AQ70" s="256"/>
      <c r="AR70" s="256"/>
      <c r="AS70" s="256"/>
      <c r="AT70" s="256"/>
      <c r="AU70" s="256"/>
      <c r="AV70" s="256"/>
      <c r="AW70" s="256"/>
      <c r="AX70" s="256"/>
      <c r="AY70" s="256"/>
      <c r="AZ70" s="256"/>
      <c r="BA70" s="256"/>
      <c r="BB70" s="256"/>
      <c r="BC70" s="256"/>
      <c r="BD70" s="256"/>
      <c r="BE70" s="256"/>
      <c r="BF70" s="256"/>
      <c r="BG70" s="256"/>
      <c r="BH70" s="256"/>
      <c r="BI70" s="256"/>
      <c r="BJ70" s="256"/>
      <c r="BK70" s="256"/>
      <c r="BL70" s="256"/>
      <c r="BM70" s="256"/>
      <c r="BN70" s="256"/>
      <c r="BO70" s="256"/>
      <c r="BP70" s="256"/>
      <c r="BQ70" s="256"/>
      <c r="BR70" s="256"/>
      <c r="BS70" s="256"/>
      <c r="BT70" s="256"/>
      <c r="BU70" s="256"/>
      <c r="BV70" s="256"/>
      <c r="BW70" s="256"/>
      <c r="BX70" s="256"/>
      <c r="BY70" s="291">
        <f t="shared" si="21"/>
        <v>0</v>
      </c>
      <c r="BZ70" s="771"/>
    </row>
    <row r="71" spans="1:78" outlineLevel="1">
      <c r="A71" s="603"/>
      <c r="B71" s="787"/>
      <c r="C71" s="292" t="s">
        <v>311</v>
      </c>
      <c r="D71" s="254" t="s">
        <v>270</v>
      </c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  <c r="AM71" s="256"/>
      <c r="AN71" s="256"/>
      <c r="AO71" s="256"/>
      <c r="AP71" s="256"/>
      <c r="AQ71" s="256"/>
      <c r="AR71" s="256"/>
      <c r="AS71" s="256"/>
      <c r="AT71" s="256"/>
      <c r="AU71" s="256"/>
      <c r="AV71" s="256"/>
      <c r="AW71" s="256"/>
      <c r="AX71" s="256"/>
      <c r="AY71" s="256"/>
      <c r="AZ71" s="256"/>
      <c r="BA71" s="256"/>
      <c r="BB71" s="256"/>
      <c r="BC71" s="256"/>
      <c r="BD71" s="256"/>
      <c r="BE71" s="256"/>
      <c r="BF71" s="256"/>
      <c r="BG71" s="256"/>
      <c r="BH71" s="256"/>
      <c r="BI71" s="256"/>
      <c r="BJ71" s="256"/>
      <c r="BK71" s="256"/>
      <c r="BL71" s="256"/>
      <c r="BM71" s="256"/>
      <c r="BN71" s="256"/>
      <c r="BO71" s="256"/>
      <c r="BP71" s="256"/>
      <c r="BQ71" s="256"/>
      <c r="BR71" s="256"/>
      <c r="BS71" s="256"/>
      <c r="BT71" s="256"/>
      <c r="BU71" s="256"/>
      <c r="BV71" s="256"/>
      <c r="BW71" s="256"/>
      <c r="BX71" s="256"/>
      <c r="BY71" s="291">
        <f t="shared" si="21"/>
        <v>0</v>
      </c>
      <c r="BZ71" s="771"/>
    </row>
    <row r="72" spans="1:78" outlineLevel="1">
      <c r="A72" s="603"/>
      <c r="B72" s="787"/>
      <c r="C72" s="292" t="s">
        <v>312</v>
      </c>
      <c r="D72" s="254" t="s">
        <v>270</v>
      </c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63">
        <f>-50000</f>
        <v>-50000</v>
      </c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  <c r="AM72" s="256"/>
      <c r="AN72" s="256"/>
      <c r="AO72" s="256"/>
      <c r="AP72" s="256"/>
      <c r="AQ72" s="256"/>
      <c r="AR72" s="256"/>
      <c r="AS72" s="256"/>
      <c r="AT72" s="256"/>
      <c r="AU72" s="256"/>
      <c r="AV72" s="256"/>
      <c r="AW72" s="256"/>
      <c r="AX72" s="256"/>
      <c r="AY72" s="256"/>
      <c r="AZ72" s="256"/>
      <c r="BA72" s="256"/>
      <c r="BB72" s="256"/>
      <c r="BC72" s="256"/>
      <c r="BD72" s="256"/>
      <c r="BE72" s="256"/>
      <c r="BF72" s="256"/>
      <c r="BG72" s="256"/>
      <c r="BH72" s="256"/>
      <c r="BI72" s="256"/>
      <c r="BJ72" s="256"/>
      <c r="BK72" s="256"/>
      <c r="BL72" s="256"/>
      <c r="BM72" s="256"/>
      <c r="BN72" s="256"/>
      <c r="BO72" s="256"/>
      <c r="BP72" s="256"/>
      <c r="BQ72" s="256"/>
      <c r="BR72" s="256"/>
      <c r="BS72" s="256"/>
      <c r="BT72" s="256"/>
      <c r="BU72" s="256"/>
      <c r="BV72" s="256"/>
      <c r="BW72" s="256"/>
      <c r="BX72" s="256"/>
      <c r="BY72" s="291">
        <f t="shared" si="21"/>
        <v>-50000</v>
      </c>
      <c r="BZ72" s="771"/>
    </row>
    <row r="73" spans="1:78" outlineLevel="1">
      <c r="A73" s="603"/>
      <c r="B73" s="787"/>
      <c r="C73" s="292" t="s">
        <v>313</v>
      </c>
      <c r="D73" s="254" t="s">
        <v>270</v>
      </c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  <c r="AM73" s="256"/>
      <c r="AN73" s="256"/>
      <c r="AO73" s="256"/>
      <c r="AP73" s="256"/>
      <c r="AQ73" s="256"/>
      <c r="AR73" s="256"/>
      <c r="AS73" s="256"/>
      <c r="AT73" s="256"/>
      <c r="AU73" s="256"/>
      <c r="AV73" s="256"/>
      <c r="AW73" s="256"/>
      <c r="AX73" s="256"/>
      <c r="AY73" s="256"/>
      <c r="AZ73" s="256"/>
      <c r="BA73" s="256"/>
      <c r="BB73" s="256"/>
      <c r="BC73" s="256"/>
      <c r="BD73" s="256"/>
      <c r="BE73" s="256"/>
      <c r="BF73" s="256"/>
      <c r="BG73" s="256"/>
      <c r="BH73" s="256"/>
      <c r="BI73" s="256"/>
      <c r="BJ73" s="256"/>
      <c r="BK73" s="256"/>
      <c r="BL73" s="256"/>
      <c r="BM73" s="256"/>
      <c r="BN73" s="256"/>
      <c r="BO73" s="256"/>
      <c r="BP73" s="256"/>
      <c r="BQ73" s="256"/>
      <c r="BR73" s="256"/>
      <c r="BS73" s="256"/>
      <c r="BT73" s="256"/>
      <c r="BU73" s="256"/>
      <c r="BV73" s="256"/>
      <c r="BW73" s="256"/>
      <c r="BX73" s="256"/>
      <c r="BY73" s="291">
        <f t="shared" si="21"/>
        <v>0</v>
      </c>
      <c r="BZ73" s="771"/>
    </row>
    <row r="74" spans="1:78" outlineLevel="1">
      <c r="A74" s="603"/>
      <c r="B74" s="787"/>
      <c r="C74" s="292" t="s">
        <v>314</v>
      </c>
      <c r="D74" s="254" t="s">
        <v>270</v>
      </c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  <c r="AM74" s="256"/>
      <c r="AN74" s="256"/>
      <c r="AO74" s="256"/>
      <c r="AP74" s="256"/>
      <c r="AQ74" s="256"/>
      <c r="AR74" s="256"/>
      <c r="AS74" s="256"/>
      <c r="AT74" s="256"/>
      <c r="AU74" s="256"/>
      <c r="AV74" s="256"/>
      <c r="AW74" s="256"/>
      <c r="AX74" s="256"/>
      <c r="AY74" s="256"/>
      <c r="AZ74" s="256"/>
      <c r="BA74" s="256"/>
      <c r="BB74" s="256"/>
      <c r="BC74" s="256"/>
      <c r="BD74" s="256"/>
      <c r="BE74" s="256"/>
      <c r="BF74" s="256"/>
      <c r="BG74" s="256"/>
      <c r="BH74" s="256"/>
      <c r="BI74" s="256"/>
      <c r="BJ74" s="256"/>
      <c r="BK74" s="256"/>
      <c r="BL74" s="256"/>
      <c r="BM74" s="256"/>
      <c r="BN74" s="256"/>
      <c r="BO74" s="256"/>
      <c r="BP74" s="256"/>
      <c r="BQ74" s="256"/>
      <c r="BR74" s="256"/>
      <c r="BS74" s="256"/>
      <c r="BT74" s="256"/>
      <c r="BU74" s="256"/>
      <c r="BV74" s="256"/>
      <c r="BW74" s="256"/>
      <c r="BX74" s="256"/>
      <c r="BY74" s="291">
        <f t="shared" si="21"/>
        <v>0</v>
      </c>
      <c r="BZ74" s="771"/>
    </row>
    <row r="75" spans="1:78" outlineLevel="1">
      <c r="A75" s="603"/>
      <c r="B75" s="787"/>
      <c r="C75" s="292" t="s">
        <v>315</v>
      </c>
      <c r="D75" s="254" t="s">
        <v>270</v>
      </c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  <c r="AM75" s="256"/>
      <c r="AN75" s="256"/>
      <c r="AO75" s="256"/>
      <c r="AP75" s="256"/>
      <c r="AQ75" s="256"/>
      <c r="AR75" s="256"/>
      <c r="AS75" s="256"/>
      <c r="AT75" s="256"/>
      <c r="AU75" s="256"/>
      <c r="AV75" s="256"/>
      <c r="AW75" s="256"/>
      <c r="AX75" s="256"/>
      <c r="AY75" s="256"/>
      <c r="AZ75" s="256"/>
      <c r="BA75" s="256"/>
      <c r="BB75" s="256"/>
      <c r="BC75" s="256"/>
      <c r="BD75" s="256"/>
      <c r="BE75" s="256"/>
      <c r="BF75" s="256"/>
      <c r="BG75" s="256"/>
      <c r="BH75" s="256"/>
      <c r="BI75" s="256"/>
      <c r="BJ75" s="256"/>
      <c r="BK75" s="256"/>
      <c r="BL75" s="256"/>
      <c r="BM75" s="256"/>
      <c r="BN75" s="256"/>
      <c r="BO75" s="256"/>
      <c r="BP75" s="256"/>
      <c r="BQ75" s="256"/>
      <c r="BR75" s="256"/>
      <c r="BS75" s="256"/>
      <c r="BT75" s="256"/>
      <c r="BU75" s="256"/>
      <c r="BV75" s="256"/>
      <c r="BW75" s="256"/>
      <c r="BX75" s="256"/>
      <c r="BY75" s="291">
        <f t="shared" si="21"/>
        <v>0</v>
      </c>
      <c r="BZ75" s="771"/>
    </row>
    <row r="76" spans="1:78" outlineLevel="1">
      <c r="A76" s="603"/>
      <c r="B76" s="787"/>
      <c r="C76" s="292" t="s">
        <v>316</v>
      </c>
      <c r="D76" s="254" t="s">
        <v>270</v>
      </c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  <c r="AM76" s="256"/>
      <c r="AN76" s="256"/>
      <c r="AO76" s="256"/>
      <c r="AP76" s="256"/>
      <c r="AQ76" s="256"/>
      <c r="AR76" s="256"/>
      <c r="AS76" s="256"/>
      <c r="AT76" s="256"/>
      <c r="AU76" s="256"/>
      <c r="AV76" s="256"/>
      <c r="AW76" s="256"/>
      <c r="AX76" s="256"/>
      <c r="AY76" s="256"/>
      <c r="AZ76" s="256"/>
      <c r="BA76" s="256"/>
      <c r="BB76" s="256"/>
      <c r="BC76" s="256"/>
      <c r="BD76" s="256"/>
      <c r="BE76" s="256"/>
      <c r="BF76" s="256"/>
      <c r="BG76" s="256"/>
      <c r="BH76" s="256"/>
      <c r="BI76" s="256"/>
      <c r="BJ76" s="256"/>
      <c r="BK76" s="256"/>
      <c r="BL76" s="256"/>
      <c r="BM76" s="256"/>
      <c r="BN76" s="256"/>
      <c r="BO76" s="256"/>
      <c r="BP76" s="256"/>
      <c r="BQ76" s="256"/>
      <c r="BR76" s="256"/>
      <c r="BS76" s="256"/>
      <c r="BT76" s="256"/>
      <c r="BU76" s="256"/>
      <c r="BV76" s="256"/>
      <c r="BW76" s="256"/>
      <c r="BX76" s="256"/>
      <c r="BY76" s="291">
        <f t="shared" si="21"/>
        <v>0</v>
      </c>
      <c r="BZ76" s="771"/>
    </row>
    <row r="77" spans="1:78" outlineLevel="1">
      <c r="A77" s="603"/>
      <c r="B77" s="787"/>
      <c r="C77" s="292" t="s">
        <v>317</v>
      </c>
      <c r="D77" s="254" t="s">
        <v>270</v>
      </c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  <c r="AM77" s="256"/>
      <c r="AN77" s="256"/>
      <c r="AO77" s="256"/>
      <c r="AP77" s="256"/>
      <c r="AQ77" s="256"/>
      <c r="AR77" s="256"/>
      <c r="AS77" s="256"/>
      <c r="AT77" s="256"/>
      <c r="AU77" s="256"/>
      <c r="AV77" s="256"/>
      <c r="AW77" s="256"/>
      <c r="AX77" s="256"/>
      <c r="AY77" s="256"/>
      <c r="AZ77" s="256"/>
      <c r="BA77" s="256"/>
      <c r="BB77" s="256"/>
      <c r="BC77" s="256"/>
      <c r="BD77" s="256"/>
      <c r="BE77" s="256"/>
      <c r="BF77" s="256"/>
      <c r="BG77" s="256"/>
      <c r="BH77" s="256"/>
      <c r="BI77" s="256"/>
      <c r="BJ77" s="256"/>
      <c r="BK77" s="256"/>
      <c r="BL77" s="256"/>
      <c r="BM77" s="256"/>
      <c r="BN77" s="256"/>
      <c r="BO77" s="256"/>
      <c r="BP77" s="256"/>
      <c r="BQ77" s="256"/>
      <c r="BR77" s="256"/>
      <c r="BS77" s="256"/>
      <c r="BT77" s="256"/>
      <c r="BU77" s="256"/>
      <c r="BV77" s="256"/>
      <c r="BW77" s="256"/>
      <c r="BX77" s="256"/>
      <c r="BY77" s="291">
        <f t="shared" si="21"/>
        <v>0</v>
      </c>
      <c r="BZ77" s="771"/>
    </row>
    <row r="78" spans="1:78" outlineLevel="1">
      <c r="A78" s="603"/>
      <c r="B78" s="787"/>
      <c r="C78" s="292" t="s">
        <v>318</v>
      </c>
      <c r="D78" s="254" t="s">
        <v>270</v>
      </c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  <c r="AM78" s="256"/>
      <c r="AN78" s="256"/>
      <c r="AO78" s="256"/>
      <c r="AP78" s="256"/>
      <c r="AQ78" s="256"/>
      <c r="AR78" s="256"/>
      <c r="AS78" s="256"/>
      <c r="AT78" s="256"/>
      <c r="AU78" s="256"/>
      <c r="AV78" s="256"/>
      <c r="AW78" s="256"/>
      <c r="AX78" s="256"/>
      <c r="AY78" s="256"/>
      <c r="AZ78" s="256"/>
      <c r="BA78" s="256"/>
      <c r="BB78" s="256"/>
      <c r="BC78" s="256"/>
      <c r="BD78" s="256"/>
      <c r="BE78" s="256"/>
      <c r="BF78" s="256"/>
      <c r="BG78" s="256"/>
      <c r="BH78" s="256"/>
      <c r="BI78" s="256"/>
      <c r="BJ78" s="256"/>
      <c r="BK78" s="256"/>
      <c r="BL78" s="256"/>
      <c r="BM78" s="256"/>
      <c r="BN78" s="256"/>
      <c r="BO78" s="256"/>
      <c r="BP78" s="256"/>
      <c r="BQ78" s="256"/>
      <c r="BR78" s="256"/>
      <c r="BS78" s="256"/>
      <c r="BT78" s="256"/>
      <c r="BU78" s="256"/>
      <c r="BV78" s="256"/>
      <c r="BW78" s="256"/>
      <c r="BX78" s="256"/>
      <c r="BY78" s="291">
        <f t="shared" si="21"/>
        <v>0</v>
      </c>
      <c r="BZ78" s="771"/>
    </row>
    <row r="79" spans="1:78" outlineLevel="1">
      <c r="A79" s="603"/>
      <c r="B79" s="787"/>
      <c r="C79" s="292" t="s">
        <v>319</v>
      </c>
      <c r="D79" s="254" t="s">
        <v>270</v>
      </c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  <c r="AM79" s="256"/>
      <c r="AN79" s="256"/>
      <c r="AO79" s="256"/>
      <c r="AP79" s="256"/>
      <c r="AQ79" s="256"/>
      <c r="AR79" s="256"/>
      <c r="AS79" s="256"/>
      <c r="AT79" s="256"/>
      <c r="AU79" s="256"/>
      <c r="AV79" s="256"/>
      <c r="AW79" s="256"/>
      <c r="AX79" s="256"/>
      <c r="AY79" s="256"/>
      <c r="AZ79" s="256"/>
      <c r="BA79" s="256"/>
      <c r="BB79" s="256"/>
      <c r="BC79" s="256"/>
      <c r="BD79" s="256"/>
      <c r="BE79" s="256"/>
      <c r="BF79" s="256"/>
      <c r="BG79" s="256"/>
      <c r="BH79" s="256"/>
      <c r="BI79" s="256"/>
      <c r="BJ79" s="256"/>
      <c r="BK79" s="256"/>
      <c r="BL79" s="256"/>
      <c r="BM79" s="256"/>
      <c r="BN79" s="256"/>
      <c r="BO79" s="256"/>
      <c r="BP79" s="256"/>
      <c r="BQ79" s="256"/>
      <c r="BR79" s="256"/>
      <c r="BS79" s="256"/>
      <c r="BT79" s="256"/>
      <c r="BU79" s="256"/>
      <c r="BV79" s="256"/>
      <c r="BW79" s="256"/>
      <c r="BX79" s="256"/>
      <c r="BY79" s="291">
        <f t="shared" si="21"/>
        <v>0</v>
      </c>
      <c r="BZ79" s="771"/>
    </row>
    <row r="80" spans="1:78" outlineLevel="1">
      <c r="A80" s="603"/>
      <c r="B80" s="787"/>
      <c r="C80" s="292" t="s">
        <v>320</v>
      </c>
      <c r="D80" s="254" t="s">
        <v>270</v>
      </c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>
        <f>-57959</f>
        <v>-57959</v>
      </c>
      <c r="T80" s="256">
        <f>-81554</f>
        <v>-81554</v>
      </c>
      <c r="U80" s="256">
        <f>-60000-15000</f>
        <v>-75000</v>
      </c>
      <c r="V80" s="256">
        <f>-11495-15000</f>
        <v>-26495</v>
      </c>
      <c r="W80" s="256">
        <v>-15000</v>
      </c>
      <c r="X80" s="256">
        <f>-15000</f>
        <v>-15000</v>
      </c>
      <c r="Y80" s="256">
        <f>-15000</f>
        <v>-15000</v>
      </c>
      <c r="Z80" s="256">
        <f>-16124-39083</f>
        <v>-55207</v>
      </c>
      <c r="AA80" s="256">
        <f>-15000-15000-11495-8500-67900</f>
        <v>-117895</v>
      </c>
      <c r="AB80" s="256">
        <f>-15000/1.21-1060/1.21-67900/1.21</f>
        <v>-69388.42975206612</v>
      </c>
      <c r="AC80" s="256">
        <f>(-18150-14400-78890-1060-72116-71601-67397)/1.21</f>
        <v>-267449.58677685953</v>
      </c>
      <c r="AD80" s="256">
        <f>(-6249.29-7674.46-18603.75-56970)/1.21</f>
        <v>-73964.876033057852</v>
      </c>
      <c r="AE80" s="256">
        <f>(-18603-142901-1060-39204-9517.9-68320-32912-2260)/1.21</f>
        <v>-260147.02479338847</v>
      </c>
      <c r="AF80" s="256">
        <f>(-81554-16940-11495-18603.75-68320-100435-58160-66550-1060-2)/1.21</f>
        <v>-349685.74380165292</v>
      </c>
      <c r="AG80" s="256"/>
      <c r="AH80" s="256"/>
      <c r="AI80" s="256"/>
      <c r="AJ80" s="256"/>
      <c r="AK80" s="256"/>
      <c r="AL80" s="256"/>
      <c r="AM80" s="256"/>
      <c r="AN80" s="256"/>
      <c r="AO80" s="256"/>
      <c r="AP80" s="256"/>
      <c r="AQ80" s="256"/>
      <c r="AR80" s="256"/>
      <c r="AS80" s="256"/>
      <c r="AT80" s="256"/>
      <c r="AU80" s="256"/>
      <c r="AV80" s="256"/>
      <c r="AW80" s="256"/>
      <c r="AX80" s="256"/>
      <c r="AY80" s="256"/>
      <c r="AZ80" s="256"/>
      <c r="BA80" s="256"/>
      <c r="BB80" s="256"/>
      <c r="BC80" s="256"/>
      <c r="BD80" s="256"/>
      <c r="BE80" s="256"/>
      <c r="BF80" s="256"/>
      <c r="BG80" s="256"/>
      <c r="BH80" s="256"/>
      <c r="BI80" s="256"/>
      <c r="BJ80" s="256"/>
      <c r="BK80" s="256"/>
      <c r="BL80" s="256"/>
      <c r="BM80" s="256"/>
      <c r="BN80" s="256"/>
      <c r="BO80" s="256"/>
      <c r="BP80" s="256"/>
      <c r="BQ80" s="256"/>
      <c r="BR80" s="256"/>
      <c r="BS80" s="256"/>
      <c r="BT80" s="256"/>
      <c r="BU80" s="256"/>
      <c r="BV80" s="256"/>
      <c r="BW80" s="256"/>
      <c r="BX80" s="256"/>
      <c r="BY80" s="291">
        <f t="shared" si="21"/>
        <v>-1479745.6611570248</v>
      </c>
      <c r="BZ80" s="771"/>
    </row>
    <row r="81" spans="1:78" outlineLevel="1">
      <c r="A81" s="603"/>
      <c r="B81" s="787"/>
      <c r="C81" s="292" t="s">
        <v>321</v>
      </c>
      <c r="D81" s="254" t="s">
        <v>270</v>
      </c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  <c r="AM81" s="256"/>
      <c r="AN81" s="256"/>
      <c r="AO81" s="256"/>
      <c r="AP81" s="256"/>
      <c r="AQ81" s="256"/>
      <c r="AR81" s="256"/>
      <c r="AS81" s="256"/>
      <c r="AT81" s="256"/>
      <c r="AU81" s="256"/>
      <c r="AV81" s="256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6"/>
      <c r="BH81" s="256"/>
      <c r="BI81" s="256"/>
      <c r="BJ81" s="256"/>
      <c r="BK81" s="256"/>
      <c r="BL81" s="256"/>
      <c r="BM81" s="256"/>
      <c r="BN81" s="256"/>
      <c r="BO81" s="256"/>
      <c r="BP81" s="256"/>
      <c r="BQ81" s="256"/>
      <c r="BR81" s="256"/>
      <c r="BS81" s="256"/>
      <c r="BT81" s="256"/>
      <c r="BU81" s="256"/>
      <c r="BV81" s="256"/>
      <c r="BW81" s="256"/>
      <c r="BX81" s="256"/>
      <c r="BY81" s="291">
        <f t="shared" si="21"/>
        <v>0</v>
      </c>
      <c r="BZ81" s="771"/>
    </row>
    <row r="82" spans="1:78" outlineLevel="1">
      <c r="A82" s="603"/>
      <c r="B82" s="787"/>
      <c r="C82" s="293" t="s">
        <v>224</v>
      </c>
      <c r="D82" s="254" t="s">
        <v>270</v>
      </c>
      <c r="E82" s="256"/>
      <c r="F82" s="255"/>
      <c r="G82" s="255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5"/>
      <c r="AC82" s="255"/>
      <c r="AD82" s="255"/>
      <c r="AE82" s="255"/>
      <c r="AF82" s="255"/>
      <c r="AG82" s="255"/>
      <c r="AH82" s="255"/>
      <c r="AI82" s="255"/>
      <c r="AJ82" s="255"/>
      <c r="AK82" s="255"/>
      <c r="AL82" s="255"/>
      <c r="AM82" s="255"/>
      <c r="AN82" s="255"/>
      <c r="AO82" s="255"/>
      <c r="AP82" s="255"/>
      <c r="AQ82" s="255"/>
      <c r="AR82" s="255"/>
      <c r="AS82" s="255"/>
      <c r="AT82" s="255"/>
      <c r="AU82" s="255"/>
      <c r="AV82" s="255"/>
      <c r="AW82" s="255"/>
      <c r="AX82" s="255"/>
      <c r="AY82" s="255"/>
      <c r="AZ82" s="255"/>
      <c r="BA82" s="255"/>
      <c r="BB82" s="255"/>
      <c r="BC82" s="255"/>
      <c r="BD82" s="255"/>
      <c r="BE82" s="255"/>
      <c r="BF82" s="255"/>
      <c r="BG82" s="255"/>
      <c r="BH82" s="255"/>
      <c r="BI82" s="255"/>
      <c r="BJ82" s="255"/>
      <c r="BK82" s="255"/>
      <c r="BL82" s="255"/>
      <c r="BM82" s="255"/>
      <c r="BN82" s="255"/>
      <c r="BO82" s="255"/>
      <c r="BP82" s="255"/>
      <c r="BQ82" s="255"/>
      <c r="BR82" s="255"/>
      <c r="BS82" s="255"/>
      <c r="BT82" s="255"/>
      <c r="BU82" s="255"/>
      <c r="BV82" s="255"/>
      <c r="BW82" s="255"/>
      <c r="BX82" s="255"/>
      <c r="BY82" s="291">
        <f t="shared" si="21"/>
        <v>0</v>
      </c>
      <c r="BZ82" s="771"/>
    </row>
    <row r="83" spans="1:78" outlineLevel="1">
      <c r="A83" s="603"/>
      <c r="B83" s="787"/>
      <c r="C83" s="292" t="s">
        <v>225</v>
      </c>
      <c r="D83" s="254" t="s">
        <v>270</v>
      </c>
      <c r="E83" s="256"/>
      <c r="F83" s="255"/>
      <c r="G83" s="255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5"/>
      <c r="V83" s="255"/>
      <c r="W83" s="255"/>
      <c r="X83" s="255"/>
      <c r="Y83" s="255"/>
      <c r="Z83" s="255"/>
      <c r="AA83" s="255"/>
      <c r="AB83" s="255"/>
      <c r="AC83" s="255"/>
      <c r="AD83" s="255"/>
      <c r="AE83" s="255"/>
      <c r="AF83" s="255"/>
      <c r="AG83" s="255"/>
      <c r="AH83" s="255"/>
      <c r="AI83" s="255"/>
      <c r="AJ83" s="255"/>
      <c r="AK83" s="255"/>
      <c r="AL83" s="255"/>
      <c r="AM83" s="255"/>
      <c r="AN83" s="255"/>
      <c r="AO83" s="255"/>
      <c r="AP83" s="255"/>
      <c r="AQ83" s="255"/>
      <c r="AR83" s="255"/>
      <c r="AS83" s="255"/>
      <c r="AT83" s="255"/>
      <c r="AU83" s="255"/>
      <c r="AV83" s="255"/>
      <c r="AW83" s="255"/>
      <c r="AX83" s="255"/>
      <c r="AY83" s="255"/>
      <c r="AZ83" s="255"/>
      <c r="BA83" s="255"/>
      <c r="BB83" s="255"/>
      <c r="BC83" s="255"/>
      <c r="BD83" s="255"/>
      <c r="BE83" s="255"/>
      <c r="BF83" s="255"/>
      <c r="BG83" s="255"/>
      <c r="BH83" s="255"/>
      <c r="BI83" s="255"/>
      <c r="BJ83" s="255"/>
      <c r="BK83" s="255"/>
      <c r="BL83" s="255"/>
      <c r="BM83" s="255"/>
      <c r="BN83" s="255"/>
      <c r="BO83" s="255"/>
      <c r="BP83" s="255"/>
      <c r="BQ83" s="255"/>
      <c r="BR83" s="255"/>
      <c r="BS83" s="255"/>
      <c r="BT83" s="255"/>
      <c r="BU83" s="255"/>
      <c r="BV83" s="255"/>
      <c r="BW83" s="255"/>
      <c r="BX83" s="255"/>
      <c r="BY83" s="291">
        <f t="shared" si="21"/>
        <v>0</v>
      </c>
      <c r="BZ83" s="771"/>
    </row>
    <row r="84" spans="1:78" outlineLevel="1">
      <c r="A84" s="603"/>
      <c r="B84" s="787"/>
      <c r="C84" s="292" t="s">
        <v>236</v>
      </c>
      <c r="D84" s="254" t="s">
        <v>270</v>
      </c>
      <c r="E84" s="256"/>
      <c r="F84" s="255"/>
      <c r="G84" s="255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5"/>
      <c r="V84" s="255"/>
      <c r="W84" s="255"/>
      <c r="X84" s="255"/>
      <c r="Y84" s="255"/>
      <c r="Z84" s="255"/>
      <c r="AA84" s="255"/>
      <c r="AB84" s="255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5"/>
      <c r="BD84" s="255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91">
        <f t="shared" si="21"/>
        <v>0</v>
      </c>
      <c r="BZ84" s="771"/>
    </row>
    <row r="85" spans="1:78" outlineLevel="1">
      <c r="A85" s="603"/>
      <c r="B85" s="787"/>
      <c r="C85" s="292" t="s">
        <v>237</v>
      </c>
      <c r="D85" s="254" t="s">
        <v>270</v>
      </c>
      <c r="E85" s="256"/>
      <c r="F85" s="255"/>
      <c r="G85" s="255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P85" s="255"/>
      <c r="AQ85" s="255"/>
      <c r="AR85" s="255"/>
      <c r="AS85" s="255"/>
      <c r="AT85" s="255"/>
      <c r="AU85" s="255"/>
      <c r="AV85" s="255"/>
      <c r="AW85" s="255"/>
      <c r="AX85" s="255"/>
      <c r="AY85" s="255"/>
      <c r="AZ85" s="255"/>
      <c r="BA85" s="255"/>
      <c r="BB85" s="255"/>
      <c r="BC85" s="255"/>
      <c r="BD85" s="255"/>
      <c r="BE85" s="255"/>
      <c r="BF85" s="255"/>
      <c r="BG85" s="255"/>
      <c r="BH85" s="255"/>
      <c r="BI85" s="255"/>
      <c r="BJ85" s="255"/>
      <c r="BK85" s="255"/>
      <c r="BL85" s="255"/>
      <c r="BM85" s="255"/>
      <c r="BN85" s="255"/>
      <c r="BO85" s="255"/>
      <c r="BP85" s="255"/>
      <c r="BQ85" s="255"/>
      <c r="BR85" s="255"/>
      <c r="BS85" s="255"/>
      <c r="BT85" s="255"/>
      <c r="BU85" s="255"/>
      <c r="BV85" s="255"/>
      <c r="BW85" s="255"/>
      <c r="BX85" s="255"/>
      <c r="BY85" s="291">
        <f t="shared" si="21"/>
        <v>0</v>
      </c>
      <c r="BZ85" s="771"/>
    </row>
    <row r="86" spans="1:78" outlineLevel="1">
      <c r="A86" s="603"/>
      <c r="B86" s="787"/>
      <c r="C86" s="294" t="s">
        <v>322</v>
      </c>
      <c r="D86" s="258" t="s">
        <v>270</v>
      </c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>
        <f>Businessplan_prodej!$N$21*1.21</f>
        <v>-812078.79975357116</v>
      </c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5"/>
      <c r="BQ86" s="295"/>
      <c r="BR86" s="295"/>
      <c r="BS86" s="295"/>
      <c r="BT86" s="295"/>
      <c r="BU86" s="295"/>
      <c r="BV86" s="295"/>
      <c r="BW86" s="295"/>
      <c r="BX86" s="295"/>
      <c r="BY86" s="291">
        <f t="shared" si="21"/>
        <v>-812078.79975357116</v>
      </c>
      <c r="BZ86" s="771"/>
    </row>
    <row r="87" spans="1:78" ht="16" collapsed="1">
      <c r="A87" s="603"/>
      <c r="B87" s="787"/>
      <c r="C87" s="248" t="s">
        <v>323</v>
      </c>
      <c r="D87" s="249"/>
      <c r="E87" s="250">
        <f t="shared" ref="E87:BY87" si="22">SUM(E88:E89)</f>
        <v>0</v>
      </c>
      <c r="F87" s="250">
        <f t="shared" si="22"/>
        <v>0</v>
      </c>
      <c r="G87" s="250">
        <f t="shared" si="22"/>
        <v>0</v>
      </c>
      <c r="H87" s="250">
        <f t="shared" si="22"/>
        <v>0</v>
      </c>
      <c r="I87" s="250">
        <f t="shared" si="22"/>
        <v>0</v>
      </c>
      <c r="J87" s="250">
        <f t="shared" si="22"/>
        <v>0</v>
      </c>
      <c r="K87" s="250">
        <f t="shared" si="22"/>
        <v>0</v>
      </c>
      <c r="L87" s="250">
        <f t="shared" si="22"/>
        <v>0</v>
      </c>
      <c r="M87" s="250">
        <f t="shared" si="22"/>
        <v>0</v>
      </c>
      <c r="N87" s="250">
        <f t="shared" si="22"/>
        <v>0</v>
      </c>
      <c r="O87" s="250">
        <f t="shared" si="22"/>
        <v>0</v>
      </c>
      <c r="P87" s="250">
        <f t="shared" si="22"/>
        <v>0</v>
      </c>
      <c r="Q87" s="250">
        <f t="shared" si="22"/>
        <v>0</v>
      </c>
      <c r="R87" s="250">
        <f t="shared" si="22"/>
        <v>0</v>
      </c>
      <c r="S87" s="250">
        <f t="shared" si="22"/>
        <v>0</v>
      </c>
      <c r="T87" s="250">
        <f t="shared" si="22"/>
        <v>0</v>
      </c>
      <c r="U87" s="250">
        <f t="shared" si="22"/>
        <v>0</v>
      </c>
      <c r="V87" s="250">
        <f t="shared" si="22"/>
        <v>0</v>
      </c>
      <c r="W87" s="250">
        <f t="shared" si="22"/>
        <v>0</v>
      </c>
      <c r="X87" s="250">
        <f t="shared" si="22"/>
        <v>0</v>
      </c>
      <c r="Y87" s="250">
        <f t="shared" si="22"/>
        <v>0</v>
      </c>
      <c r="Z87" s="250">
        <f t="shared" si="22"/>
        <v>0</v>
      </c>
      <c r="AA87" s="250">
        <f t="shared" si="22"/>
        <v>0</v>
      </c>
      <c r="AB87" s="250">
        <f t="shared" si="22"/>
        <v>0</v>
      </c>
      <c r="AC87" s="250">
        <f t="shared" si="22"/>
        <v>0</v>
      </c>
      <c r="AD87" s="250">
        <f t="shared" si="22"/>
        <v>0</v>
      </c>
      <c r="AE87" s="250">
        <f t="shared" si="22"/>
        <v>0</v>
      </c>
      <c r="AF87" s="250">
        <f t="shared" si="22"/>
        <v>0</v>
      </c>
      <c r="AG87" s="250">
        <f t="shared" si="22"/>
        <v>0</v>
      </c>
      <c r="AH87" s="250">
        <f t="shared" si="22"/>
        <v>0</v>
      </c>
      <c r="AI87" s="250">
        <f t="shared" si="22"/>
        <v>0</v>
      </c>
      <c r="AJ87" s="250">
        <f t="shared" si="22"/>
        <v>0</v>
      </c>
      <c r="AK87" s="250">
        <f t="shared" si="22"/>
        <v>0</v>
      </c>
      <c r="AL87" s="250">
        <f t="shared" si="22"/>
        <v>0</v>
      </c>
      <c r="AM87" s="250">
        <f t="shared" si="22"/>
        <v>0</v>
      </c>
      <c r="AN87" s="250">
        <f t="shared" si="22"/>
        <v>0</v>
      </c>
      <c r="AO87" s="250">
        <f t="shared" si="22"/>
        <v>0</v>
      </c>
      <c r="AP87" s="250">
        <f t="shared" si="22"/>
        <v>0</v>
      </c>
      <c r="AQ87" s="250">
        <f t="shared" si="22"/>
        <v>0</v>
      </c>
      <c r="AR87" s="250">
        <f t="shared" si="22"/>
        <v>0</v>
      </c>
      <c r="AS87" s="250">
        <f t="shared" si="22"/>
        <v>0</v>
      </c>
      <c r="AT87" s="250">
        <f t="shared" si="22"/>
        <v>0</v>
      </c>
      <c r="AU87" s="250">
        <f t="shared" si="22"/>
        <v>0</v>
      </c>
      <c r="AV87" s="250">
        <f t="shared" si="22"/>
        <v>0</v>
      </c>
      <c r="AW87" s="250">
        <f t="shared" si="22"/>
        <v>0</v>
      </c>
      <c r="AX87" s="250">
        <f t="shared" si="22"/>
        <v>0</v>
      </c>
      <c r="AY87" s="250">
        <f t="shared" si="22"/>
        <v>0</v>
      </c>
      <c r="AZ87" s="250">
        <f t="shared" si="22"/>
        <v>0</v>
      </c>
      <c r="BA87" s="250">
        <f t="shared" si="22"/>
        <v>0</v>
      </c>
      <c r="BB87" s="250">
        <f t="shared" si="22"/>
        <v>0</v>
      </c>
      <c r="BC87" s="250">
        <f t="shared" si="22"/>
        <v>0</v>
      </c>
      <c r="BD87" s="250">
        <f t="shared" si="22"/>
        <v>0</v>
      </c>
      <c r="BE87" s="250">
        <f t="shared" si="22"/>
        <v>0</v>
      </c>
      <c r="BF87" s="250">
        <f t="shared" si="22"/>
        <v>0</v>
      </c>
      <c r="BG87" s="250">
        <f t="shared" si="22"/>
        <v>0</v>
      </c>
      <c r="BH87" s="250">
        <f t="shared" si="22"/>
        <v>0</v>
      </c>
      <c r="BI87" s="250">
        <f t="shared" si="22"/>
        <v>0</v>
      </c>
      <c r="BJ87" s="250">
        <f t="shared" si="22"/>
        <v>0</v>
      </c>
      <c r="BK87" s="250">
        <f t="shared" si="22"/>
        <v>0</v>
      </c>
      <c r="BL87" s="250">
        <f t="shared" si="22"/>
        <v>0</v>
      </c>
      <c r="BM87" s="250">
        <f t="shared" si="22"/>
        <v>0</v>
      </c>
      <c r="BN87" s="250">
        <f t="shared" si="22"/>
        <v>0</v>
      </c>
      <c r="BO87" s="250">
        <f t="shared" si="22"/>
        <v>0</v>
      </c>
      <c r="BP87" s="250">
        <f t="shared" si="22"/>
        <v>0</v>
      </c>
      <c r="BQ87" s="250">
        <f t="shared" si="22"/>
        <v>0</v>
      </c>
      <c r="BR87" s="250">
        <f t="shared" si="22"/>
        <v>0</v>
      </c>
      <c r="BS87" s="250">
        <f t="shared" si="22"/>
        <v>0</v>
      </c>
      <c r="BT87" s="250">
        <f t="shared" si="22"/>
        <v>0</v>
      </c>
      <c r="BU87" s="250">
        <f t="shared" si="22"/>
        <v>0</v>
      </c>
      <c r="BV87" s="250">
        <f t="shared" si="22"/>
        <v>0</v>
      </c>
      <c r="BW87" s="250">
        <f t="shared" si="22"/>
        <v>0</v>
      </c>
      <c r="BX87" s="250">
        <f t="shared" si="22"/>
        <v>0</v>
      </c>
      <c r="BY87" s="251">
        <f t="shared" si="22"/>
        <v>0</v>
      </c>
      <c r="BZ87" s="771"/>
    </row>
    <row r="88" spans="1:78" hidden="1" outlineLevel="1">
      <c r="A88" s="603"/>
      <c r="B88" s="787"/>
      <c r="C88" s="290" t="s">
        <v>324</v>
      </c>
      <c r="D88" s="254" t="s">
        <v>270</v>
      </c>
      <c r="E88" s="260"/>
      <c r="F88" s="260"/>
      <c r="G88" s="260"/>
      <c r="H88" s="260"/>
      <c r="I88" s="260"/>
      <c r="J88" s="260"/>
      <c r="K88" s="260"/>
      <c r="L88" s="260"/>
      <c r="M88" s="260"/>
      <c r="N88" s="260"/>
      <c r="O88" s="260"/>
      <c r="P88" s="260"/>
      <c r="Q88" s="260"/>
      <c r="R88" s="260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60"/>
      <c r="AV88" s="260"/>
      <c r="AW88" s="260"/>
      <c r="AX88" s="260"/>
      <c r="AY88" s="260"/>
      <c r="AZ88" s="260"/>
      <c r="BA88" s="260"/>
      <c r="BB88" s="260"/>
      <c r="BC88" s="260"/>
      <c r="BD88" s="260"/>
      <c r="BE88" s="260"/>
      <c r="BF88" s="260"/>
      <c r="BG88" s="260"/>
      <c r="BH88" s="260"/>
      <c r="BI88" s="260"/>
      <c r="BJ88" s="260"/>
      <c r="BK88" s="260"/>
      <c r="BL88" s="260"/>
      <c r="BM88" s="260"/>
      <c r="BN88" s="260"/>
      <c r="BO88" s="260"/>
      <c r="BP88" s="260"/>
      <c r="BQ88" s="260"/>
      <c r="BR88" s="260"/>
      <c r="BS88" s="260"/>
      <c r="BT88" s="260"/>
      <c r="BU88" s="260"/>
      <c r="BV88" s="260"/>
      <c r="BW88" s="260"/>
      <c r="BX88" s="260"/>
      <c r="BY88" s="296">
        <f t="shared" ref="BY88:BY89" si="23">SUM(E88:BX88)</f>
        <v>0</v>
      </c>
      <c r="BZ88" s="771"/>
    </row>
    <row r="89" spans="1:78" ht="16" hidden="1" outlineLevel="1" thickBot="1">
      <c r="A89" s="603"/>
      <c r="B89" s="787"/>
      <c r="C89" s="294" t="s">
        <v>325</v>
      </c>
      <c r="D89" s="258" t="s">
        <v>270</v>
      </c>
      <c r="E89" s="287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97">
        <f t="shared" si="23"/>
        <v>0</v>
      </c>
      <c r="BZ89" s="774"/>
    </row>
    <row r="90" spans="1:78">
      <c r="A90" s="603"/>
      <c r="B90" s="787"/>
      <c r="C90" s="248" t="s">
        <v>326</v>
      </c>
      <c r="D90" s="249"/>
      <c r="E90" s="250">
        <f t="shared" ref="E90:BX90" si="24">SUM(E91:E97)</f>
        <v>0</v>
      </c>
      <c r="F90" s="250">
        <f t="shared" si="24"/>
        <v>0</v>
      </c>
      <c r="G90" s="250">
        <f t="shared" si="24"/>
        <v>0</v>
      </c>
      <c r="H90" s="250">
        <f t="shared" si="24"/>
        <v>0</v>
      </c>
      <c r="I90" s="250">
        <f t="shared" si="24"/>
        <v>0</v>
      </c>
      <c r="J90" s="250">
        <f t="shared" si="24"/>
        <v>0</v>
      </c>
      <c r="K90" s="250">
        <f t="shared" si="24"/>
        <v>0</v>
      </c>
      <c r="L90" s="250">
        <f t="shared" si="24"/>
        <v>0</v>
      </c>
      <c r="M90" s="250">
        <f t="shared" si="24"/>
        <v>0</v>
      </c>
      <c r="N90" s="250">
        <f t="shared" si="24"/>
        <v>0</v>
      </c>
      <c r="O90" s="250">
        <f t="shared" si="24"/>
        <v>0</v>
      </c>
      <c r="P90" s="250">
        <f t="shared" si="24"/>
        <v>0</v>
      </c>
      <c r="Q90" s="250">
        <f t="shared" si="24"/>
        <v>-7000000</v>
      </c>
      <c r="R90" s="250">
        <f t="shared" si="24"/>
        <v>0</v>
      </c>
      <c r="S90" s="250">
        <f t="shared" si="24"/>
        <v>0</v>
      </c>
      <c r="T90" s="250">
        <f t="shared" si="24"/>
        <v>-63000</v>
      </c>
      <c r="U90" s="250">
        <f t="shared" si="24"/>
        <v>0</v>
      </c>
      <c r="V90" s="250">
        <f t="shared" si="24"/>
        <v>-63000</v>
      </c>
      <c r="W90" s="250">
        <f t="shared" si="24"/>
        <v>-126000</v>
      </c>
      <c r="X90" s="250">
        <f t="shared" si="24"/>
        <v>0</v>
      </c>
      <c r="Y90" s="250">
        <f t="shared" si="24"/>
        <v>-126000</v>
      </c>
      <c r="Z90" s="250">
        <f t="shared" si="24"/>
        <v>-63000</v>
      </c>
      <c r="AA90" s="250">
        <f t="shared" si="24"/>
        <v>-50000</v>
      </c>
      <c r="AB90" s="250">
        <f t="shared" si="24"/>
        <v>-146000</v>
      </c>
      <c r="AC90" s="250">
        <f t="shared" si="24"/>
        <v>0</v>
      </c>
      <c r="AD90" s="250">
        <f t="shared" si="24"/>
        <v>-63000</v>
      </c>
      <c r="AE90" s="250">
        <f t="shared" si="24"/>
        <v>-136000</v>
      </c>
      <c r="AF90" s="250">
        <f t="shared" si="24"/>
        <v>-176400</v>
      </c>
      <c r="AG90" s="250">
        <f t="shared" si="24"/>
        <v>-98795139.300000012</v>
      </c>
      <c r="AH90" s="250">
        <f t="shared" si="24"/>
        <v>0</v>
      </c>
      <c r="AI90" s="250">
        <f t="shared" si="24"/>
        <v>0</v>
      </c>
      <c r="AJ90" s="250">
        <f t="shared" si="24"/>
        <v>0</v>
      </c>
      <c r="AK90" s="250">
        <f t="shared" si="24"/>
        <v>0</v>
      </c>
      <c r="AL90" s="250">
        <f t="shared" si="24"/>
        <v>0</v>
      </c>
      <c r="AM90" s="250">
        <f t="shared" si="24"/>
        <v>0</v>
      </c>
      <c r="AN90" s="250">
        <f t="shared" si="24"/>
        <v>0</v>
      </c>
      <c r="AO90" s="250">
        <f t="shared" si="24"/>
        <v>0</v>
      </c>
      <c r="AP90" s="250">
        <f t="shared" si="24"/>
        <v>0</v>
      </c>
      <c r="AQ90" s="250">
        <f t="shared" si="24"/>
        <v>0</v>
      </c>
      <c r="AR90" s="250">
        <f t="shared" si="24"/>
        <v>0</v>
      </c>
      <c r="AS90" s="250">
        <f t="shared" si="24"/>
        <v>0</v>
      </c>
      <c r="AT90" s="250">
        <f t="shared" si="24"/>
        <v>0</v>
      </c>
      <c r="AU90" s="250">
        <f t="shared" si="24"/>
        <v>0</v>
      </c>
      <c r="AV90" s="250">
        <f t="shared" si="24"/>
        <v>0</v>
      </c>
      <c r="AW90" s="250">
        <f t="shared" si="24"/>
        <v>0</v>
      </c>
      <c r="AX90" s="250">
        <f t="shared" si="24"/>
        <v>0</v>
      </c>
      <c r="AY90" s="250">
        <f t="shared" si="24"/>
        <v>0</v>
      </c>
      <c r="AZ90" s="250">
        <f t="shared" si="24"/>
        <v>0</v>
      </c>
      <c r="BA90" s="250">
        <f t="shared" si="24"/>
        <v>0</v>
      </c>
      <c r="BB90" s="250">
        <f t="shared" si="24"/>
        <v>0</v>
      </c>
      <c r="BC90" s="250">
        <f t="shared" si="24"/>
        <v>0</v>
      </c>
      <c r="BD90" s="250">
        <f t="shared" si="24"/>
        <v>0</v>
      </c>
      <c r="BE90" s="250">
        <f t="shared" si="24"/>
        <v>0</v>
      </c>
      <c r="BF90" s="250">
        <f t="shared" si="24"/>
        <v>0</v>
      </c>
      <c r="BG90" s="250">
        <f t="shared" si="24"/>
        <v>0</v>
      </c>
      <c r="BH90" s="250">
        <f t="shared" si="24"/>
        <v>0</v>
      </c>
      <c r="BI90" s="250">
        <f t="shared" si="24"/>
        <v>0</v>
      </c>
      <c r="BJ90" s="250">
        <f t="shared" si="24"/>
        <v>0</v>
      </c>
      <c r="BK90" s="250">
        <f t="shared" si="24"/>
        <v>0</v>
      </c>
      <c r="BL90" s="250">
        <f t="shared" si="24"/>
        <v>0</v>
      </c>
      <c r="BM90" s="250">
        <f t="shared" si="24"/>
        <v>0</v>
      </c>
      <c r="BN90" s="250">
        <f t="shared" si="24"/>
        <v>0</v>
      </c>
      <c r="BO90" s="250">
        <f t="shared" si="24"/>
        <v>0</v>
      </c>
      <c r="BP90" s="250">
        <f t="shared" si="24"/>
        <v>0</v>
      </c>
      <c r="BQ90" s="250">
        <f t="shared" si="24"/>
        <v>0</v>
      </c>
      <c r="BR90" s="250">
        <f t="shared" si="24"/>
        <v>0</v>
      </c>
      <c r="BS90" s="250">
        <f t="shared" si="24"/>
        <v>0</v>
      </c>
      <c r="BT90" s="250">
        <f t="shared" si="24"/>
        <v>0</v>
      </c>
      <c r="BU90" s="250">
        <f t="shared" si="24"/>
        <v>0</v>
      </c>
      <c r="BV90" s="250">
        <f t="shared" si="24"/>
        <v>0</v>
      </c>
      <c r="BW90" s="250">
        <f t="shared" si="24"/>
        <v>0</v>
      </c>
      <c r="BX90" s="250">
        <f t="shared" si="24"/>
        <v>0</v>
      </c>
      <c r="BY90" s="779">
        <f>BZ17</f>
        <v>-123711708.93297106</v>
      </c>
      <c r="BZ90" s="768"/>
    </row>
    <row r="91" spans="1:78" outlineLevel="1">
      <c r="A91" s="603"/>
      <c r="B91" s="787"/>
      <c r="C91" s="253" t="s">
        <v>327</v>
      </c>
      <c r="D91" s="254" t="s">
        <v>270</v>
      </c>
      <c r="E91" s="255"/>
      <c r="F91" s="255"/>
      <c r="G91" s="255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5"/>
      <c r="V91" s="255"/>
      <c r="W91" s="255"/>
      <c r="X91" s="255"/>
      <c r="Y91" s="255"/>
      <c r="Z91" s="255"/>
      <c r="AA91" s="256"/>
      <c r="AB91" s="256"/>
      <c r="AC91" s="255"/>
      <c r="AD91" s="256"/>
      <c r="AE91" s="256"/>
      <c r="AF91" s="256"/>
      <c r="AG91" s="256">
        <f>-$BY$5-SUM($L$91:AF91)</f>
        <v>-16365002</v>
      </c>
      <c r="AH91" s="255"/>
      <c r="AI91" s="255"/>
      <c r="AJ91" s="255"/>
      <c r="AK91" s="255"/>
      <c r="AL91" s="255"/>
      <c r="AM91" s="255"/>
      <c r="AN91" s="255"/>
      <c r="AO91" s="255"/>
      <c r="AP91" s="255"/>
      <c r="AQ91" s="255"/>
      <c r="AR91" s="255"/>
      <c r="AS91" s="255"/>
      <c r="AT91" s="255"/>
      <c r="AU91" s="255"/>
      <c r="AV91" s="255"/>
      <c r="AW91" s="255"/>
      <c r="AX91" s="255"/>
      <c r="AY91" s="255"/>
      <c r="AZ91" s="255"/>
      <c r="BA91" s="255"/>
      <c r="BB91" s="255"/>
      <c r="BC91" s="256"/>
      <c r="BD91" s="255"/>
      <c r="BE91" s="255"/>
      <c r="BF91" s="255"/>
      <c r="BG91" s="255"/>
      <c r="BH91" s="255"/>
      <c r="BI91" s="255"/>
      <c r="BJ91" s="255"/>
      <c r="BK91" s="255"/>
      <c r="BL91" s="255"/>
      <c r="BM91" s="255"/>
      <c r="BN91" s="255"/>
      <c r="BO91" s="255"/>
      <c r="BP91" s="255"/>
      <c r="BQ91" s="255"/>
      <c r="BR91" s="255"/>
      <c r="BS91" s="255"/>
      <c r="BT91" s="255"/>
      <c r="BU91" s="255"/>
      <c r="BV91" s="255"/>
      <c r="BW91" s="255"/>
      <c r="BX91" s="264"/>
      <c r="BY91" s="296">
        <f t="shared" ref="BY91:BY97" si="25">SUM(E91:BX91)</f>
        <v>-16365002</v>
      </c>
      <c r="BZ91" s="777">
        <f>SUM(BY91:BY97)</f>
        <v>-106807539.30000001</v>
      </c>
    </row>
    <row r="92" spans="1:78" outlineLevel="1">
      <c r="A92" s="253" t="s">
        <v>328</v>
      </c>
      <c r="B92" s="787"/>
      <c r="C92" s="253" t="s">
        <v>329</v>
      </c>
      <c r="D92" s="254" t="s">
        <v>270</v>
      </c>
      <c r="E92" s="255"/>
      <c r="F92" s="255"/>
      <c r="G92" s="255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5"/>
      <c r="V92" s="255"/>
      <c r="W92" s="255"/>
      <c r="X92" s="255"/>
      <c r="Y92" s="255"/>
      <c r="Z92" s="255"/>
      <c r="AA92" s="256">
        <f>-50000</f>
        <v>-50000</v>
      </c>
      <c r="AB92" s="256">
        <f>-20000</f>
        <v>-20000</v>
      </c>
      <c r="AC92" s="255"/>
      <c r="AD92" s="256"/>
      <c r="AE92" s="256">
        <f>-10000</f>
        <v>-10000</v>
      </c>
      <c r="AF92" s="256"/>
      <c r="AG92" s="256">
        <f>-$BY$6-SUM($E$92:AF92)</f>
        <v>-11405000</v>
      </c>
      <c r="AH92" s="255"/>
      <c r="AI92" s="255"/>
      <c r="AJ92" s="255"/>
      <c r="AK92" s="255"/>
      <c r="AL92" s="255"/>
      <c r="AM92" s="255"/>
      <c r="AN92" s="255"/>
      <c r="AO92" s="255"/>
      <c r="AP92" s="255"/>
      <c r="AQ92" s="255"/>
      <c r="AR92" s="255"/>
      <c r="AS92" s="255"/>
      <c r="AT92" s="255"/>
      <c r="AU92" s="255"/>
      <c r="AV92" s="255"/>
      <c r="AW92" s="255"/>
      <c r="AX92" s="255"/>
      <c r="AY92" s="255"/>
      <c r="AZ92" s="255"/>
      <c r="BA92" s="255"/>
      <c r="BB92" s="255"/>
      <c r="BC92" s="255"/>
      <c r="BD92" s="255"/>
      <c r="BE92" s="255"/>
      <c r="BF92" s="255"/>
      <c r="BG92" s="255"/>
      <c r="BH92" s="255"/>
      <c r="BI92" s="255"/>
      <c r="BJ92" s="255"/>
      <c r="BK92" s="255"/>
      <c r="BL92" s="255"/>
      <c r="BM92" s="255"/>
      <c r="BN92" s="255"/>
      <c r="BO92" s="255"/>
      <c r="BP92" s="255"/>
      <c r="BQ92" s="255"/>
      <c r="BR92" s="255"/>
      <c r="BS92" s="255"/>
      <c r="BT92" s="255"/>
      <c r="BU92" s="255"/>
      <c r="BV92" s="255"/>
      <c r="BW92" s="255"/>
      <c r="BX92" s="264"/>
      <c r="BY92" s="291">
        <f t="shared" si="25"/>
        <v>-11485000</v>
      </c>
      <c r="BZ92" s="771"/>
    </row>
    <row r="93" spans="1:78" outlineLevel="1">
      <c r="A93" s="253" t="s">
        <v>330</v>
      </c>
      <c r="B93" s="787"/>
      <c r="C93" s="293" t="s">
        <v>328</v>
      </c>
      <c r="D93" s="254" t="s">
        <v>270</v>
      </c>
      <c r="E93" s="255"/>
      <c r="F93" s="255"/>
      <c r="G93" s="255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5"/>
      <c r="V93" s="255"/>
      <c r="W93" s="255"/>
      <c r="X93" s="255"/>
      <c r="Y93" s="255"/>
      <c r="Z93" s="255"/>
      <c r="AA93" s="256"/>
      <c r="AB93" s="255"/>
      <c r="AC93" s="255"/>
      <c r="AD93" s="255"/>
      <c r="AE93" s="255"/>
      <c r="AF93" s="255"/>
      <c r="AG93" s="255"/>
      <c r="AH93" s="255"/>
      <c r="AI93" s="255"/>
      <c r="AJ93" s="255"/>
      <c r="AK93" s="255"/>
      <c r="AL93" s="255"/>
      <c r="AM93" s="255"/>
      <c r="AN93" s="255"/>
      <c r="AO93" s="255"/>
      <c r="AP93" s="255"/>
      <c r="AQ93" s="255"/>
      <c r="AR93" s="255"/>
      <c r="AS93" s="255"/>
      <c r="AT93" s="255"/>
      <c r="AU93" s="255"/>
      <c r="AV93" s="255"/>
      <c r="AW93" s="255"/>
      <c r="AX93" s="255"/>
      <c r="AY93" s="255"/>
      <c r="AZ93" s="255"/>
      <c r="BA93" s="255"/>
      <c r="BB93" s="255"/>
      <c r="BC93" s="255"/>
      <c r="BD93" s="255"/>
      <c r="BE93" s="255"/>
      <c r="BF93" s="255"/>
      <c r="BG93" s="255"/>
      <c r="BH93" s="255"/>
      <c r="BI93" s="255"/>
      <c r="BJ93" s="255"/>
      <c r="BK93" s="255"/>
      <c r="BL93" s="255"/>
      <c r="BM93" s="255"/>
      <c r="BN93" s="255"/>
      <c r="BO93" s="255"/>
      <c r="BP93" s="255"/>
      <c r="BQ93" s="255"/>
      <c r="BR93" s="255"/>
      <c r="BS93" s="255"/>
      <c r="BT93" s="255"/>
      <c r="BU93" s="255"/>
      <c r="BV93" s="255"/>
      <c r="BW93" s="255"/>
      <c r="BX93" s="264"/>
      <c r="BY93" s="291">
        <f t="shared" si="25"/>
        <v>0</v>
      </c>
      <c r="BZ93" s="771"/>
    </row>
    <row r="94" spans="1:78" outlineLevel="1">
      <c r="A94" s="603"/>
      <c r="B94" s="787"/>
      <c r="C94" s="292" t="s">
        <v>330</v>
      </c>
      <c r="D94" s="254" t="s">
        <v>270</v>
      </c>
      <c r="E94" s="255"/>
      <c r="F94" s="255"/>
      <c r="G94" s="255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5"/>
      <c r="V94" s="255"/>
      <c r="W94" s="255"/>
      <c r="X94" s="255"/>
      <c r="Y94" s="255"/>
      <c r="Z94" s="255"/>
      <c r="AA94" s="255"/>
      <c r="AB94" s="255"/>
      <c r="AC94" s="255"/>
      <c r="AD94" s="255"/>
      <c r="AE94" s="255"/>
      <c r="AF94" s="255"/>
      <c r="AG94" s="255"/>
      <c r="AH94" s="255"/>
      <c r="AI94" s="255"/>
      <c r="AJ94" s="255"/>
      <c r="AK94" s="255"/>
      <c r="AL94" s="255"/>
      <c r="AM94" s="255"/>
      <c r="AN94" s="255"/>
      <c r="AO94" s="255"/>
      <c r="AP94" s="255"/>
      <c r="AQ94" s="255"/>
      <c r="AR94" s="255"/>
      <c r="AS94" s="255"/>
      <c r="AT94" s="255"/>
      <c r="AU94" s="255"/>
      <c r="AV94" s="255"/>
      <c r="AW94" s="255"/>
      <c r="AX94" s="255"/>
      <c r="AY94" s="255"/>
      <c r="AZ94" s="255"/>
      <c r="BA94" s="255"/>
      <c r="BB94" s="255"/>
      <c r="BC94" s="255"/>
      <c r="BD94" s="255"/>
      <c r="BE94" s="255"/>
      <c r="BF94" s="255"/>
      <c r="BG94" s="255"/>
      <c r="BH94" s="255"/>
      <c r="BI94" s="255"/>
      <c r="BJ94" s="255"/>
      <c r="BK94" s="255"/>
      <c r="BL94" s="255"/>
      <c r="BM94" s="255"/>
      <c r="BN94" s="255"/>
      <c r="BO94" s="255"/>
      <c r="BP94" s="255"/>
      <c r="BQ94" s="255"/>
      <c r="BR94" s="255"/>
      <c r="BS94" s="255"/>
      <c r="BT94" s="255"/>
      <c r="BU94" s="255"/>
      <c r="BV94" s="255"/>
      <c r="BW94" s="255"/>
      <c r="BX94" s="264"/>
      <c r="BY94" s="291">
        <f t="shared" si="25"/>
        <v>0</v>
      </c>
      <c r="BZ94" s="771"/>
    </row>
    <row r="95" spans="1:78" outlineLevel="1">
      <c r="A95" s="603"/>
      <c r="B95" s="787"/>
      <c r="C95" s="253" t="s">
        <v>331</v>
      </c>
      <c r="D95" s="254" t="s">
        <v>270</v>
      </c>
      <c r="E95" s="255"/>
      <c r="F95" s="255"/>
      <c r="G95" s="255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5"/>
      <c r="V95" s="255"/>
      <c r="W95" s="255"/>
      <c r="X95" s="255"/>
      <c r="Y95" s="255"/>
      <c r="Z95" s="255"/>
      <c r="AA95" s="255"/>
      <c r="AB95" s="255"/>
      <c r="AC95" s="255"/>
      <c r="AD95" s="255"/>
      <c r="AE95" s="255"/>
      <c r="AF95" s="255"/>
      <c r="AG95" s="255"/>
      <c r="AH95" s="255"/>
      <c r="AI95" s="255"/>
      <c r="AJ95" s="255"/>
      <c r="AK95" s="255"/>
      <c r="AL95" s="255"/>
      <c r="AM95" s="255"/>
      <c r="AN95" s="255"/>
      <c r="AO95" s="255"/>
      <c r="AP95" s="255"/>
      <c r="AQ95" s="255"/>
      <c r="AR95" s="255"/>
      <c r="AS95" s="255"/>
      <c r="AT95" s="255"/>
      <c r="AU95" s="255"/>
      <c r="AV95" s="255"/>
      <c r="AW95" s="255"/>
      <c r="AX95" s="255"/>
      <c r="AY95" s="255"/>
      <c r="AZ95" s="255"/>
      <c r="BA95" s="255"/>
      <c r="BB95" s="255"/>
      <c r="BC95" s="256"/>
      <c r="BD95" s="255"/>
      <c r="BE95" s="255"/>
      <c r="BF95" s="255"/>
      <c r="BG95" s="255"/>
      <c r="BH95" s="255"/>
      <c r="BI95" s="255"/>
      <c r="BJ95" s="255"/>
      <c r="BK95" s="255"/>
      <c r="BL95" s="255"/>
      <c r="BM95" s="255"/>
      <c r="BN95" s="255"/>
      <c r="BO95" s="255"/>
      <c r="BP95" s="255"/>
      <c r="BQ95" s="255"/>
      <c r="BR95" s="255"/>
      <c r="BS95" s="255"/>
      <c r="BT95" s="255"/>
      <c r="BU95" s="255"/>
      <c r="BV95" s="255"/>
      <c r="BW95" s="255"/>
      <c r="BX95" s="264"/>
      <c r="BY95" s="291">
        <f t="shared" si="25"/>
        <v>0</v>
      </c>
      <c r="BZ95" s="771"/>
    </row>
    <row r="96" spans="1:78" outlineLevel="1">
      <c r="A96" s="603"/>
      <c r="B96" s="787"/>
      <c r="C96" s="253" t="s">
        <v>332</v>
      </c>
      <c r="D96" s="254" t="s">
        <v>270</v>
      </c>
      <c r="E96" s="255"/>
      <c r="F96" s="255"/>
      <c r="G96" s="255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5"/>
      <c r="V96" s="255"/>
      <c r="W96" s="255"/>
      <c r="X96" s="255"/>
      <c r="Y96" s="255"/>
      <c r="Z96" s="255"/>
      <c r="AA96" s="255"/>
      <c r="AB96" s="255"/>
      <c r="AC96" s="255"/>
      <c r="AD96" s="255"/>
      <c r="AE96" s="255"/>
      <c r="AF96" s="255"/>
      <c r="AG96" s="255">
        <f>-$BY$10-$BY$9-SUM($E$96:AF96)</f>
        <v>-27635105.970000003</v>
      </c>
      <c r="AH96" s="255"/>
      <c r="AI96" s="255"/>
      <c r="AJ96" s="255"/>
      <c r="AK96" s="255"/>
      <c r="AL96" s="255"/>
      <c r="AM96" s="255"/>
      <c r="AN96" s="255"/>
      <c r="AO96" s="255"/>
      <c r="AP96" s="255"/>
      <c r="AQ96" s="255"/>
      <c r="AR96" s="255"/>
      <c r="AS96" s="255"/>
      <c r="AT96" s="255"/>
      <c r="AU96" s="255"/>
      <c r="AV96" s="255"/>
      <c r="AW96" s="255"/>
      <c r="AX96" s="255"/>
      <c r="AY96" s="255"/>
      <c r="AZ96" s="255"/>
      <c r="BA96" s="255"/>
      <c r="BB96" s="255"/>
      <c r="BC96" s="256"/>
      <c r="BD96" s="255"/>
      <c r="BE96" s="255"/>
      <c r="BF96" s="255"/>
      <c r="BG96" s="255"/>
      <c r="BH96" s="255"/>
      <c r="BI96" s="255"/>
      <c r="BJ96" s="255"/>
      <c r="BK96" s="255"/>
      <c r="BL96" s="255"/>
      <c r="BM96" s="255"/>
      <c r="BN96" s="255"/>
      <c r="BO96" s="255"/>
      <c r="BP96" s="255"/>
      <c r="BQ96" s="255"/>
      <c r="BR96" s="255"/>
      <c r="BS96" s="255"/>
      <c r="BT96" s="255"/>
      <c r="BU96" s="255"/>
      <c r="BV96" s="255"/>
      <c r="BW96" s="255"/>
      <c r="BX96" s="264"/>
      <c r="BY96" s="298">
        <f t="shared" si="25"/>
        <v>-27635105.970000003</v>
      </c>
      <c r="BZ96" s="771"/>
    </row>
    <row r="97" spans="1:78" ht="16" outlineLevel="1" thickBot="1">
      <c r="A97" s="603"/>
      <c r="B97" s="781"/>
      <c r="C97" s="284" t="s">
        <v>333</v>
      </c>
      <c r="D97" s="299" t="s">
        <v>270</v>
      </c>
      <c r="E97" s="286"/>
      <c r="F97" s="286"/>
      <c r="G97" s="286"/>
      <c r="H97" s="287"/>
      <c r="I97" s="287"/>
      <c r="J97" s="287"/>
      <c r="K97" s="287"/>
      <c r="L97" s="287"/>
      <c r="M97" s="287"/>
      <c r="N97" s="287"/>
      <c r="O97" s="287"/>
      <c r="P97" s="287"/>
      <c r="Q97" s="287">
        <f>-7000000</f>
        <v>-7000000</v>
      </c>
      <c r="R97" s="287"/>
      <c r="S97" s="287"/>
      <c r="T97" s="287">
        <f>-2500*25.2</f>
        <v>-63000</v>
      </c>
      <c r="U97" s="287"/>
      <c r="V97" s="287">
        <f>-2500*25.2</f>
        <v>-63000</v>
      </c>
      <c r="W97" s="287">
        <f>-2500*25.2*2</f>
        <v>-126000</v>
      </c>
      <c r="X97" s="287"/>
      <c r="Y97" s="287">
        <f>-2500*25.2*2</f>
        <v>-126000</v>
      </c>
      <c r="Z97" s="287">
        <f>-2500*25.2</f>
        <v>-63000</v>
      </c>
      <c r="AA97" s="287"/>
      <c r="AB97" s="287">
        <f>-2500*25.2*2</f>
        <v>-126000</v>
      </c>
      <c r="AC97" s="287"/>
      <c r="AD97" s="287">
        <f>-2500*25.2</f>
        <v>-63000</v>
      </c>
      <c r="AE97" s="287">
        <f>-2500*25.2*2</f>
        <v>-126000</v>
      </c>
      <c r="AF97" s="287">
        <f>-2500*25.2-4500*25.2</f>
        <v>-176400</v>
      </c>
      <c r="AG97" s="287">
        <f>-$BY$11-SUM($P$97:AF97)</f>
        <v>-43390031.330000006</v>
      </c>
      <c r="AH97" s="286"/>
      <c r="AI97" s="286"/>
      <c r="AJ97" s="286"/>
      <c r="AK97" s="286"/>
      <c r="AL97" s="286"/>
      <c r="AM97" s="286"/>
      <c r="AN97" s="286"/>
      <c r="AO97" s="286"/>
      <c r="AP97" s="286"/>
      <c r="AQ97" s="286"/>
      <c r="AR97" s="286"/>
      <c r="AS97" s="286"/>
      <c r="AT97" s="286"/>
      <c r="AU97" s="286"/>
      <c r="AV97" s="286"/>
      <c r="AW97" s="286"/>
      <c r="AX97" s="286"/>
      <c r="AY97" s="286"/>
      <c r="AZ97" s="286"/>
      <c r="BA97" s="286"/>
      <c r="BB97" s="286"/>
      <c r="BC97" s="286"/>
      <c r="BD97" s="286"/>
      <c r="BE97" s="286"/>
      <c r="BF97" s="286"/>
      <c r="BG97" s="286"/>
      <c r="BH97" s="286"/>
      <c r="BI97" s="286"/>
      <c r="BJ97" s="286"/>
      <c r="BK97" s="286"/>
      <c r="BL97" s="286"/>
      <c r="BM97" s="286"/>
      <c r="BN97" s="286"/>
      <c r="BO97" s="286"/>
      <c r="BP97" s="286"/>
      <c r="BQ97" s="286"/>
      <c r="BR97" s="286"/>
      <c r="BS97" s="286"/>
      <c r="BT97" s="286"/>
      <c r="BU97" s="286"/>
      <c r="BV97" s="286"/>
      <c r="BW97" s="286"/>
      <c r="BX97" s="288"/>
      <c r="BY97" s="268">
        <f t="shared" si="25"/>
        <v>-51322431.330000006</v>
      </c>
      <c r="BZ97" s="776"/>
    </row>
    <row r="98" spans="1:78" ht="17" thickBot="1">
      <c r="A98" s="603"/>
      <c r="B98" s="790" t="s">
        <v>334</v>
      </c>
      <c r="C98" s="774"/>
      <c r="D98" s="300" t="s">
        <v>270</v>
      </c>
      <c r="E98" s="301">
        <f t="shared" ref="E98:BX98" si="26">(E17+E23+E26+E34+E37+E49+E55+E63+E87+E90)</f>
        <v>0</v>
      </c>
      <c r="F98" s="301">
        <f t="shared" si="26"/>
        <v>0</v>
      </c>
      <c r="G98" s="301">
        <f t="shared" si="26"/>
        <v>0</v>
      </c>
      <c r="H98" s="301">
        <f t="shared" si="26"/>
        <v>-10737799.354999999</v>
      </c>
      <c r="I98" s="301">
        <f t="shared" si="26"/>
        <v>-1867696.1950000001</v>
      </c>
      <c r="J98" s="301">
        <f t="shared" si="26"/>
        <v>-1817623.665</v>
      </c>
      <c r="K98" s="301">
        <f t="shared" si="26"/>
        <v>-902873.87700000009</v>
      </c>
      <c r="L98" s="301">
        <f t="shared" si="26"/>
        <v>-5038194.0799999991</v>
      </c>
      <c r="M98" s="301">
        <f t="shared" si="26"/>
        <v>-10761502.959999999</v>
      </c>
      <c r="N98" s="301">
        <f t="shared" si="26"/>
        <v>-20069846.199999999</v>
      </c>
      <c r="O98" s="301">
        <f t="shared" si="26"/>
        <v>-9758870.4799999986</v>
      </c>
      <c r="P98" s="301">
        <f t="shared" si="26"/>
        <v>-12889323.373000002</v>
      </c>
      <c r="Q98" s="301">
        <f t="shared" si="26"/>
        <v>-10518924.400999999</v>
      </c>
      <c r="R98" s="301">
        <f t="shared" si="26"/>
        <v>-2286096.8900000006</v>
      </c>
      <c r="S98" s="301">
        <f t="shared" si="26"/>
        <v>-485789.16999999993</v>
      </c>
      <c r="T98" s="301">
        <f t="shared" si="26"/>
        <v>-484122.77599999995</v>
      </c>
      <c r="U98" s="301">
        <f t="shared" si="26"/>
        <v>-616549.19999999995</v>
      </c>
      <c r="V98" s="301">
        <f t="shared" si="26"/>
        <v>-8028777.1239999998</v>
      </c>
      <c r="W98" s="301">
        <f t="shared" si="26"/>
        <v>-7222159.71</v>
      </c>
      <c r="X98" s="301">
        <f t="shared" si="26"/>
        <v>-6751434.2479999997</v>
      </c>
      <c r="Y98" s="301">
        <f t="shared" si="26"/>
        <v>-5132940.5860000001</v>
      </c>
      <c r="Z98" s="301">
        <f t="shared" si="26"/>
        <v>-393460.76199999999</v>
      </c>
      <c r="AA98" s="301">
        <f t="shared" si="26"/>
        <v>-3872075.5</v>
      </c>
      <c r="AB98" s="301">
        <f t="shared" si="26"/>
        <v>-830278.54175206611</v>
      </c>
      <c r="AC98" s="301">
        <f>(AC17+AC23+AC26+AC34+AC37+AC49+AC55+AC63+AC87+AC90)</f>
        <v>-340610.58677685953</v>
      </c>
      <c r="AD98" s="301">
        <f t="shared" si="26"/>
        <v>-1870676.4338842975</v>
      </c>
      <c r="AE98" s="301">
        <f t="shared" si="26"/>
        <v>-2419124.3200991736</v>
      </c>
      <c r="AF98" s="301">
        <f t="shared" si="26"/>
        <v>-1186505.8226776859</v>
      </c>
      <c r="AG98" s="301">
        <f t="shared" si="26"/>
        <v>-104235991.97578098</v>
      </c>
      <c r="AH98" s="301">
        <f t="shared" si="26"/>
        <v>0</v>
      </c>
      <c r="AI98" s="301">
        <f t="shared" si="26"/>
        <v>0</v>
      </c>
      <c r="AJ98" s="301">
        <f t="shared" si="26"/>
        <v>0</v>
      </c>
      <c r="AK98" s="301">
        <f t="shared" si="26"/>
        <v>0</v>
      </c>
      <c r="AL98" s="301">
        <f t="shared" si="26"/>
        <v>0</v>
      </c>
      <c r="AM98" s="301">
        <f t="shared" si="26"/>
        <v>0</v>
      </c>
      <c r="AN98" s="301">
        <f t="shared" si="26"/>
        <v>0</v>
      </c>
      <c r="AO98" s="301">
        <f t="shared" si="26"/>
        <v>0</v>
      </c>
      <c r="AP98" s="301">
        <f t="shared" si="26"/>
        <v>0</v>
      </c>
      <c r="AQ98" s="301">
        <f t="shared" si="26"/>
        <v>0</v>
      </c>
      <c r="AR98" s="301">
        <f t="shared" si="26"/>
        <v>0</v>
      </c>
      <c r="AS98" s="301">
        <f t="shared" si="26"/>
        <v>0</v>
      </c>
      <c r="AT98" s="301">
        <f t="shared" si="26"/>
        <v>0</v>
      </c>
      <c r="AU98" s="301">
        <f t="shared" si="26"/>
        <v>0</v>
      </c>
      <c r="AV98" s="301">
        <f t="shared" si="26"/>
        <v>0</v>
      </c>
      <c r="AW98" s="301">
        <f t="shared" si="26"/>
        <v>0</v>
      </c>
      <c r="AX98" s="301">
        <f t="shared" si="26"/>
        <v>0</v>
      </c>
      <c r="AY98" s="301">
        <f t="shared" si="26"/>
        <v>0</v>
      </c>
      <c r="AZ98" s="301">
        <f t="shared" si="26"/>
        <v>0</v>
      </c>
      <c r="BA98" s="301">
        <f t="shared" si="26"/>
        <v>0</v>
      </c>
      <c r="BB98" s="301">
        <f t="shared" si="26"/>
        <v>0</v>
      </c>
      <c r="BC98" s="301">
        <f t="shared" si="26"/>
        <v>0</v>
      </c>
      <c r="BD98" s="301">
        <f t="shared" si="26"/>
        <v>0</v>
      </c>
      <c r="BE98" s="301">
        <f t="shared" si="26"/>
        <v>0</v>
      </c>
      <c r="BF98" s="301">
        <f t="shared" si="26"/>
        <v>0</v>
      </c>
      <c r="BG98" s="301">
        <f t="shared" si="26"/>
        <v>0</v>
      </c>
      <c r="BH98" s="301">
        <f t="shared" si="26"/>
        <v>0</v>
      </c>
      <c r="BI98" s="301">
        <f t="shared" si="26"/>
        <v>0</v>
      </c>
      <c r="BJ98" s="301">
        <f t="shared" si="26"/>
        <v>0</v>
      </c>
      <c r="BK98" s="301">
        <f t="shared" si="26"/>
        <v>0</v>
      </c>
      <c r="BL98" s="301">
        <f t="shared" si="26"/>
        <v>0</v>
      </c>
      <c r="BM98" s="301">
        <f t="shared" si="26"/>
        <v>0</v>
      </c>
      <c r="BN98" s="301">
        <f t="shared" si="26"/>
        <v>0</v>
      </c>
      <c r="BO98" s="301">
        <f t="shared" si="26"/>
        <v>0</v>
      </c>
      <c r="BP98" s="301">
        <f t="shared" si="26"/>
        <v>0</v>
      </c>
      <c r="BQ98" s="301">
        <f t="shared" si="26"/>
        <v>0</v>
      </c>
      <c r="BR98" s="301">
        <f t="shared" si="26"/>
        <v>0</v>
      </c>
      <c r="BS98" s="301">
        <f t="shared" si="26"/>
        <v>0</v>
      </c>
      <c r="BT98" s="301">
        <f t="shared" si="26"/>
        <v>0</v>
      </c>
      <c r="BU98" s="301">
        <f t="shared" si="26"/>
        <v>0</v>
      </c>
      <c r="BV98" s="301">
        <f t="shared" si="26"/>
        <v>0</v>
      </c>
      <c r="BW98" s="301">
        <f t="shared" si="26"/>
        <v>0</v>
      </c>
      <c r="BX98" s="301">
        <f t="shared" si="26"/>
        <v>0</v>
      </c>
      <c r="BY98" s="780">
        <f>BZ91</f>
        <v>-106807539.30000001</v>
      </c>
      <c r="BZ98" s="781"/>
    </row>
    <row r="99" spans="1:78" ht="17" thickBot="1">
      <c r="A99" s="603"/>
      <c r="B99" s="605"/>
      <c r="C99" s="605"/>
      <c r="D99" s="302"/>
      <c r="E99" s="303"/>
      <c r="F99" s="303"/>
      <c r="G99" s="303"/>
      <c r="H99" s="303">
        <f>H98</f>
        <v>-10737799.354999999</v>
      </c>
      <c r="I99" s="303">
        <f t="shared" ref="I99:AF99" si="27">H99+I98</f>
        <v>-12605495.549999999</v>
      </c>
      <c r="J99" s="303">
        <f t="shared" si="27"/>
        <v>-14423119.215</v>
      </c>
      <c r="K99" s="303">
        <f t="shared" si="27"/>
        <v>-15325993.092</v>
      </c>
      <c r="L99" s="303">
        <f t="shared" si="27"/>
        <v>-20364187.171999998</v>
      </c>
      <c r="M99" s="303">
        <f t="shared" si="27"/>
        <v>-31125690.131999999</v>
      </c>
      <c r="N99" s="303">
        <f t="shared" si="27"/>
        <v>-51195536.332000002</v>
      </c>
      <c r="O99" s="303">
        <f t="shared" si="27"/>
        <v>-60954406.811999999</v>
      </c>
      <c r="P99" s="303">
        <f t="shared" si="27"/>
        <v>-73843730.185000002</v>
      </c>
      <c r="Q99" s="303">
        <f t="shared" si="27"/>
        <v>-84362654.585999995</v>
      </c>
      <c r="R99" s="303">
        <f t="shared" si="27"/>
        <v>-86648751.475999996</v>
      </c>
      <c r="S99" s="303">
        <f t="shared" si="27"/>
        <v>-87134540.645999998</v>
      </c>
      <c r="T99" s="303">
        <f t="shared" si="27"/>
        <v>-87618663.421999991</v>
      </c>
      <c r="U99" s="303">
        <f t="shared" si="27"/>
        <v>-88235212.621999994</v>
      </c>
      <c r="V99" s="303">
        <f t="shared" si="27"/>
        <v>-96263989.745999992</v>
      </c>
      <c r="W99" s="303">
        <f t="shared" si="27"/>
        <v>-103486149.45599999</v>
      </c>
      <c r="X99" s="303">
        <f t="shared" si="27"/>
        <v>-110237583.70399998</v>
      </c>
      <c r="Y99" s="303">
        <f t="shared" si="27"/>
        <v>-115370524.28999998</v>
      </c>
      <c r="Z99" s="303">
        <f t="shared" si="27"/>
        <v>-115763985.05199997</v>
      </c>
      <c r="AA99" s="303">
        <f t="shared" si="27"/>
        <v>-119636060.55199997</v>
      </c>
      <c r="AB99" s="303">
        <f t="shared" si="27"/>
        <v>-120466339.09375204</v>
      </c>
      <c r="AC99" s="303">
        <f t="shared" si="27"/>
        <v>-120806949.68052889</v>
      </c>
      <c r="AD99" s="303">
        <f t="shared" si="27"/>
        <v>-122677626.11441319</v>
      </c>
      <c r="AE99" s="303">
        <f t="shared" si="27"/>
        <v>-125096750.43451236</v>
      </c>
      <c r="AF99" s="303">
        <f t="shared" si="27"/>
        <v>-126283256.25719005</v>
      </c>
      <c r="AG99" s="304"/>
      <c r="AH99" s="304"/>
      <c r="AI99" s="304"/>
      <c r="AJ99" s="304"/>
      <c r="AK99" s="304"/>
      <c r="AL99" s="304"/>
      <c r="AM99" s="304"/>
      <c r="AN99" s="304"/>
      <c r="AO99" s="303"/>
      <c r="AP99" s="304"/>
      <c r="AQ99" s="304"/>
      <c r="AR99" s="304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3"/>
      <c r="BG99" s="303"/>
      <c r="BH99" s="303"/>
      <c r="BI99" s="303"/>
      <c r="BJ99" s="303"/>
      <c r="BK99" s="303"/>
      <c r="BL99" s="305"/>
      <c r="BM99" s="305"/>
      <c r="BN99" s="305"/>
      <c r="BO99" s="305"/>
      <c r="BP99" s="305"/>
      <c r="BQ99" s="305"/>
      <c r="BR99" s="305"/>
      <c r="BS99" s="305"/>
      <c r="BT99" s="305"/>
      <c r="BU99" s="305"/>
      <c r="BV99" s="305"/>
      <c r="BW99" s="305"/>
      <c r="BX99" s="305"/>
      <c r="BY99" s="306"/>
      <c r="BZ99" s="306"/>
    </row>
    <row r="100" spans="1:78" ht="17" thickBot="1">
      <c r="A100" s="603"/>
      <c r="B100" s="791" t="s">
        <v>335</v>
      </c>
      <c r="C100" s="774"/>
      <c r="D100" s="307"/>
      <c r="E100" s="303">
        <f t="shared" ref="E100:BX100" si="28">E16+E98</f>
        <v>0</v>
      </c>
      <c r="F100" s="303">
        <f t="shared" si="28"/>
        <v>0</v>
      </c>
      <c r="G100" s="303">
        <f t="shared" si="28"/>
        <v>0</v>
      </c>
      <c r="H100" s="303">
        <f t="shared" si="28"/>
        <v>5627202.6450000014</v>
      </c>
      <c r="I100" s="303">
        <f t="shared" si="28"/>
        <v>-1861469.1950000001</v>
      </c>
      <c r="J100" s="303">
        <f t="shared" si="28"/>
        <v>-1803035.665</v>
      </c>
      <c r="K100" s="303">
        <f t="shared" si="28"/>
        <v>439594.12299999991</v>
      </c>
      <c r="L100" s="303">
        <f t="shared" si="28"/>
        <v>-3040677.0799999991</v>
      </c>
      <c r="M100" s="304">
        <f t="shared" si="28"/>
        <v>57291.090000001714</v>
      </c>
      <c r="N100" s="303">
        <f t="shared" si="28"/>
        <v>-75913.25</v>
      </c>
      <c r="O100" s="304">
        <f t="shared" si="28"/>
        <v>32310.750000001863</v>
      </c>
      <c r="P100" s="304">
        <f t="shared" si="28"/>
        <v>72433.306999998167</v>
      </c>
      <c r="Q100" s="304">
        <f t="shared" si="28"/>
        <v>1568038.199000001</v>
      </c>
      <c r="R100" s="304">
        <f t="shared" si="28"/>
        <v>-573213.6400000006</v>
      </c>
      <c r="S100" s="304">
        <f t="shared" si="28"/>
        <v>775131.82000000007</v>
      </c>
      <c r="T100" s="304">
        <f t="shared" si="28"/>
        <v>13861.492000000086</v>
      </c>
      <c r="U100" s="304">
        <f t="shared" si="28"/>
        <v>-47103.931999999913</v>
      </c>
      <c r="V100" s="304">
        <f>V16+V98</f>
        <v>-1387531.8559999997</v>
      </c>
      <c r="W100" s="304">
        <f t="shared" si="28"/>
        <v>81579.027999999933</v>
      </c>
      <c r="X100" s="304">
        <f t="shared" si="28"/>
        <v>559809.16000000015</v>
      </c>
      <c r="Y100" s="304">
        <f t="shared" si="28"/>
        <v>-215770.42800000031</v>
      </c>
      <c r="Z100" s="304">
        <f t="shared" si="28"/>
        <v>381244.53600000008</v>
      </c>
      <c r="AA100" s="304">
        <f t="shared" si="28"/>
        <v>176127.76800000016</v>
      </c>
      <c r="AB100" s="304">
        <f t="shared" si="28"/>
        <v>947345.4542479337</v>
      </c>
      <c r="AC100" s="304">
        <f t="shared" si="28"/>
        <v>978776.25322314049</v>
      </c>
      <c r="AD100" s="304">
        <f t="shared" si="28"/>
        <v>522919.10611570254</v>
      </c>
      <c r="AE100" s="304">
        <f t="shared" si="28"/>
        <v>126570.24390082667</v>
      </c>
      <c r="AF100" s="304">
        <f t="shared" si="28"/>
        <v>-66673.212826446397</v>
      </c>
      <c r="AG100" s="304">
        <f t="shared" si="28"/>
        <v>30055714.321985647</v>
      </c>
      <c r="AH100" s="304">
        <f t="shared" si="28"/>
        <v>0</v>
      </c>
      <c r="AI100" s="304">
        <f t="shared" si="28"/>
        <v>0</v>
      </c>
      <c r="AJ100" s="304">
        <f t="shared" si="28"/>
        <v>0</v>
      </c>
      <c r="AK100" s="304">
        <f t="shared" si="28"/>
        <v>0</v>
      </c>
      <c r="AL100" s="304">
        <f t="shared" si="28"/>
        <v>0</v>
      </c>
      <c r="AM100" s="304">
        <f t="shared" si="28"/>
        <v>0</v>
      </c>
      <c r="AN100" s="304">
        <f t="shared" si="28"/>
        <v>0</v>
      </c>
      <c r="AO100" s="303">
        <f t="shared" si="28"/>
        <v>0</v>
      </c>
      <c r="AP100" s="304">
        <f t="shared" si="28"/>
        <v>0</v>
      </c>
      <c r="AQ100" s="304">
        <f t="shared" si="28"/>
        <v>0</v>
      </c>
      <c r="AR100" s="304">
        <f t="shared" si="28"/>
        <v>0</v>
      </c>
      <c r="AS100" s="303">
        <f t="shared" si="28"/>
        <v>0</v>
      </c>
      <c r="AT100" s="303">
        <f t="shared" si="28"/>
        <v>0</v>
      </c>
      <c r="AU100" s="303">
        <f t="shared" si="28"/>
        <v>0</v>
      </c>
      <c r="AV100" s="303">
        <f t="shared" si="28"/>
        <v>0</v>
      </c>
      <c r="AW100" s="303">
        <f t="shared" si="28"/>
        <v>0</v>
      </c>
      <c r="AX100" s="303">
        <f t="shared" si="28"/>
        <v>0</v>
      </c>
      <c r="AY100" s="303">
        <f t="shared" si="28"/>
        <v>0</v>
      </c>
      <c r="AZ100" s="303">
        <f t="shared" si="28"/>
        <v>0</v>
      </c>
      <c r="BA100" s="303">
        <f t="shared" si="28"/>
        <v>0</v>
      </c>
      <c r="BB100" s="303">
        <f t="shared" si="28"/>
        <v>0</v>
      </c>
      <c r="BC100" s="303">
        <f t="shared" si="28"/>
        <v>0</v>
      </c>
      <c r="BD100" s="303">
        <f t="shared" si="28"/>
        <v>0</v>
      </c>
      <c r="BE100" s="303">
        <f t="shared" si="28"/>
        <v>0</v>
      </c>
      <c r="BF100" s="303">
        <f t="shared" si="28"/>
        <v>0</v>
      </c>
      <c r="BG100" s="303">
        <f t="shared" si="28"/>
        <v>0</v>
      </c>
      <c r="BH100" s="303">
        <f t="shared" si="28"/>
        <v>0</v>
      </c>
      <c r="BI100" s="303">
        <f t="shared" si="28"/>
        <v>0</v>
      </c>
      <c r="BJ100" s="303">
        <f t="shared" si="28"/>
        <v>0</v>
      </c>
      <c r="BK100" s="303">
        <f t="shared" si="28"/>
        <v>0</v>
      </c>
      <c r="BL100" s="308">
        <f t="shared" si="28"/>
        <v>0</v>
      </c>
      <c r="BM100" s="308">
        <f t="shared" si="28"/>
        <v>0</v>
      </c>
      <c r="BN100" s="308">
        <f t="shared" si="28"/>
        <v>0</v>
      </c>
      <c r="BO100" s="308">
        <f t="shared" si="28"/>
        <v>0</v>
      </c>
      <c r="BP100" s="308">
        <f t="shared" si="28"/>
        <v>0</v>
      </c>
      <c r="BQ100" s="308">
        <f t="shared" si="28"/>
        <v>0</v>
      </c>
      <c r="BR100" s="308">
        <f t="shared" si="28"/>
        <v>0</v>
      </c>
      <c r="BS100" s="308">
        <f t="shared" si="28"/>
        <v>0</v>
      </c>
      <c r="BT100" s="308">
        <f t="shared" si="28"/>
        <v>0</v>
      </c>
      <c r="BU100" s="308">
        <f t="shared" si="28"/>
        <v>0</v>
      </c>
      <c r="BV100" s="308">
        <f t="shared" si="28"/>
        <v>0</v>
      </c>
      <c r="BW100" s="308">
        <f t="shared" si="28"/>
        <v>0</v>
      </c>
      <c r="BX100" s="308">
        <f t="shared" si="28"/>
        <v>0</v>
      </c>
      <c r="BY100" s="782"/>
      <c r="BZ100" s="783"/>
    </row>
    <row r="101" spans="1:78" ht="16" thickBot="1">
      <c r="A101" s="603"/>
      <c r="B101" s="792" t="s">
        <v>336</v>
      </c>
      <c r="C101" s="774"/>
      <c r="D101" s="309"/>
      <c r="E101" s="310">
        <f>E100</f>
        <v>0</v>
      </c>
      <c r="F101" s="310">
        <f>F100+E101</f>
        <v>0</v>
      </c>
      <c r="G101" s="310">
        <f>655760.63+24.98*24.5-16.85*22</f>
        <v>656001.94000000006</v>
      </c>
      <c r="H101" s="310">
        <f>H100+G101-66</f>
        <v>6283138.5850000018</v>
      </c>
      <c r="I101" s="310">
        <f t="shared" ref="I101:U101" si="29">I100+H101</f>
        <v>4421669.3900000015</v>
      </c>
      <c r="J101" s="310">
        <f t="shared" si="29"/>
        <v>2618633.7250000015</v>
      </c>
      <c r="K101" s="310">
        <f t="shared" si="29"/>
        <v>3058227.8480000012</v>
      </c>
      <c r="L101" s="310">
        <f t="shared" si="29"/>
        <v>17550.768000002019</v>
      </c>
      <c r="M101" s="310">
        <f t="shared" si="29"/>
        <v>74841.858000003733</v>
      </c>
      <c r="N101" s="310">
        <f t="shared" si="29"/>
        <v>-1071.3919999962673</v>
      </c>
      <c r="O101" s="310">
        <f t="shared" si="29"/>
        <v>31239.358000005595</v>
      </c>
      <c r="P101" s="310">
        <f t="shared" si="29"/>
        <v>103672.66500000376</v>
      </c>
      <c r="Q101" s="310">
        <f t="shared" si="29"/>
        <v>1671710.8640000047</v>
      </c>
      <c r="R101" s="310">
        <f t="shared" si="29"/>
        <v>1098497.2240000041</v>
      </c>
      <c r="S101" s="310">
        <f t="shared" si="29"/>
        <v>1873629.0440000042</v>
      </c>
      <c r="T101" s="310">
        <f t="shared" si="29"/>
        <v>1887490.5360000043</v>
      </c>
      <c r="U101" s="310">
        <f t="shared" si="29"/>
        <v>1840386.6040000045</v>
      </c>
      <c r="V101" s="338">
        <v>431833</v>
      </c>
      <c r="W101" s="310">
        <f>W100+V105</f>
        <v>81579.027999999933</v>
      </c>
      <c r="X101" s="310">
        <f>X100+W105</f>
        <v>559809.16000000015</v>
      </c>
      <c r="Y101" s="310">
        <f t="shared" ref="Y101:BX101" si="30">Y100+X101</f>
        <v>344038.73199999984</v>
      </c>
      <c r="Z101" s="310">
        <f t="shared" si="30"/>
        <v>725283.26799999992</v>
      </c>
      <c r="AA101" s="310">
        <f t="shared" si="30"/>
        <v>901411.03600000008</v>
      </c>
      <c r="AB101" s="310">
        <f t="shared" si="30"/>
        <v>1848756.4902479337</v>
      </c>
      <c r="AC101" s="310">
        <f t="shared" si="30"/>
        <v>2827532.7434710739</v>
      </c>
      <c r="AD101" s="310">
        <f t="shared" si="30"/>
        <v>3350451.8495867765</v>
      </c>
      <c r="AE101" s="310">
        <f t="shared" si="30"/>
        <v>3477022.0934876031</v>
      </c>
      <c r="AF101" s="310">
        <f t="shared" si="30"/>
        <v>3410348.880661157</v>
      </c>
      <c r="AG101" s="310">
        <f t="shared" si="30"/>
        <v>33466063.202646803</v>
      </c>
      <c r="AH101" s="310">
        <f t="shared" si="30"/>
        <v>33466063.202646803</v>
      </c>
      <c r="AI101" s="310">
        <f t="shared" si="30"/>
        <v>33466063.202646803</v>
      </c>
      <c r="AJ101" s="310">
        <f t="shared" si="30"/>
        <v>33466063.202646803</v>
      </c>
      <c r="AK101" s="310">
        <f t="shared" si="30"/>
        <v>33466063.202646803</v>
      </c>
      <c r="AL101" s="310">
        <f t="shared" si="30"/>
        <v>33466063.202646803</v>
      </c>
      <c r="AM101" s="310">
        <f t="shared" si="30"/>
        <v>33466063.202646803</v>
      </c>
      <c r="AN101" s="310">
        <f t="shared" si="30"/>
        <v>33466063.202646803</v>
      </c>
      <c r="AO101" s="310">
        <f t="shared" si="30"/>
        <v>33466063.202646803</v>
      </c>
      <c r="AP101" s="310">
        <f t="shared" si="30"/>
        <v>33466063.202646803</v>
      </c>
      <c r="AQ101" s="310">
        <f t="shared" si="30"/>
        <v>33466063.202646803</v>
      </c>
      <c r="AR101" s="310">
        <f t="shared" si="30"/>
        <v>33466063.202646803</v>
      </c>
      <c r="AS101" s="310">
        <f t="shared" si="30"/>
        <v>33466063.202646803</v>
      </c>
      <c r="AT101" s="310">
        <f t="shared" si="30"/>
        <v>33466063.202646803</v>
      </c>
      <c r="AU101" s="310">
        <f t="shared" si="30"/>
        <v>33466063.202646803</v>
      </c>
      <c r="AV101" s="310">
        <f t="shared" si="30"/>
        <v>33466063.202646803</v>
      </c>
      <c r="AW101" s="310">
        <f t="shared" si="30"/>
        <v>33466063.202646803</v>
      </c>
      <c r="AX101" s="310">
        <f t="shared" si="30"/>
        <v>33466063.202646803</v>
      </c>
      <c r="AY101" s="310">
        <f t="shared" si="30"/>
        <v>33466063.202646803</v>
      </c>
      <c r="AZ101" s="310">
        <f t="shared" si="30"/>
        <v>33466063.202646803</v>
      </c>
      <c r="BA101" s="310">
        <f t="shared" si="30"/>
        <v>33466063.202646803</v>
      </c>
      <c r="BB101" s="310">
        <f t="shared" si="30"/>
        <v>33466063.202646803</v>
      </c>
      <c r="BC101" s="310">
        <f t="shared" si="30"/>
        <v>33466063.202646803</v>
      </c>
      <c r="BD101" s="310">
        <f t="shared" si="30"/>
        <v>33466063.202646803</v>
      </c>
      <c r="BE101" s="310">
        <f t="shared" si="30"/>
        <v>33466063.202646803</v>
      </c>
      <c r="BF101" s="310">
        <f t="shared" si="30"/>
        <v>33466063.202646803</v>
      </c>
      <c r="BG101" s="310">
        <f t="shared" si="30"/>
        <v>33466063.202646803</v>
      </c>
      <c r="BH101" s="310">
        <f t="shared" si="30"/>
        <v>33466063.202646803</v>
      </c>
      <c r="BI101" s="310">
        <f t="shared" si="30"/>
        <v>33466063.202646803</v>
      </c>
      <c r="BJ101" s="310">
        <f t="shared" si="30"/>
        <v>33466063.202646803</v>
      </c>
      <c r="BK101" s="310">
        <f t="shared" si="30"/>
        <v>33466063.202646803</v>
      </c>
      <c r="BL101" s="310">
        <f t="shared" si="30"/>
        <v>33466063.202646803</v>
      </c>
      <c r="BM101" s="310">
        <f t="shared" si="30"/>
        <v>33466063.202646803</v>
      </c>
      <c r="BN101" s="310">
        <f t="shared" si="30"/>
        <v>33466063.202646803</v>
      </c>
      <c r="BO101" s="310">
        <f t="shared" si="30"/>
        <v>33466063.202646803</v>
      </c>
      <c r="BP101" s="310">
        <f t="shared" si="30"/>
        <v>33466063.202646803</v>
      </c>
      <c r="BQ101" s="310">
        <f t="shared" si="30"/>
        <v>33466063.202646803</v>
      </c>
      <c r="BR101" s="310">
        <f t="shared" si="30"/>
        <v>33466063.202646803</v>
      </c>
      <c r="BS101" s="310">
        <f t="shared" si="30"/>
        <v>33466063.202646803</v>
      </c>
      <c r="BT101" s="310">
        <f t="shared" si="30"/>
        <v>33466063.202646803</v>
      </c>
      <c r="BU101" s="310">
        <f t="shared" si="30"/>
        <v>33466063.202646803</v>
      </c>
      <c r="BV101" s="310">
        <f t="shared" si="30"/>
        <v>33466063.202646803</v>
      </c>
      <c r="BW101" s="310">
        <f t="shared" si="30"/>
        <v>33466063.202646803</v>
      </c>
      <c r="BX101" s="310">
        <f t="shared" si="30"/>
        <v>33466063.202646803</v>
      </c>
      <c r="BY101" s="226"/>
      <c r="BZ101" s="226"/>
    </row>
    <row r="102" spans="1:78">
      <c r="A102" s="226"/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26"/>
      <c r="AG102" s="226"/>
      <c r="AH102" s="226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6"/>
      <c r="AT102" s="226"/>
      <c r="AU102" s="226"/>
      <c r="AV102" s="226"/>
      <c r="AW102" s="226"/>
      <c r="AX102" s="226"/>
      <c r="AY102" s="226"/>
      <c r="AZ102" s="226"/>
      <c r="BA102" s="226"/>
      <c r="BB102" s="226"/>
      <c r="BC102" s="226"/>
      <c r="BD102" s="226"/>
      <c r="BE102" s="226"/>
      <c r="BF102" s="226"/>
      <c r="BG102" s="226"/>
      <c r="BH102" s="226"/>
      <c r="BI102" s="226"/>
      <c r="BJ102" s="226"/>
      <c r="BK102" s="226"/>
      <c r="BL102" s="226"/>
      <c r="BM102" s="226"/>
      <c r="BN102" s="226"/>
      <c r="BO102" s="226"/>
      <c r="BP102" s="226"/>
      <c r="BQ102" s="226"/>
      <c r="BR102" s="226"/>
      <c r="BS102" s="226"/>
      <c r="BT102" s="226"/>
      <c r="BU102" s="226"/>
      <c r="BV102" s="226"/>
      <c r="BW102" s="226"/>
      <c r="BX102" s="226"/>
      <c r="BY102" s="311"/>
      <c r="BZ102" s="226"/>
    </row>
    <row r="103" spans="1:78">
      <c r="A103" s="226"/>
      <c r="B103" s="226"/>
      <c r="C103" s="226"/>
      <c r="D103" s="226"/>
      <c r="E103" s="226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26"/>
      <c r="Z103" s="226"/>
      <c r="AA103" s="226"/>
      <c r="AB103" s="339"/>
      <c r="AC103" s="226"/>
      <c r="AD103" s="226"/>
      <c r="AE103" s="226"/>
      <c r="AF103" s="226"/>
      <c r="AG103" s="226"/>
      <c r="AH103" s="226"/>
      <c r="AI103" s="226"/>
      <c r="AJ103" s="226"/>
      <c r="AK103" s="226"/>
      <c r="AL103" s="226"/>
      <c r="AM103" s="226"/>
      <c r="AN103" s="226"/>
      <c r="AO103" s="226"/>
      <c r="AP103" s="226"/>
      <c r="AQ103" s="226"/>
      <c r="AR103" s="226"/>
      <c r="AS103" s="226"/>
      <c r="AT103" s="226"/>
      <c r="AU103" s="226"/>
      <c r="AV103" s="226"/>
      <c r="AW103" s="226"/>
      <c r="AX103" s="226"/>
      <c r="AY103" s="226"/>
      <c r="AZ103" s="226"/>
      <c r="BA103" s="226"/>
      <c r="BB103" s="226"/>
      <c r="BC103" s="226"/>
      <c r="BD103" s="226"/>
      <c r="BE103" s="226"/>
      <c r="BF103" s="226"/>
      <c r="BG103" s="226"/>
      <c r="BH103" s="226"/>
      <c r="BI103" s="226"/>
      <c r="BJ103" s="226"/>
      <c r="BK103" s="226"/>
      <c r="BL103" s="226"/>
      <c r="BM103" s="226"/>
      <c r="BN103" s="226"/>
      <c r="BO103" s="226"/>
      <c r="BP103" s="226"/>
      <c r="BQ103" s="226"/>
      <c r="BR103" s="226"/>
      <c r="BS103" s="226"/>
      <c r="BT103" s="226"/>
      <c r="BU103" s="226"/>
      <c r="BV103" s="226"/>
      <c r="BW103" s="226"/>
      <c r="BX103" s="226"/>
      <c r="BY103" s="311"/>
      <c r="BZ103" s="226"/>
    </row>
    <row r="104" spans="1:78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339"/>
      <c r="AC104" s="226"/>
      <c r="AD104" s="226"/>
      <c r="AE104" s="226"/>
      <c r="AF104" s="226"/>
      <c r="AG104" s="226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6"/>
      <c r="BN104" s="226"/>
      <c r="BO104" s="226"/>
      <c r="BP104" s="226"/>
      <c r="BQ104" s="226"/>
      <c r="BR104" s="226"/>
      <c r="BS104" s="226"/>
      <c r="BT104" s="226"/>
      <c r="BU104" s="226"/>
      <c r="BV104" s="226"/>
      <c r="BW104" s="226"/>
      <c r="BX104" s="226"/>
      <c r="BY104" s="311"/>
      <c r="BZ104" s="226"/>
    </row>
    <row r="105" spans="1:78">
      <c r="A105" s="226"/>
      <c r="B105" s="226"/>
      <c r="C105" s="226"/>
      <c r="D105" s="226"/>
      <c r="E105" s="226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  <c r="U105" s="226"/>
      <c r="V105" s="226"/>
      <c r="W105" s="226"/>
      <c r="X105" s="226"/>
      <c r="Y105" s="730"/>
      <c r="Z105" s="730"/>
      <c r="AA105" s="226"/>
      <c r="AB105" s="226"/>
      <c r="AC105" s="226"/>
      <c r="AD105" s="226"/>
      <c r="AE105" s="226"/>
      <c r="AF105" s="226"/>
      <c r="AG105" s="226"/>
      <c r="AH105" s="226"/>
      <c r="AI105" s="226"/>
      <c r="AJ105" s="226"/>
      <c r="AK105" s="226"/>
      <c r="AL105" s="226"/>
      <c r="AM105" s="226"/>
      <c r="AN105" s="226"/>
      <c r="AO105" s="226"/>
      <c r="AP105" s="226"/>
      <c r="AQ105" s="226"/>
      <c r="AR105" s="226"/>
      <c r="AS105" s="226"/>
      <c r="AT105" s="226"/>
      <c r="AU105" s="226"/>
      <c r="AV105" s="226"/>
      <c r="AW105" s="226"/>
      <c r="AX105" s="226"/>
      <c r="AY105" s="226"/>
      <c r="AZ105" s="226"/>
      <c r="BA105" s="226"/>
      <c r="BB105" s="226"/>
      <c r="BC105" s="226"/>
      <c r="BD105" s="226"/>
      <c r="BE105" s="226"/>
      <c r="BF105" s="226"/>
      <c r="BG105" s="226"/>
      <c r="BH105" s="226"/>
      <c r="BI105" s="226"/>
      <c r="BJ105" s="226"/>
      <c r="BK105" s="226"/>
      <c r="BL105" s="226"/>
      <c r="BM105" s="226"/>
      <c r="BN105" s="226"/>
      <c r="BO105" s="226"/>
      <c r="BP105" s="226"/>
      <c r="BQ105" s="226"/>
      <c r="BR105" s="226"/>
      <c r="BS105" s="226"/>
      <c r="BT105" s="226"/>
      <c r="BU105" s="226"/>
      <c r="BV105" s="226"/>
      <c r="BW105" s="226"/>
      <c r="BX105" s="226"/>
      <c r="BY105" s="311"/>
      <c r="BZ105" s="226"/>
    </row>
    <row r="106" spans="1:78">
      <c r="A106" s="226"/>
      <c r="B106" s="226"/>
      <c r="C106" s="226"/>
      <c r="D106" s="226"/>
      <c r="E106" s="226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  <c r="AG106" s="226"/>
      <c r="AH106" s="226"/>
      <c r="AI106" s="226"/>
      <c r="AJ106" s="226"/>
      <c r="AK106" s="226"/>
      <c r="AL106" s="226"/>
      <c r="AM106" s="226"/>
      <c r="AN106" s="226"/>
      <c r="AO106" s="226"/>
      <c r="AP106" s="226"/>
      <c r="AQ106" s="226"/>
      <c r="AR106" s="226"/>
      <c r="AS106" s="226"/>
      <c r="AT106" s="226"/>
      <c r="AU106" s="226"/>
      <c r="AV106" s="226"/>
      <c r="AW106" s="226"/>
      <c r="AX106" s="226"/>
      <c r="AY106" s="226"/>
      <c r="AZ106" s="226"/>
      <c r="BA106" s="226"/>
      <c r="BB106" s="226"/>
      <c r="BC106" s="226"/>
      <c r="BD106" s="226"/>
      <c r="BE106" s="226"/>
      <c r="BF106" s="226"/>
      <c r="BG106" s="226"/>
      <c r="BH106" s="226"/>
      <c r="BI106" s="226"/>
      <c r="BJ106" s="226"/>
      <c r="BK106" s="226"/>
      <c r="BL106" s="226"/>
      <c r="BM106" s="226"/>
      <c r="BN106" s="226"/>
      <c r="BO106" s="226"/>
      <c r="BP106" s="226"/>
      <c r="BQ106" s="226"/>
      <c r="BR106" s="226"/>
      <c r="BS106" s="226"/>
      <c r="BT106" s="226"/>
      <c r="BU106" s="226"/>
      <c r="BV106" s="226"/>
      <c r="BW106" s="226"/>
      <c r="BX106" s="226"/>
      <c r="BY106" s="311"/>
      <c r="BZ106" s="226"/>
    </row>
    <row r="107" spans="1:78">
      <c r="A107" s="226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  <c r="AG107" s="226"/>
      <c r="AH107" s="226"/>
      <c r="AI107" s="226"/>
      <c r="AJ107" s="226"/>
      <c r="AK107" s="226"/>
      <c r="AL107" s="226"/>
      <c r="AM107" s="226"/>
      <c r="AN107" s="226"/>
      <c r="AO107" s="226"/>
      <c r="AP107" s="226"/>
      <c r="AQ107" s="226"/>
      <c r="AR107" s="226"/>
      <c r="AS107" s="226"/>
      <c r="AT107" s="226"/>
      <c r="AU107" s="226"/>
      <c r="AV107" s="226"/>
      <c r="AW107" s="226"/>
      <c r="AX107" s="226"/>
      <c r="AY107" s="226"/>
      <c r="AZ107" s="226"/>
      <c r="BA107" s="226"/>
      <c r="BB107" s="226"/>
      <c r="BC107" s="226"/>
      <c r="BD107" s="226"/>
      <c r="BE107" s="226"/>
      <c r="BF107" s="226"/>
      <c r="BG107" s="226"/>
      <c r="BH107" s="226"/>
      <c r="BI107" s="226"/>
      <c r="BJ107" s="226"/>
      <c r="BK107" s="226"/>
      <c r="BL107" s="226"/>
      <c r="BM107" s="226"/>
      <c r="BN107" s="226"/>
      <c r="BO107" s="226"/>
      <c r="BP107" s="226"/>
      <c r="BQ107" s="226"/>
      <c r="BR107" s="226"/>
      <c r="BS107" s="226"/>
      <c r="BT107" s="226"/>
      <c r="BU107" s="226"/>
      <c r="BV107" s="226"/>
      <c r="BW107" s="226"/>
      <c r="BX107" s="226"/>
      <c r="BY107" s="311"/>
      <c r="BZ107" s="226"/>
    </row>
    <row r="108" spans="1:78" hidden="1">
      <c r="A108" s="226"/>
      <c r="B108" s="226"/>
      <c r="C108" s="226"/>
      <c r="D108" s="312" t="s">
        <v>337</v>
      </c>
      <c r="E108" s="312"/>
      <c r="F108" s="312"/>
      <c r="G108" s="312"/>
      <c r="H108" s="312"/>
      <c r="I108" s="312"/>
      <c r="J108" s="312"/>
      <c r="K108" s="312"/>
      <c r="L108" s="312"/>
      <c r="M108" s="312"/>
      <c r="N108" s="312"/>
      <c r="O108" s="312"/>
      <c r="P108" s="312"/>
      <c r="Q108" s="312"/>
      <c r="R108" s="312"/>
      <c r="S108" s="312"/>
      <c r="T108" s="312"/>
      <c r="U108" s="312"/>
      <c r="V108" s="313"/>
      <c r="W108" s="313"/>
      <c r="X108" s="313"/>
      <c r="Y108" s="313"/>
      <c r="Z108" s="313"/>
      <c r="AA108" s="313"/>
      <c r="AB108" s="313"/>
      <c r="AC108" s="313"/>
      <c r="AD108" s="313"/>
      <c r="AE108" s="313"/>
      <c r="AF108" s="313"/>
      <c r="AG108" s="313"/>
      <c r="AH108" s="313"/>
      <c r="AI108" s="313"/>
      <c r="AJ108" s="313"/>
      <c r="AK108" s="313"/>
      <c r="AL108" s="313"/>
      <c r="AM108" s="313"/>
      <c r="AN108" s="313"/>
      <c r="AO108" s="313"/>
      <c r="AP108" s="313"/>
      <c r="AQ108" s="313"/>
      <c r="AR108" s="313"/>
      <c r="AS108" s="313"/>
      <c r="AT108" s="313"/>
      <c r="AU108" s="313"/>
      <c r="AV108" s="313"/>
      <c r="AW108" s="313"/>
      <c r="AX108" s="313"/>
      <c r="AY108" s="313"/>
      <c r="AZ108" s="313"/>
      <c r="BA108" s="313"/>
      <c r="BB108" s="313"/>
      <c r="BC108" s="313"/>
      <c r="BD108" s="313"/>
      <c r="BE108" s="313"/>
      <c r="BF108" s="313"/>
      <c r="BG108" s="313"/>
      <c r="BH108" s="313"/>
      <c r="BI108" s="313"/>
      <c r="BJ108" s="313"/>
      <c r="BK108" s="313"/>
      <c r="BL108" s="313"/>
      <c r="BM108" s="313"/>
      <c r="BN108" s="313"/>
      <c r="BO108" s="313"/>
      <c r="BP108" s="313"/>
      <c r="BQ108" s="313"/>
      <c r="BR108" s="313"/>
      <c r="BS108" s="313"/>
      <c r="BT108" s="313"/>
      <c r="BU108" s="313"/>
      <c r="BV108" s="313"/>
      <c r="BW108" s="313"/>
      <c r="BX108" s="313"/>
      <c r="BY108" s="311"/>
      <c r="BZ108" s="226"/>
    </row>
    <row r="109" spans="1:78" hidden="1">
      <c r="A109" s="226"/>
      <c r="B109" s="226"/>
      <c r="C109" s="226"/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26"/>
      <c r="X109" s="226"/>
      <c r="Y109" s="226"/>
      <c r="Z109" s="226"/>
      <c r="AA109" s="226"/>
      <c r="AB109" s="226"/>
      <c r="AC109" s="226"/>
      <c r="AD109" s="226"/>
      <c r="AE109" s="226"/>
      <c r="AF109" s="226"/>
      <c r="AG109" s="226"/>
      <c r="AH109" s="226"/>
      <c r="AI109" s="226"/>
      <c r="AJ109" s="226"/>
      <c r="AK109" s="226"/>
      <c r="AL109" s="226"/>
      <c r="AM109" s="226"/>
      <c r="AN109" s="226"/>
      <c r="AO109" s="226"/>
      <c r="AP109" s="226"/>
      <c r="AQ109" s="226"/>
      <c r="AR109" s="226"/>
      <c r="AS109" s="226"/>
      <c r="AT109" s="226"/>
      <c r="AU109" s="226"/>
      <c r="AV109" s="226"/>
      <c r="AW109" s="226"/>
      <c r="AX109" s="226"/>
      <c r="AY109" s="226"/>
      <c r="AZ109" s="226"/>
      <c r="BA109" s="226"/>
      <c r="BB109" s="226"/>
      <c r="BC109" s="226"/>
      <c r="BD109" s="226"/>
      <c r="BE109" s="226"/>
      <c r="BF109" s="226"/>
      <c r="BG109" s="226"/>
      <c r="BH109" s="226"/>
      <c r="BI109" s="226"/>
      <c r="BJ109" s="226"/>
      <c r="BK109" s="226"/>
      <c r="BL109" s="226"/>
      <c r="BM109" s="226"/>
      <c r="BN109" s="226"/>
      <c r="BO109" s="226"/>
      <c r="BP109" s="226"/>
      <c r="BQ109" s="226"/>
      <c r="BR109" s="226"/>
      <c r="BS109" s="226"/>
      <c r="BT109" s="226"/>
      <c r="BU109" s="226"/>
      <c r="BV109" s="226"/>
      <c r="BW109" s="226"/>
      <c r="BX109" s="226"/>
      <c r="BY109" s="311"/>
      <c r="BZ109" s="226"/>
    </row>
    <row r="110" spans="1:78" hidden="1">
      <c r="A110" s="226"/>
      <c r="B110" s="226"/>
      <c r="C110" s="314" t="s">
        <v>338</v>
      </c>
      <c r="D110" s="315"/>
      <c r="E110" s="316">
        <f>E118+E136+E168+E184</f>
        <v>0</v>
      </c>
      <c r="F110" s="316">
        <f t="shared" ref="F110:BW110" si="31">F118+F184</f>
        <v>0</v>
      </c>
      <c r="G110" s="316">
        <f t="shared" si="31"/>
        <v>0</v>
      </c>
      <c r="H110" s="316">
        <f t="shared" si="31"/>
        <v>-5341205.5</v>
      </c>
      <c r="I110" s="316">
        <f t="shared" si="31"/>
        <v>0</v>
      </c>
      <c r="J110" s="316">
        <f t="shared" si="31"/>
        <v>0</v>
      </c>
      <c r="K110" s="316">
        <f t="shared" si="31"/>
        <v>-885000</v>
      </c>
      <c r="L110" s="316">
        <f t="shared" si="31"/>
        <v>-1940000</v>
      </c>
      <c r="M110" s="316">
        <f t="shared" si="31"/>
        <v>-4260000</v>
      </c>
      <c r="N110" s="316">
        <f t="shared" si="31"/>
        <v>0</v>
      </c>
      <c r="O110" s="316">
        <f t="shared" si="31"/>
        <v>-320000</v>
      </c>
      <c r="P110" s="316">
        <f t="shared" si="31"/>
        <v>-320000</v>
      </c>
      <c r="Q110" s="316">
        <f t="shared" si="31"/>
        <v>0</v>
      </c>
      <c r="R110" s="316">
        <f t="shared" si="31"/>
        <v>-670000</v>
      </c>
      <c r="S110" s="316">
        <f t="shared" si="31"/>
        <v>0</v>
      </c>
      <c r="T110" s="316">
        <f t="shared" si="31"/>
        <v>5341205.5</v>
      </c>
      <c r="U110" s="316">
        <f t="shared" si="31"/>
        <v>0</v>
      </c>
      <c r="V110" s="316">
        <f t="shared" si="31"/>
        <v>-3090000</v>
      </c>
      <c r="W110" s="316">
        <f t="shared" si="31"/>
        <v>0</v>
      </c>
      <c r="X110" s="316">
        <f t="shared" si="31"/>
        <v>0</v>
      </c>
      <c r="Y110" s="316">
        <f t="shared" si="31"/>
        <v>0</v>
      </c>
      <c r="Z110" s="316">
        <f t="shared" si="31"/>
        <v>0</v>
      </c>
      <c r="AA110" s="316">
        <f t="shared" si="31"/>
        <v>50000</v>
      </c>
      <c r="AB110" s="316">
        <f t="shared" si="31"/>
        <v>20000</v>
      </c>
      <c r="AC110" s="316">
        <f t="shared" si="31"/>
        <v>0</v>
      </c>
      <c r="AD110" s="316">
        <f t="shared" si="31"/>
        <v>0</v>
      </c>
      <c r="AE110" s="316">
        <f t="shared" si="31"/>
        <v>10000</v>
      </c>
      <c r="AF110" s="316">
        <f t="shared" si="31"/>
        <v>0</v>
      </c>
      <c r="AG110" s="316">
        <f t="shared" si="31"/>
        <v>27770002</v>
      </c>
      <c r="AH110" s="316">
        <f t="shared" si="31"/>
        <v>0</v>
      </c>
      <c r="AI110" s="316">
        <f t="shared" si="31"/>
        <v>0</v>
      </c>
      <c r="AJ110" s="316">
        <f t="shared" si="31"/>
        <v>0</v>
      </c>
      <c r="AK110" s="316">
        <f t="shared" si="31"/>
        <v>0</v>
      </c>
      <c r="AL110" s="316">
        <f t="shared" si="31"/>
        <v>0</v>
      </c>
      <c r="AM110" s="316">
        <f t="shared" si="31"/>
        <v>0</v>
      </c>
      <c r="AN110" s="316">
        <f t="shared" si="31"/>
        <v>0</v>
      </c>
      <c r="AO110" s="316">
        <f t="shared" si="31"/>
        <v>0</v>
      </c>
      <c r="AP110" s="316">
        <f t="shared" si="31"/>
        <v>0</v>
      </c>
      <c r="AQ110" s="316">
        <f t="shared" si="31"/>
        <v>0</v>
      </c>
      <c r="AR110" s="316">
        <f t="shared" si="31"/>
        <v>0</v>
      </c>
      <c r="AS110" s="316">
        <f t="shared" si="31"/>
        <v>0</v>
      </c>
      <c r="AT110" s="316">
        <f t="shared" si="31"/>
        <v>0</v>
      </c>
      <c r="AU110" s="316">
        <f t="shared" si="31"/>
        <v>0</v>
      </c>
      <c r="AV110" s="316">
        <f t="shared" si="31"/>
        <v>0</v>
      </c>
      <c r="AW110" s="316">
        <f t="shared" si="31"/>
        <v>0</v>
      </c>
      <c r="AX110" s="316">
        <f t="shared" si="31"/>
        <v>0</v>
      </c>
      <c r="AY110" s="316">
        <f t="shared" si="31"/>
        <v>0</v>
      </c>
      <c r="AZ110" s="316">
        <f t="shared" si="31"/>
        <v>0</v>
      </c>
      <c r="BA110" s="316">
        <f t="shared" si="31"/>
        <v>0</v>
      </c>
      <c r="BB110" s="316">
        <f t="shared" si="31"/>
        <v>0</v>
      </c>
      <c r="BC110" s="316">
        <f t="shared" si="31"/>
        <v>0</v>
      </c>
      <c r="BD110" s="316">
        <f t="shared" si="31"/>
        <v>0</v>
      </c>
      <c r="BE110" s="316">
        <f t="shared" si="31"/>
        <v>0</v>
      </c>
      <c r="BF110" s="316">
        <f t="shared" si="31"/>
        <v>0</v>
      </c>
      <c r="BG110" s="316">
        <f t="shared" si="31"/>
        <v>0</v>
      </c>
      <c r="BH110" s="316">
        <f t="shared" si="31"/>
        <v>0</v>
      </c>
      <c r="BI110" s="316">
        <f t="shared" si="31"/>
        <v>0</v>
      </c>
      <c r="BJ110" s="316">
        <f t="shared" si="31"/>
        <v>0</v>
      </c>
      <c r="BK110" s="316">
        <f t="shared" si="31"/>
        <v>0</v>
      </c>
      <c r="BL110" s="316">
        <f t="shared" si="31"/>
        <v>0</v>
      </c>
      <c r="BM110" s="316">
        <f t="shared" si="31"/>
        <v>0</v>
      </c>
      <c r="BN110" s="316">
        <f t="shared" si="31"/>
        <v>0</v>
      </c>
      <c r="BO110" s="316">
        <f t="shared" si="31"/>
        <v>0</v>
      </c>
      <c r="BP110" s="316">
        <f t="shared" si="31"/>
        <v>0</v>
      </c>
      <c r="BQ110" s="316">
        <f t="shared" si="31"/>
        <v>0</v>
      </c>
      <c r="BR110" s="316">
        <f t="shared" si="31"/>
        <v>0</v>
      </c>
      <c r="BS110" s="316">
        <f t="shared" si="31"/>
        <v>0</v>
      </c>
      <c r="BT110" s="316">
        <f t="shared" si="31"/>
        <v>0</v>
      </c>
      <c r="BU110" s="316">
        <f t="shared" si="31"/>
        <v>0</v>
      </c>
      <c r="BV110" s="316">
        <f t="shared" si="31"/>
        <v>0</v>
      </c>
      <c r="BW110" s="316">
        <f t="shared" si="31"/>
        <v>0</v>
      </c>
      <c r="BX110" s="316">
        <f>BX118+BX184+BX101</f>
        <v>33466063.202646803</v>
      </c>
      <c r="BY110" s="311"/>
      <c r="BZ110" s="226"/>
    </row>
    <row r="111" spans="1:78" hidden="1">
      <c r="A111" s="226"/>
      <c r="B111" s="226"/>
      <c r="C111" s="317" t="s">
        <v>339</v>
      </c>
      <c r="D111" s="793">
        <f>IRR(E110:BX110)*12</f>
        <v>0.55490813139855266</v>
      </c>
      <c r="E111" s="768"/>
      <c r="F111" s="226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6"/>
      <c r="R111" s="226"/>
      <c r="S111" s="226"/>
      <c r="T111" s="226"/>
      <c r="U111" s="226"/>
      <c r="V111" s="226"/>
      <c r="W111" s="226"/>
      <c r="X111" s="226"/>
      <c r="Y111" s="226"/>
      <c r="Z111" s="226"/>
      <c r="AA111" s="226"/>
      <c r="AB111" s="226"/>
      <c r="AC111" s="226"/>
      <c r="AD111" s="226"/>
      <c r="AE111" s="226"/>
      <c r="AF111" s="226"/>
      <c r="AG111" s="226"/>
      <c r="AH111" s="226"/>
      <c r="AI111" s="226"/>
      <c r="AJ111" s="226"/>
      <c r="AK111" s="226"/>
      <c r="AL111" s="226"/>
      <c r="AM111" s="226"/>
      <c r="AN111" s="226"/>
      <c r="AO111" s="226"/>
      <c r="AP111" s="226"/>
      <c r="AQ111" s="226"/>
      <c r="AR111" s="226"/>
      <c r="AS111" s="226"/>
      <c r="AT111" s="226"/>
      <c r="AU111" s="226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6"/>
      <c r="BF111" s="226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6"/>
      <c r="BQ111" s="226"/>
      <c r="BR111" s="226"/>
      <c r="BS111" s="226"/>
      <c r="BT111" s="226"/>
      <c r="BU111" s="226"/>
      <c r="BV111" s="226"/>
      <c r="BW111" s="226"/>
      <c r="BX111" s="226"/>
      <c r="BY111" s="311"/>
      <c r="BZ111" s="226"/>
    </row>
    <row r="114" spans="3:76" ht="17" hidden="1">
      <c r="C114" s="314" t="s">
        <v>340</v>
      </c>
      <c r="D114" s="794"/>
      <c r="E114" s="767"/>
      <c r="F114" s="767"/>
      <c r="G114" s="767"/>
      <c r="H114" s="767"/>
      <c r="I114" s="767"/>
      <c r="J114" s="767"/>
      <c r="K114" s="767"/>
      <c r="L114" s="767"/>
      <c r="M114" s="767"/>
      <c r="N114" s="767"/>
      <c r="O114" s="767"/>
      <c r="P114" s="767"/>
      <c r="Q114" s="767"/>
      <c r="R114" s="767"/>
      <c r="S114" s="767"/>
      <c r="T114" s="767"/>
      <c r="U114" s="767"/>
      <c r="V114" s="767"/>
      <c r="W114" s="767"/>
      <c r="X114" s="767"/>
      <c r="Y114" s="767"/>
      <c r="Z114" s="767"/>
      <c r="AA114" s="767"/>
      <c r="AB114" s="767"/>
      <c r="AC114" s="767"/>
      <c r="AD114" s="767"/>
      <c r="AE114" s="767"/>
      <c r="AF114" s="767"/>
      <c r="AG114" s="767"/>
      <c r="AH114" s="767"/>
      <c r="AI114" s="767"/>
      <c r="AJ114" s="767"/>
      <c r="AK114" s="767"/>
      <c r="AL114" s="767"/>
      <c r="AM114" s="767"/>
      <c r="AN114" s="767"/>
      <c r="AO114" s="767"/>
      <c r="AP114" s="767"/>
      <c r="AQ114" s="767"/>
      <c r="AR114" s="767"/>
      <c r="AS114" s="767"/>
      <c r="AT114" s="767"/>
      <c r="AU114" s="767"/>
      <c r="AV114" s="767"/>
      <c r="AW114" s="767"/>
      <c r="AX114" s="767"/>
      <c r="AY114" s="767"/>
      <c r="AZ114" s="767"/>
      <c r="BA114" s="767"/>
      <c r="BB114" s="767"/>
      <c r="BC114" s="767"/>
      <c r="BD114" s="767"/>
      <c r="BE114" s="767"/>
      <c r="BF114" s="767"/>
      <c r="BG114" s="767"/>
      <c r="BH114" s="767"/>
      <c r="BI114" s="767"/>
      <c r="BJ114" s="767"/>
      <c r="BK114" s="767"/>
      <c r="BL114" s="767"/>
      <c r="BM114" s="767"/>
      <c r="BN114" s="767"/>
      <c r="BO114" s="767"/>
      <c r="BP114" s="767"/>
      <c r="BQ114" s="767"/>
      <c r="BR114" s="767"/>
      <c r="BS114" s="767"/>
      <c r="BT114" s="767"/>
      <c r="BU114" s="767"/>
      <c r="BV114" s="767"/>
      <c r="BW114" s="768"/>
      <c r="BX114" s="319">
        <f>BX101*C115</f>
        <v>6693212.6405293606</v>
      </c>
    </row>
    <row r="115" spans="3:76" ht="19" hidden="1">
      <c r="C115" s="320">
        <v>0.2</v>
      </c>
      <c r="D115" s="226"/>
      <c r="E115" s="226"/>
      <c r="F115" s="226"/>
      <c r="G115" s="226"/>
      <c r="H115" s="226"/>
      <c r="I115" s="226"/>
      <c r="J115" s="226"/>
      <c r="K115" s="226"/>
      <c r="L115" s="226"/>
      <c r="M115" s="226"/>
      <c r="N115" s="226"/>
      <c r="O115" s="226"/>
      <c r="P115" s="226"/>
      <c r="Q115" s="226"/>
      <c r="R115" s="226"/>
      <c r="S115" s="226"/>
      <c r="T115" s="226"/>
      <c r="U115" s="226"/>
      <c r="V115" s="226"/>
      <c r="W115" s="226"/>
      <c r="X115" s="226"/>
      <c r="Y115" s="226"/>
      <c r="Z115" s="226"/>
      <c r="AA115" s="226"/>
      <c r="AB115" s="226"/>
      <c r="AC115" s="226"/>
      <c r="AD115" s="226"/>
      <c r="AE115" s="226"/>
      <c r="AF115" s="226"/>
      <c r="AG115" s="226"/>
      <c r="AH115" s="226"/>
      <c r="AI115" s="226"/>
      <c r="AJ115" s="226"/>
      <c r="AK115" s="226"/>
      <c r="AL115" s="226"/>
      <c r="AM115" s="226"/>
      <c r="AN115" s="226"/>
      <c r="AO115" s="226"/>
      <c r="AP115" s="226"/>
      <c r="AQ115" s="226"/>
      <c r="AR115" s="226"/>
      <c r="AS115" s="226"/>
      <c r="AT115" s="226"/>
      <c r="AU115" s="226"/>
      <c r="AV115" s="226"/>
      <c r="AW115" s="226"/>
      <c r="AX115" s="226"/>
      <c r="AY115" s="226"/>
      <c r="AZ115" s="226"/>
      <c r="BA115" s="226"/>
      <c r="BB115" s="226"/>
      <c r="BC115" s="226"/>
      <c r="BD115" s="226"/>
      <c r="BE115" s="226"/>
      <c r="BF115" s="226"/>
      <c r="BG115" s="226"/>
      <c r="BH115" s="226"/>
      <c r="BI115" s="226"/>
      <c r="BJ115" s="226"/>
      <c r="BK115" s="226"/>
      <c r="BL115" s="226"/>
      <c r="BM115" s="226"/>
      <c r="BN115" s="226"/>
      <c r="BO115" s="226"/>
      <c r="BP115" s="226"/>
      <c r="BQ115" s="226"/>
      <c r="BR115" s="226"/>
      <c r="BS115" s="226"/>
      <c r="BT115" s="226"/>
      <c r="BU115" s="226"/>
      <c r="BV115" s="226"/>
      <c r="BW115" s="226"/>
      <c r="BX115" s="226"/>
    </row>
    <row r="116" spans="3:76" hidden="1">
      <c r="C116" s="226"/>
      <c r="D116" s="226"/>
      <c r="E116" s="226"/>
      <c r="F116" s="226"/>
      <c r="G116" s="226"/>
      <c r="H116" s="226"/>
      <c r="I116" s="226"/>
      <c r="J116" s="226"/>
      <c r="K116" s="226"/>
      <c r="L116" s="226"/>
      <c r="M116" s="226"/>
      <c r="N116" s="226"/>
      <c r="O116" s="226"/>
      <c r="P116" s="226"/>
      <c r="Q116" s="226"/>
      <c r="R116" s="226"/>
      <c r="S116" s="226"/>
      <c r="T116" s="226"/>
      <c r="U116" s="226"/>
      <c r="V116" s="226"/>
      <c r="W116" s="226"/>
      <c r="X116" s="226"/>
      <c r="Y116" s="226"/>
      <c r="Z116" s="226"/>
      <c r="AA116" s="226"/>
      <c r="AB116" s="226"/>
      <c r="AC116" s="226"/>
      <c r="AD116" s="226"/>
      <c r="AE116" s="226"/>
      <c r="AF116" s="226"/>
      <c r="AG116" s="226"/>
      <c r="AH116" s="226"/>
      <c r="AI116" s="226"/>
      <c r="AJ116" s="226"/>
      <c r="AK116" s="226"/>
      <c r="AL116" s="226"/>
      <c r="AM116" s="226"/>
      <c r="AN116" s="226"/>
      <c r="AO116" s="226"/>
      <c r="AP116" s="226"/>
      <c r="AQ116" s="226"/>
      <c r="AR116" s="226"/>
      <c r="AS116" s="226"/>
      <c r="AT116" s="226"/>
      <c r="AU116" s="226"/>
      <c r="AV116" s="226"/>
      <c r="AW116" s="226"/>
      <c r="AX116" s="226"/>
      <c r="AY116" s="226"/>
      <c r="AZ116" s="226"/>
      <c r="BA116" s="226"/>
      <c r="BB116" s="226"/>
      <c r="BC116" s="226"/>
      <c r="BD116" s="226"/>
      <c r="BE116" s="226"/>
      <c r="BF116" s="226"/>
      <c r="BG116" s="226"/>
      <c r="BH116" s="226"/>
      <c r="BI116" s="226"/>
      <c r="BJ116" s="226"/>
      <c r="BK116" s="226"/>
      <c r="BL116" s="226"/>
      <c r="BM116" s="226"/>
      <c r="BN116" s="226"/>
      <c r="BO116" s="226"/>
      <c r="BP116" s="226"/>
      <c r="BQ116" s="226"/>
      <c r="BR116" s="226"/>
      <c r="BS116" s="226"/>
      <c r="BT116" s="226"/>
      <c r="BU116" s="226"/>
      <c r="BV116" s="226"/>
      <c r="BW116" s="226"/>
      <c r="BX116" s="226"/>
    </row>
    <row r="117" spans="3:76">
      <c r="C117" s="321"/>
      <c r="D117" s="321"/>
      <c r="E117" s="321"/>
      <c r="F117" s="321"/>
      <c r="G117" s="321"/>
      <c r="H117" s="321"/>
      <c r="I117" s="321"/>
      <c r="J117" s="321"/>
      <c r="K117" s="321"/>
      <c r="L117" s="321"/>
      <c r="M117" s="321"/>
      <c r="N117" s="321"/>
      <c r="O117" s="321"/>
      <c r="P117" s="321"/>
      <c r="Q117" s="321"/>
      <c r="R117" s="321"/>
      <c r="S117" s="321"/>
      <c r="T117" s="321"/>
      <c r="U117" s="321"/>
      <c r="V117" s="321"/>
      <c r="W117" s="321"/>
      <c r="X117" s="321"/>
      <c r="Y117" s="321"/>
      <c r="Z117" s="321"/>
      <c r="AA117" s="321"/>
      <c r="AB117" s="321"/>
      <c r="AC117" s="321"/>
      <c r="AD117" s="321"/>
      <c r="AE117" s="321"/>
      <c r="AF117" s="321"/>
      <c r="AG117" s="321"/>
      <c r="AH117" s="321"/>
      <c r="AI117" s="321"/>
      <c r="AJ117" s="321"/>
      <c r="AK117" s="321"/>
      <c r="AL117" s="321"/>
      <c r="AM117" s="321"/>
      <c r="AN117" s="321"/>
      <c r="AO117" s="321"/>
      <c r="AP117" s="321"/>
      <c r="AQ117" s="321"/>
      <c r="AR117" s="321"/>
      <c r="AS117" s="321"/>
      <c r="AT117" s="321"/>
      <c r="AU117" s="321"/>
      <c r="AV117" s="321"/>
      <c r="AW117" s="321"/>
      <c r="AX117" s="321"/>
      <c r="AY117" s="321"/>
      <c r="AZ117" s="321"/>
      <c r="BA117" s="321"/>
      <c r="BB117" s="321"/>
      <c r="BC117" s="321"/>
      <c r="BD117" s="321"/>
      <c r="BE117" s="321"/>
      <c r="BF117" s="321"/>
      <c r="BG117" s="321"/>
      <c r="BH117" s="321"/>
      <c r="BI117" s="321"/>
      <c r="BJ117" s="321"/>
      <c r="BK117" s="321"/>
      <c r="BL117" s="321"/>
      <c r="BM117" s="226"/>
      <c r="BN117" s="226"/>
      <c r="BO117" s="226"/>
      <c r="BP117" s="226"/>
      <c r="BQ117" s="226"/>
      <c r="BR117" s="226"/>
      <c r="BS117" s="226"/>
      <c r="BT117" s="226"/>
      <c r="BU117" s="226"/>
      <c r="BV117" s="226"/>
      <c r="BW117" s="226"/>
      <c r="BX117" s="226"/>
    </row>
    <row r="118" spans="3:76">
      <c r="C118" s="314" t="s">
        <v>341</v>
      </c>
      <c r="D118" s="315"/>
      <c r="E118" s="316">
        <f t="shared" ref="E118:G118" si="32">-(E5+E6+E91+E92)</f>
        <v>0</v>
      </c>
      <c r="F118" s="316">
        <f t="shared" si="32"/>
        <v>0</v>
      </c>
      <c r="G118" s="316">
        <f t="shared" si="32"/>
        <v>0</v>
      </c>
      <c r="H118" s="316">
        <f>-(+H6+H91+H92)</f>
        <v>0</v>
      </c>
      <c r="I118" s="316">
        <f t="shared" ref="I118:BM118" si="33">-(I5+I6+I91+I92)</f>
        <v>0</v>
      </c>
      <c r="J118" s="316">
        <f t="shared" si="33"/>
        <v>0</v>
      </c>
      <c r="K118" s="316">
        <f t="shared" si="33"/>
        <v>-885000</v>
      </c>
      <c r="L118" s="316">
        <f t="shared" si="33"/>
        <v>-1940000</v>
      </c>
      <c r="M118" s="316">
        <f t="shared" si="33"/>
        <v>-4260000</v>
      </c>
      <c r="N118" s="316">
        <f t="shared" si="33"/>
        <v>0</v>
      </c>
      <c r="O118" s="316">
        <f t="shared" si="33"/>
        <v>-320000</v>
      </c>
      <c r="P118" s="316">
        <f t="shared" si="33"/>
        <v>-320000</v>
      </c>
      <c r="Q118" s="316">
        <f t="shared" si="33"/>
        <v>0</v>
      </c>
      <c r="R118" s="316">
        <f t="shared" si="33"/>
        <v>-670000</v>
      </c>
      <c r="S118" s="316">
        <f t="shared" si="33"/>
        <v>0</v>
      </c>
      <c r="T118" s="316">
        <f t="shared" si="33"/>
        <v>0</v>
      </c>
      <c r="U118" s="316">
        <f t="shared" si="33"/>
        <v>0</v>
      </c>
      <c r="V118" s="316">
        <f t="shared" si="33"/>
        <v>-3090000</v>
      </c>
      <c r="W118" s="316">
        <f t="shared" si="33"/>
        <v>0</v>
      </c>
      <c r="X118" s="316">
        <f t="shared" si="33"/>
        <v>0</v>
      </c>
      <c r="Y118" s="316">
        <f t="shared" si="33"/>
        <v>0</v>
      </c>
      <c r="Z118" s="316">
        <f t="shared" si="33"/>
        <v>0</v>
      </c>
      <c r="AA118" s="316">
        <f t="shared" si="33"/>
        <v>50000</v>
      </c>
      <c r="AB118" s="316">
        <f t="shared" si="33"/>
        <v>20000</v>
      </c>
      <c r="AC118" s="316">
        <f t="shared" si="33"/>
        <v>0</v>
      </c>
      <c r="AD118" s="316">
        <f>-(AD5+AD6+AD91+AD92)</f>
        <v>0</v>
      </c>
      <c r="AE118" s="316">
        <f t="shared" si="33"/>
        <v>10000</v>
      </c>
      <c r="AF118" s="316">
        <f t="shared" si="33"/>
        <v>0</v>
      </c>
      <c r="AG118" s="316">
        <f t="shared" si="33"/>
        <v>27770002</v>
      </c>
      <c r="AH118" s="316">
        <f t="shared" si="33"/>
        <v>0</v>
      </c>
      <c r="AI118" s="316">
        <f t="shared" si="33"/>
        <v>0</v>
      </c>
      <c r="AJ118" s="316">
        <f t="shared" si="33"/>
        <v>0</v>
      </c>
      <c r="AK118" s="316">
        <f t="shared" si="33"/>
        <v>0</v>
      </c>
      <c r="AL118" s="316">
        <f t="shared" si="33"/>
        <v>0</v>
      </c>
      <c r="AM118" s="316">
        <f t="shared" si="33"/>
        <v>0</v>
      </c>
      <c r="AN118" s="316">
        <f t="shared" si="33"/>
        <v>0</v>
      </c>
      <c r="AO118" s="316">
        <f t="shared" si="33"/>
        <v>0</v>
      </c>
      <c r="AP118" s="316">
        <f t="shared" si="33"/>
        <v>0</v>
      </c>
      <c r="AQ118" s="316">
        <f t="shared" si="33"/>
        <v>0</v>
      </c>
      <c r="AR118" s="316">
        <f t="shared" si="33"/>
        <v>0</v>
      </c>
      <c r="AS118" s="316">
        <f t="shared" si="33"/>
        <v>0</v>
      </c>
      <c r="AT118" s="316">
        <f t="shared" si="33"/>
        <v>0</v>
      </c>
      <c r="AU118" s="316">
        <f t="shared" si="33"/>
        <v>0</v>
      </c>
      <c r="AV118" s="316">
        <f t="shared" si="33"/>
        <v>0</v>
      </c>
      <c r="AW118" s="316">
        <f t="shared" si="33"/>
        <v>0</v>
      </c>
      <c r="AX118" s="316">
        <f t="shared" si="33"/>
        <v>0</v>
      </c>
      <c r="AY118" s="316">
        <f t="shared" si="33"/>
        <v>0</v>
      </c>
      <c r="AZ118" s="316">
        <f t="shared" si="33"/>
        <v>0</v>
      </c>
      <c r="BA118" s="316">
        <f t="shared" si="33"/>
        <v>0</v>
      </c>
      <c r="BB118" s="316">
        <f t="shared" si="33"/>
        <v>0</v>
      </c>
      <c r="BC118" s="316">
        <f t="shared" si="33"/>
        <v>0</v>
      </c>
      <c r="BD118" s="316">
        <f t="shared" si="33"/>
        <v>0</v>
      </c>
      <c r="BE118" s="316">
        <f t="shared" si="33"/>
        <v>0</v>
      </c>
      <c r="BF118" s="316">
        <f t="shared" si="33"/>
        <v>0</v>
      </c>
      <c r="BG118" s="316">
        <f t="shared" si="33"/>
        <v>0</v>
      </c>
      <c r="BH118" s="316">
        <f t="shared" si="33"/>
        <v>0</v>
      </c>
      <c r="BI118" s="316">
        <f t="shared" si="33"/>
        <v>0</v>
      </c>
      <c r="BJ118" s="316">
        <f t="shared" si="33"/>
        <v>0</v>
      </c>
      <c r="BK118" s="316">
        <f t="shared" si="33"/>
        <v>0</v>
      </c>
      <c r="BL118" s="316">
        <f t="shared" si="33"/>
        <v>0</v>
      </c>
      <c r="BM118" s="316">
        <f t="shared" si="33"/>
        <v>0</v>
      </c>
      <c r="BN118" s="316">
        <f t="shared" ref="BN118:BX118" si="34">-(BN5+BN91)</f>
        <v>0</v>
      </c>
      <c r="BO118" s="316">
        <f t="shared" si="34"/>
        <v>0</v>
      </c>
      <c r="BP118" s="316">
        <f t="shared" si="34"/>
        <v>0</v>
      </c>
      <c r="BQ118" s="316">
        <f t="shared" si="34"/>
        <v>0</v>
      </c>
      <c r="BR118" s="316">
        <f t="shared" si="34"/>
        <v>0</v>
      </c>
      <c r="BS118" s="316">
        <f t="shared" si="34"/>
        <v>0</v>
      </c>
      <c r="BT118" s="316">
        <f t="shared" si="34"/>
        <v>0</v>
      </c>
      <c r="BU118" s="316">
        <f t="shared" si="34"/>
        <v>0</v>
      </c>
      <c r="BV118" s="316">
        <f t="shared" si="34"/>
        <v>0</v>
      </c>
      <c r="BW118" s="316">
        <f t="shared" si="34"/>
        <v>0</v>
      </c>
      <c r="BX118" s="316">
        <f t="shared" si="34"/>
        <v>0</v>
      </c>
    </row>
    <row r="119" spans="3:76">
      <c r="C119" s="314" t="s">
        <v>342</v>
      </c>
      <c r="D119" s="323"/>
      <c r="E119" s="315"/>
      <c r="F119" s="315"/>
      <c r="G119" s="315"/>
      <c r="H119" s="315">
        <f>-Businessplan_prodej!F9</f>
        <v>-8333333</v>
      </c>
      <c r="I119" s="315"/>
      <c r="J119" s="315"/>
      <c r="K119" s="315"/>
      <c r="L119" s="315"/>
      <c r="M119" s="315"/>
      <c r="N119" s="315"/>
      <c r="O119" s="315"/>
      <c r="P119" s="315"/>
      <c r="Q119" s="315"/>
      <c r="R119" s="315"/>
      <c r="S119" s="315"/>
      <c r="T119" s="315"/>
      <c r="U119" s="315"/>
      <c r="V119" s="315"/>
      <c r="W119" s="315"/>
      <c r="X119" s="315">
        <f>-1400000</f>
        <v>-1400000</v>
      </c>
      <c r="Y119" s="315"/>
      <c r="Z119" s="315"/>
      <c r="AA119" s="315"/>
      <c r="AB119" s="315"/>
      <c r="AC119" s="315"/>
      <c r="AD119" s="315"/>
      <c r="AE119" s="315"/>
      <c r="AF119" s="315"/>
      <c r="AG119" s="315"/>
      <c r="AH119" s="315"/>
      <c r="AI119" s="315"/>
      <c r="AJ119" s="315"/>
      <c r="AK119" s="315"/>
      <c r="AL119" s="315"/>
      <c r="AM119" s="315"/>
      <c r="AN119" s="315"/>
      <c r="AO119" s="315"/>
      <c r="AP119" s="315"/>
      <c r="AQ119" s="315"/>
      <c r="AR119" s="315"/>
      <c r="AS119" s="315"/>
      <c r="AT119" s="315"/>
      <c r="AU119" s="315"/>
      <c r="AV119" s="315"/>
      <c r="AW119" s="315"/>
      <c r="AX119" s="315"/>
      <c r="AY119" s="315"/>
      <c r="AZ119" s="315"/>
      <c r="BA119" s="315"/>
      <c r="BB119" s="315"/>
      <c r="BC119" s="315"/>
      <c r="BD119" s="315"/>
      <c r="BE119" s="315"/>
      <c r="BF119" s="315"/>
      <c r="BG119" s="315"/>
      <c r="BH119" s="315"/>
      <c r="BI119" s="315"/>
      <c r="BJ119" s="315"/>
      <c r="BK119" s="315"/>
      <c r="BL119" s="315"/>
      <c r="BM119" s="315"/>
      <c r="BN119" s="315"/>
      <c r="BO119" s="315"/>
      <c r="BP119" s="315"/>
      <c r="BQ119" s="315"/>
      <c r="BR119" s="315"/>
      <c r="BS119" s="315"/>
      <c r="BT119" s="315"/>
      <c r="BU119" s="315"/>
      <c r="BV119" s="315"/>
      <c r="BW119" s="315"/>
      <c r="BX119" s="315"/>
    </row>
    <row r="120" spans="3:76">
      <c r="C120" s="314" t="s">
        <v>343</v>
      </c>
      <c r="D120" s="323"/>
      <c r="E120" s="315">
        <f t="shared" ref="E120:S120" si="35">-E56</f>
        <v>0</v>
      </c>
      <c r="F120" s="315">
        <f t="shared" si="35"/>
        <v>0</v>
      </c>
      <c r="G120" s="315">
        <f t="shared" si="35"/>
        <v>0</v>
      </c>
      <c r="H120" s="315">
        <f t="shared" si="35"/>
        <v>0</v>
      </c>
      <c r="I120" s="315">
        <f t="shared" si="35"/>
        <v>0</v>
      </c>
      <c r="J120" s="315">
        <f t="shared" si="35"/>
        <v>0</v>
      </c>
      <c r="K120" s="315">
        <f t="shared" si="35"/>
        <v>0</v>
      </c>
      <c r="L120" s="315">
        <f t="shared" si="35"/>
        <v>0</v>
      </c>
      <c r="M120" s="315">
        <f t="shared" si="35"/>
        <v>0</v>
      </c>
      <c r="N120" s="315">
        <f t="shared" si="35"/>
        <v>0</v>
      </c>
      <c r="O120" s="315">
        <f t="shared" si="35"/>
        <v>0</v>
      </c>
      <c r="P120" s="315">
        <f t="shared" si="35"/>
        <v>0</v>
      </c>
      <c r="Q120" s="315">
        <f t="shared" si="35"/>
        <v>0</v>
      </c>
      <c r="R120" s="315">
        <f t="shared" si="35"/>
        <v>0</v>
      </c>
      <c r="S120" s="315">
        <f t="shared" si="35"/>
        <v>0</v>
      </c>
      <c r="T120" s="315">
        <f>-T56-T57</f>
        <v>0</v>
      </c>
      <c r="U120" s="315">
        <f t="shared" ref="U120:Z120" si="36">-U56</f>
        <v>0</v>
      </c>
      <c r="V120" s="315">
        <f t="shared" si="36"/>
        <v>0</v>
      </c>
      <c r="W120" s="315">
        <f t="shared" si="36"/>
        <v>0</v>
      </c>
      <c r="X120" s="315">
        <f t="shared" si="36"/>
        <v>0</v>
      </c>
      <c r="Y120" s="315">
        <f t="shared" si="36"/>
        <v>0</v>
      </c>
      <c r="Z120" s="315">
        <f t="shared" si="36"/>
        <v>0</v>
      </c>
      <c r="AA120" s="315">
        <f>-AA56-AA57</f>
        <v>0</v>
      </c>
      <c r="AB120" s="315">
        <f t="shared" ref="AB120:AE120" si="37">-AB56</f>
        <v>0</v>
      </c>
      <c r="AC120" s="315">
        <f t="shared" si="37"/>
        <v>0</v>
      </c>
      <c r="AD120" s="315">
        <f>-AD56-AD57</f>
        <v>0</v>
      </c>
      <c r="AE120" s="315">
        <f t="shared" si="37"/>
        <v>0</v>
      </c>
      <c r="AF120" s="315">
        <f>-AF56-AF57</f>
        <v>0</v>
      </c>
      <c r="AG120" s="315">
        <f>-AG56-AG57</f>
        <v>4628773.8760273969</v>
      </c>
      <c r="AH120" s="315">
        <f t="shared" ref="AG120:BX120" si="38">-AH56</f>
        <v>0</v>
      </c>
      <c r="AI120" s="315">
        <f t="shared" si="38"/>
        <v>0</v>
      </c>
      <c r="AJ120" s="315">
        <f t="shared" si="38"/>
        <v>0</v>
      </c>
      <c r="AK120" s="315">
        <f t="shared" si="38"/>
        <v>0</v>
      </c>
      <c r="AL120" s="315">
        <f t="shared" si="38"/>
        <v>0</v>
      </c>
      <c r="AM120" s="315">
        <f t="shared" si="38"/>
        <v>0</v>
      </c>
      <c r="AN120" s="315">
        <f t="shared" si="38"/>
        <v>0</v>
      </c>
      <c r="AO120" s="315">
        <f t="shared" si="38"/>
        <v>0</v>
      </c>
      <c r="AP120" s="315">
        <f t="shared" si="38"/>
        <v>0</v>
      </c>
      <c r="AQ120" s="315">
        <f t="shared" si="38"/>
        <v>0</v>
      </c>
      <c r="AR120" s="315">
        <f t="shared" si="38"/>
        <v>0</v>
      </c>
      <c r="AS120" s="315">
        <f t="shared" si="38"/>
        <v>0</v>
      </c>
      <c r="AT120" s="315">
        <f t="shared" si="38"/>
        <v>0</v>
      </c>
      <c r="AU120" s="315">
        <f t="shared" si="38"/>
        <v>0</v>
      </c>
      <c r="AV120" s="315">
        <f t="shared" si="38"/>
        <v>0</v>
      </c>
      <c r="AW120" s="315">
        <f t="shared" si="38"/>
        <v>0</v>
      </c>
      <c r="AX120" s="315">
        <f t="shared" si="38"/>
        <v>0</v>
      </c>
      <c r="AY120" s="315">
        <f t="shared" si="38"/>
        <v>0</v>
      </c>
      <c r="AZ120" s="315">
        <f t="shared" si="38"/>
        <v>0</v>
      </c>
      <c r="BA120" s="315">
        <f t="shared" si="38"/>
        <v>0</v>
      </c>
      <c r="BB120" s="315">
        <f t="shared" si="38"/>
        <v>0</v>
      </c>
      <c r="BC120" s="315">
        <f t="shared" si="38"/>
        <v>0</v>
      </c>
      <c r="BD120" s="315">
        <f t="shared" si="38"/>
        <v>0</v>
      </c>
      <c r="BE120" s="315">
        <f t="shared" si="38"/>
        <v>0</v>
      </c>
      <c r="BF120" s="315">
        <f t="shared" si="38"/>
        <v>0</v>
      </c>
      <c r="BG120" s="315">
        <f t="shared" si="38"/>
        <v>0</v>
      </c>
      <c r="BH120" s="315">
        <f t="shared" si="38"/>
        <v>0</v>
      </c>
      <c r="BI120" s="315">
        <f t="shared" si="38"/>
        <v>0</v>
      </c>
      <c r="BJ120" s="315">
        <f t="shared" si="38"/>
        <v>0</v>
      </c>
      <c r="BK120" s="315">
        <f t="shared" si="38"/>
        <v>0</v>
      </c>
      <c r="BL120" s="315">
        <f t="shared" si="38"/>
        <v>0</v>
      </c>
      <c r="BM120" s="315">
        <f t="shared" si="38"/>
        <v>0</v>
      </c>
      <c r="BN120" s="315">
        <f t="shared" si="38"/>
        <v>0</v>
      </c>
      <c r="BO120" s="315">
        <f t="shared" si="38"/>
        <v>0</v>
      </c>
      <c r="BP120" s="315">
        <f t="shared" si="38"/>
        <v>0</v>
      </c>
      <c r="BQ120" s="315">
        <f t="shared" si="38"/>
        <v>0</v>
      </c>
      <c r="BR120" s="315">
        <f t="shared" si="38"/>
        <v>0</v>
      </c>
      <c r="BS120" s="315">
        <f t="shared" si="38"/>
        <v>0</v>
      </c>
      <c r="BT120" s="315">
        <f t="shared" si="38"/>
        <v>0</v>
      </c>
      <c r="BU120" s="315">
        <f t="shared" si="38"/>
        <v>0</v>
      </c>
      <c r="BV120" s="315">
        <f t="shared" si="38"/>
        <v>0</v>
      </c>
      <c r="BW120" s="315">
        <f t="shared" si="38"/>
        <v>0</v>
      </c>
      <c r="BX120" s="315">
        <f t="shared" si="38"/>
        <v>0</v>
      </c>
    </row>
    <row r="121" spans="3:76">
      <c r="C121" s="314" t="s">
        <v>344</v>
      </c>
      <c r="D121" s="323"/>
      <c r="E121" s="315"/>
      <c r="F121" s="315"/>
      <c r="G121" s="315"/>
      <c r="H121" s="315">
        <f>-H5</f>
        <v>-16365002</v>
      </c>
      <c r="I121" s="315"/>
      <c r="J121" s="315"/>
      <c r="K121" s="315"/>
      <c r="L121" s="315"/>
      <c r="M121" s="315"/>
      <c r="N121" s="315"/>
      <c r="O121" s="315"/>
      <c r="P121" s="315"/>
      <c r="Q121" s="315"/>
      <c r="R121" s="315"/>
      <c r="S121" s="315"/>
      <c r="T121" s="315"/>
      <c r="U121" s="315"/>
      <c r="V121" s="315"/>
      <c r="W121" s="315"/>
      <c r="X121" s="315"/>
      <c r="Y121" s="315"/>
      <c r="Z121" s="315"/>
      <c r="AA121" s="315"/>
      <c r="AB121" s="315"/>
      <c r="AC121" s="315"/>
      <c r="AD121" s="315"/>
      <c r="AE121" s="315"/>
      <c r="AF121" s="315"/>
      <c r="AG121" s="315">
        <f>AG101</f>
        <v>33466063.202646803</v>
      </c>
      <c r="AH121" s="315"/>
      <c r="AI121" s="315"/>
      <c r="AJ121" s="315"/>
      <c r="AK121" s="315"/>
      <c r="AL121" s="315"/>
      <c r="AM121" s="315"/>
      <c r="AN121" s="315"/>
      <c r="AO121" s="315"/>
      <c r="AP121" s="315"/>
      <c r="AQ121" s="315"/>
      <c r="AR121" s="315"/>
      <c r="AS121" s="315"/>
      <c r="AT121" s="315"/>
      <c r="AU121" s="315"/>
      <c r="AV121" s="315"/>
      <c r="AW121" s="315"/>
      <c r="AX121" s="315"/>
      <c r="AY121" s="315"/>
      <c r="AZ121" s="315"/>
      <c r="BA121" s="315"/>
      <c r="BB121" s="315"/>
      <c r="BC121" s="315"/>
      <c r="BD121" s="315"/>
      <c r="BE121" s="315"/>
      <c r="BF121" s="315"/>
      <c r="BG121" s="315"/>
      <c r="BH121" s="315"/>
      <c r="BI121" s="315"/>
      <c r="BJ121" s="315"/>
      <c r="BK121" s="315"/>
      <c r="BL121" s="315"/>
      <c r="BM121" s="315"/>
      <c r="BN121" s="315"/>
      <c r="BO121" s="315"/>
      <c r="BP121" s="315"/>
      <c r="BQ121" s="315"/>
      <c r="BR121" s="315"/>
      <c r="BS121" s="315"/>
      <c r="BT121" s="315"/>
      <c r="BU121" s="315"/>
      <c r="BV121" s="315"/>
      <c r="BW121" s="315"/>
      <c r="BX121" s="315">
        <f>IF(D111&gt;0.25,(BX101-BX114)*D123,BX101*D123)</f>
        <v>26772850.562117442</v>
      </c>
    </row>
    <row r="122" spans="3:76">
      <c r="C122" s="314" t="s">
        <v>340</v>
      </c>
      <c r="D122" s="323"/>
      <c r="E122" s="315"/>
      <c r="F122" s="315"/>
      <c r="G122" s="315"/>
      <c r="H122" s="315"/>
      <c r="I122" s="315"/>
      <c r="J122" s="315"/>
      <c r="K122" s="315"/>
      <c r="L122" s="315"/>
      <c r="M122" s="315"/>
      <c r="N122" s="315"/>
      <c r="O122" s="315"/>
      <c r="P122" s="315"/>
      <c r="Q122" s="315"/>
      <c r="R122" s="315"/>
      <c r="S122" s="315"/>
      <c r="T122" s="315"/>
      <c r="U122" s="315"/>
      <c r="V122" s="315"/>
      <c r="W122" s="315"/>
      <c r="X122" s="315"/>
      <c r="Y122" s="315"/>
      <c r="Z122" s="315"/>
      <c r="AA122" s="315"/>
      <c r="AB122" s="315"/>
      <c r="AC122" s="315"/>
      <c r="AD122" s="315"/>
      <c r="AE122" s="315"/>
      <c r="AF122" s="315"/>
      <c r="AG122" s="315"/>
      <c r="AH122" s="315"/>
      <c r="AI122" s="315"/>
      <c r="AJ122" s="315"/>
      <c r="AK122" s="315"/>
      <c r="AL122" s="315"/>
      <c r="AM122" s="315"/>
      <c r="AN122" s="315"/>
      <c r="AO122" s="315"/>
      <c r="AP122" s="315"/>
      <c r="AQ122" s="315"/>
      <c r="AR122" s="315"/>
      <c r="AS122" s="315"/>
      <c r="AT122" s="315"/>
      <c r="AU122" s="315"/>
      <c r="AV122" s="315"/>
      <c r="AW122" s="315"/>
      <c r="AX122" s="315"/>
      <c r="AY122" s="315"/>
      <c r="AZ122" s="315"/>
      <c r="BA122" s="315"/>
      <c r="BB122" s="315"/>
      <c r="BC122" s="315"/>
      <c r="BD122" s="315"/>
      <c r="BE122" s="315"/>
      <c r="BF122" s="315"/>
      <c r="BG122" s="315"/>
      <c r="BH122" s="315"/>
      <c r="BI122" s="315"/>
      <c r="BJ122" s="315"/>
      <c r="BK122" s="315"/>
      <c r="BL122" s="315"/>
      <c r="BM122" s="315"/>
      <c r="BN122" s="315"/>
      <c r="BO122" s="315"/>
      <c r="BP122" s="315"/>
      <c r="BQ122" s="315"/>
      <c r="BR122" s="315"/>
      <c r="BS122" s="315"/>
      <c r="BT122" s="315"/>
      <c r="BU122" s="315"/>
      <c r="BV122" s="315"/>
      <c r="BW122" s="315"/>
      <c r="BX122" s="315">
        <f>IF(D111&gt;0.25,BX114,0)</f>
        <v>6693212.6405293606</v>
      </c>
    </row>
    <row r="123" spans="3:76">
      <c r="C123" s="317" t="s">
        <v>345</v>
      </c>
      <c r="D123" s="323">
        <v>1</v>
      </c>
      <c r="E123" s="246"/>
      <c r="F123" s="246"/>
      <c r="G123" s="246"/>
      <c r="H123" s="246"/>
      <c r="I123" s="246"/>
      <c r="J123" s="246"/>
      <c r="K123" s="246"/>
      <c r="L123" s="246"/>
      <c r="M123" s="246"/>
      <c r="N123" s="246"/>
      <c r="O123" s="246"/>
      <c r="P123" s="246"/>
      <c r="Q123" s="246"/>
      <c r="R123" s="246"/>
      <c r="S123" s="246"/>
      <c r="T123" s="246"/>
      <c r="U123" s="246"/>
      <c r="V123" s="246"/>
      <c r="W123" s="246"/>
      <c r="X123" s="246"/>
      <c r="Y123" s="246"/>
      <c r="Z123" s="246"/>
      <c r="AA123" s="246"/>
      <c r="AB123" s="246"/>
      <c r="AC123" s="246"/>
      <c r="AD123" s="246"/>
      <c r="AE123" s="246"/>
      <c r="AF123" s="246"/>
      <c r="AG123" s="246"/>
      <c r="AH123" s="246"/>
      <c r="AI123" s="246"/>
      <c r="AJ123" s="246"/>
      <c r="AK123" s="246"/>
      <c r="AL123" s="246"/>
      <c r="AM123" s="246"/>
      <c r="AN123" s="246"/>
      <c r="AO123" s="246"/>
      <c r="AP123" s="246"/>
      <c r="AQ123" s="246"/>
      <c r="AR123" s="246"/>
      <c r="AS123" s="246"/>
      <c r="AT123" s="246"/>
      <c r="AU123" s="246"/>
      <c r="AV123" s="246"/>
      <c r="AW123" s="246"/>
      <c r="AX123" s="246"/>
      <c r="AY123" s="246"/>
      <c r="AZ123" s="246"/>
      <c r="BA123" s="246"/>
      <c r="BB123" s="246"/>
      <c r="BC123" s="324"/>
      <c r="BD123" s="246"/>
      <c r="BE123" s="246"/>
      <c r="BF123" s="246"/>
      <c r="BG123" s="246"/>
      <c r="BH123" s="246"/>
      <c r="BI123" s="246"/>
      <c r="BJ123" s="246"/>
      <c r="BK123" s="246"/>
      <c r="BL123" s="246"/>
      <c r="BM123" s="246"/>
      <c r="BN123" s="246"/>
      <c r="BO123" s="246"/>
      <c r="BP123" s="246"/>
      <c r="BQ123" s="246"/>
      <c r="BR123" s="246"/>
      <c r="BS123" s="246"/>
      <c r="BT123" s="246"/>
      <c r="BU123" s="246"/>
      <c r="BV123" s="246"/>
      <c r="BW123" s="246"/>
      <c r="BX123" s="246"/>
    </row>
    <row r="124" spans="3:76">
      <c r="C124" s="314" t="s">
        <v>346</v>
      </c>
      <c r="D124" s="318"/>
      <c r="E124" s="325">
        <f t="shared" ref="E124:BW124" si="39">E118+E119+E120+E121+E123</f>
        <v>0</v>
      </c>
      <c r="F124" s="325">
        <f t="shared" si="39"/>
        <v>0</v>
      </c>
      <c r="G124" s="325">
        <f t="shared" si="39"/>
        <v>0</v>
      </c>
      <c r="H124" s="325">
        <f t="shared" si="39"/>
        <v>-24698335</v>
      </c>
      <c r="I124" s="325">
        <f t="shared" si="39"/>
        <v>0</v>
      </c>
      <c r="J124" s="325">
        <f t="shared" si="39"/>
        <v>0</v>
      </c>
      <c r="K124" s="325">
        <f t="shared" si="39"/>
        <v>-885000</v>
      </c>
      <c r="L124" s="325">
        <f t="shared" si="39"/>
        <v>-1940000</v>
      </c>
      <c r="M124" s="325">
        <f t="shared" si="39"/>
        <v>-4260000</v>
      </c>
      <c r="N124" s="325">
        <f t="shared" si="39"/>
        <v>0</v>
      </c>
      <c r="O124" s="325">
        <f t="shared" si="39"/>
        <v>-320000</v>
      </c>
      <c r="P124" s="325">
        <f t="shared" si="39"/>
        <v>-320000</v>
      </c>
      <c r="Q124" s="325">
        <f t="shared" si="39"/>
        <v>0</v>
      </c>
      <c r="R124" s="325">
        <f t="shared" si="39"/>
        <v>-670000</v>
      </c>
      <c r="S124" s="325">
        <f t="shared" si="39"/>
        <v>0</v>
      </c>
      <c r="T124" s="325">
        <f t="shared" si="39"/>
        <v>0</v>
      </c>
      <c r="U124" s="325">
        <f t="shared" si="39"/>
        <v>0</v>
      </c>
      <c r="V124" s="325">
        <f t="shared" si="39"/>
        <v>-3090000</v>
      </c>
      <c r="W124" s="325">
        <f t="shared" si="39"/>
        <v>0</v>
      </c>
      <c r="X124" s="325">
        <f t="shared" si="39"/>
        <v>-1400000</v>
      </c>
      <c r="Y124" s="325">
        <f t="shared" si="39"/>
        <v>0</v>
      </c>
      <c r="Z124" s="325">
        <f t="shared" si="39"/>
        <v>0</v>
      </c>
      <c r="AA124" s="325">
        <f t="shared" si="39"/>
        <v>50000</v>
      </c>
      <c r="AB124" s="325">
        <f t="shared" si="39"/>
        <v>20000</v>
      </c>
      <c r="AC124" s="325">
        <f t="shared" si="39"/>
        <v>0</v>
      </c>
      <c r="AD124" s="325">
        <f t="shared" si="39"/>
        <v>0</v>
      </c>
      <c r="AE124" s="325">
        <f t="shared" si="39"/>
        <v>10000</v>
      </c>
      <c r="AF124" s="325">
        <f t="shared" si="39"/>
        <v>0</v>
      </c>
      <c r="AG124" s="325">
        <f t="shared" si="39"/>
        <v>65864839.078674197</v>
      </c>
      <c r="AH124" s="325">
        <f t="shared" si="39"/>
        <v>0</v>
      </c>
      <c r="AI124" s="325">
        <f t="shared" si="39"/>
        <v>0</v>
      </c>
      <c r="AJ124" s="325">
        <f t="shared" si="39"/>
        <v>0</v>
      </c>
      <c r="AK124" s="325">
        <f t="shared" si="39"/>
        <v>0</v>
      </c>
      <c r="AL124" s="325">
        <f t="shared" si="39"/>
        <v>0</v>
      </c>
      <c r="AM124" s="325">
        <f t="shared" si="39"/>
        <v>0</v>
      </c>
      <c r="AN124" s="325">
        <f t="shared" si="39"/>
        <v>0</v>
      </c>
      <c r="AO124" s="325">
        <f t="shared" si="39"/>
        <v>0</v>
      </c>
      <c r="AP124" s="325">
        <f t="shared" si="39"/>
        <v>0</v>
      </c>
      <c r="AQ124" s="325">
        <f t="shared" si="39"/>
        <v>0</v>
      </c>
      <c r="AR124" s="325">
        <f t="shared" si="39"/>
        <v>0</v>
      </c>
      <c r="AS124" s="325">
        <f t="shared" si="39"/>
        <v>0</v>
      </c>
      <c r="AT124" s="325">
        <f t="shared" si="39"/>
        <v>0</v>
      </c>
      <c r="AU124" s="325">
        <f t="shared" si="39"/>
        <v>0</v>
      </c>
      <c r="AV124" s="325">
        <f t="shared" si="39"/>
        <v>0</v>
      </c>
      <c r="AW124" s="325">
        <f t="shared" si="39"/>
        <v>0</v>
      </c>
      <c r="AX124" s="325">
        <f t="shared" si="39"/>
        <v>0</v>
      </c>
      <c r="AY124" s="325">
        <f t="shared" si="39"/>
        <v>0</v>
      </c>
      <c r="AZ124" s="325">
        <f t="shared" si="39"/>
        <v>0</v>
      </c>
      <c r="BA124" s="325">
        <f t="shared" si="39"/>
        <v>0</v>
      </c>
      <c r="BB124" s="325">
        <f t="shared" si="39"/>
        <v>0</v>
      </c>
      <c r="BC124" s="325">
        <f t="shared" si="39"/>
        <v>0</v>
      </c>
      <c r="BD124" s="325">
        <f t="shared" si="39"/>
        <v>0</v>
      </c>
      <c r="BE124" s="325">
        <f t="shared" si="39"/>
        <v>0</v>
      </c>
      <c r="BF124" s="325">
        <f t="shared" si="39"/>
        <v>0</v>
      </c>
      <c r="BG124" s="325">
        <f t="shared" si="39"/>
        <v>0</v>
      </c>
      <c r="BH124" s="325">
        <f t="shared" si="39"/>
        <v>0</v>
      </c>
      <c r="BI124" s="325">
        <f t="shared" si="39"/>
        <v>0</v>
      </c>
      <c r="BJ124" s="325">
        <f t="shared" si="39"/>
        <v>0</v>
      </c>
      <c r="BK124" s="325">
        <f t="shared" si="39"/>
        <v>0</v>
      </c>
      <c r="BL124" s="325">
        <f t="shared" si="39"/>
        <v>0</v>
      </c>
      <c r="BM124" s="325">
        <f t="shared" si="39"/>
        <v>0</v>
      </c>
      <c r="BN124" s="325">
        <f t="shared" si="39"/>
        <v>0</v>
      </c>
      <c r="BO124" s="325">
        <f t="shared" si="39"/>
        <v>0</v>
      </c>
      <c r="BP124" s="325">
        <f t="shared" si="39"/>
        <v>0</v>
      </c>
      <c r="BQ124" s="325">
        <f t="shared" si="39"/>
        <v>0</v>
      </c>
      <c r="BR124" s="325">
        <f t="shared" si="39"/>
        <v>0</v>
      </c>
      <c r="BS124" s="325">
        <f t="shared" si="39"/>
        <v>0</v>
      </c>
      <c r="BT124" s="325">
        <f t="shared" si="39"/>
        <v>0</v>
      </c>
      <c r="BU124" s="325">
        <f t="shared" si="39"/>
        <v>0</v>
      </c>
      <c r="BV124" s="325">
        <f t="shared" si="39"/>
        <v>0</v>
      </c>
      <c r="BW124" s="325">
        <f t="shared" si="39"/>
        <v>0</v>
      </c>
      <c r="BX124" s="325">
        <f>BX118+BX119+BX120+BX121+BX122+BX123</f>
        <v>33466063.202646803</v>
      </c>
    </row>
    <row r="125" spans="3:76">
      <c r="C125" s="317" t="s">
        <v>339</v>
      </c>
      <c r="D125" s="326">
        <f>IRR(H124:AG124)*12</f>
        <v>0.30534183134833626</v>
      </c>
      <c r="E125" s="226"/>
      <c r="F125" s="226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/>
      <c r="T125" s="226"/>
      <c r="U125" s="226"/>
      <c r="V125" s="226"/>
      <c r="W125" s="226"/>
      <c r="X125" s="226"/>
      <c r="Y125" s="226"/>
      <c r="Z125" s="226"/>
      <c r="AA125" s="226"/>
      <c r="AB125" s="226"/>
      <c r="AC125" s="226"/>
      <c r="AD125" s="226"/>
      <c r="AE125" s="226"/>
      <c r="AF125" s="226"/>
      <c r="AG125" s="226"/>
      <c r="AH125" s="226"/>
      <c r="AI125" s="226"/>
      <c r="AJ125" s="226"/>
      <c r="AK125" s="226"/>
      <c r="AL125" s="226"/>
      <c r="AM125" s="226"/>
      <c r="AN125" s="226"/>
      <c r="AO125" s="226"/>
      <c r="AP125" s="226"/>
      <c r="AQ125" s="226"/>
      <c r="AR125" s="226"/>
      <c r="AS125" s="226"/>
      <c r="AT125" s="226"/>
      <c r="AU125" s="226"/>
      <c r="AV125" s="226"/>
      <c r="AW125" s="226"/>
      <c r="AX125" s="226"/>
      <c r="AY125" s="226"/>
      <c r="AZ125" s="226"/>
      <c r="BA125" s="226"/>
      <c r="BB125" s="226"/>
      <c r="BC125" s="226"/>
      <c r="BD125" s="226"/>
      <c r="BE125" s="226"/>
      <c r="BF125" s="226"/>
      <c r="BG125" s="226"/>
      <c r="BH125" s="226"/>
      <c r="BI125" s="226"/>
      <c r="BJ125" s="226"/>
      <c r="BK125" s="226"/>
      <c r="BL125" s="226"/>
      <c r="BM125" s="226"/>
      <c r="BN125" s="226"/>
      <c r="BO125" s="226"/>
      <c r="BP125" s="226"/>
      <c r="BQ125" s="226"/>
      <c r="BR125" s="226"/>
      <c r="BS125" s="226"/>
      <c r="BT125" s="226"/>
      <c r="BU125" s="226"/>
      <c r="BV125" s="226"/>
      <c r="BW125" s="226"/>
      <c r="BX125" s="226"/>
    </row>
    <row r="126" spans="3:76">
      <c r="C126" s="327" t="s">
        <v>347</v>
      </c>
      <c r="D126" s="328">
        <f>SUM(BY5:BY6)</f>
        <v>27850002</v>
      </c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26"/>
      <c r="W126" s="226"/>
      <c r="X126" s="226"/>
      <c r="Y126" s="226"/>
      <c r="Z126" s="226"/>
      <c r="AA126" s="226"/>
      <c r="AB126" s="226"/>
      <c r="AC126" s="226"/>
      <c r="AD126" s="226"/>
      <c r="AE126" s="226"/>
      <c r="AF126" s="226"/>
      <c r="AG126" s="226"/>
      <c r="AH126" s="226"/>
      <c r="AI126" s="226"/>
      <c r="AJ126" s="226"/>
      <c r="AK126" s="226"/>
      <c r="AL126" s="226"/>
      <c r="AM126" s="226"/>
      <c r="AN126" s="226"/>
      <c r="AO126" s="226"/>
      <c r="AP126" s="226"/>
      <c r="AQ126" s="226"/>
      <c r="AR126" s="226"/>
      <c r="AS126" s="226"/>
      <c r="AT126" s="226"/>
      <c r="AU126" s="226"/>
      <c r="AV126" s="226"/>
      <c r="AW126" s="226"/>
      <c r="AX126" s="226"/>
      <c r="AY126" s="226"/>
      <c r="AZ126" s="226"/>
      <c r="BA126" s="226"/>
      <c r="BB126" s="226"/>
      <c r="BC126" s="226"/>
      <c r="BD126" s="226"/>
      <c r="BE126" s="226"/>
      <c r="BF126" s="226"/>
      <c r="BG126" s="226"/>
      <c r="BH126" s="226"/>
      <c r="BI126" s="226"/>
      <c r="BJ126" s="226"/>
      <c r="BK126" s="226"/>
      <c r="BL126" s="226"/>
      <c r="BM126" s="226"/>
      <c r="BN126" s="226"/>
      <c r="BO126" s="226"/>
      <c r="BP126" s="226"/>
      <c r="BQ126" s="226"/>
      <c r="BR126" s="226"/>
      <c r="BS126" s="226"/>
      <c r="BT126" s="226"/>
      <c r="BU126" s="226"/>
      <c r="BV126" s="226"/>
      <c r="BW126" s="226"/>
      <c r="BX126" s="226"/>
    </row>
    <row r="127" spans="3:76">
      <c r="C127" s="327" t="s">
        <v>348</v>
      </c>
      <c r="D127" s="328">
        <f>-SUM(E119:BM119)</f>
        <v>9733333</v>
      </c>
      <c r="E127" s="226"/>
      <c r="F127" s="226"/>
      <c r="G127" s="226"/>
      <c r="H127" s="226"/>
      <c r="I127" s="226"/>
      <c r="J127" s="226"/>
      <c r="K127" s="226"/>
      <c r="L127" s="22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26"/>
      <c r="X127" s="226"/>
      <c r="Y127" s="226"/>
      <c r="Z127" s="226"/>
      <c r="AA127" s="226"/>
      <c r="AB127" s="226"/>
      <c r="AC127" s="226"/>
      <c r="AD127" s="226"/>
      <c r="AE127" s="226"/>
      <c r="AF127" s="226"/>
      <c r="AG127" s="226"/>
      <c r="AH127" s="226"/>
      <c r="AI127" s="226"/>
      <c r="AJ127" s="226"/>
      <c r="AK127" s="226"/>
      <c r="AL127" s="226"/>
      <c r="AM127" s="226"/>
      <c r="AN127" s="226"/>
      <c r="AO127" s="226"/>
      <c r="AP127" s="226"/>
      <c r="AQ127" s="226"/>
      <c r="AR127" s="226"/>
      <c r="AS127" s="226"/>
      <c r="AT127" s="226"/>
      <c r="AU127" s="226"/>
      <c r="AV127" s="226"/>
      <c r="AW127" s="226"/>
      <c r="AX127" s="226"/>
      <c r="AY127" s="226"/>
      <c r="AZ127" s="226"/>
      <c r="BA127" s="226"/>
      <c r="BB127" s="226"/>
      <c r="BC127" s="226"/>
      <c r="BD127" s="226"/>
      <c r="BE127" s="226"/>
      <c r="BF127" s="226"/>
      <c r="BG127" s="226"/>
      <c r="BH127" s="226"/>
      <c r="BI127" s="226"/>
      <c r="BJ127" s="226"/>
      <c r="BK127" s="226"/>
      <c r="BL127" s="226"/>
      <c r="BM127" s="226"/>
      <c r="BN127" s="226"/>
      <c r="BO127" s="226"/>
      <c r="BP127" s="226"/>
      <c r="BQ127" s="226"/>
      <c r="BR127" s="226"/>
      <c r="BS127" s="226"/>
      <c r="BT127" s="226"/>
      <c r="BU127" s="226"/>
      <c r="BV127" s="226"/>
      <c r="BW127" s="226"/>
      <c r="BX127" s="226"/>
    </row>
    <row r="128" spans="3:76">
      <c r="C128" s="317" t="s">
        <v>349</v>
      </c>
      <c r="D128" s="329">
        <f>D126+D127</f>
        <v>37583335</v>
      </c>
      <c r="E128" s="226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  <c r="P128" s="226"/>
      <c r="Q128" s="226"/>
      <c r="R128" s="226"/>
      <c r="S128" s="784"/>
      <c r="T128" s="772"/>
      <c r="U128" s="226"/>
      <c r="V128" s="226"/>
      <c r="W128" s="226"/>
      <c r="X128" s="226"/>
      <c r="Y128" s="226"/>
      <c r="Z128" s="226"/>
      <c r="AA128" s="226"/>
      <c r="AB128" s="226"/>
      <c r="AC128" s="226"/>
      <c r="AD128" s="226"/>
      <c r="AE128" s="226"/>
      <c r="AF128" s="226"/>
      <c r="AG128" s="226"/>
      <c r="AH128" s="226"/>
      <c r="AI128" s="226"/>
      <c r="AJ128" s="226"/>
      <c r="AK128" s="226"/>
      <c r="AL128" s="226"/>
      <c r="AM128" s="226"/>
      <c r="AN128" s="226"/>
      <c r="AO128" s="226"/>
      <c r="AP128" s="226"/>
      <c r="AQ128" s="226"/>
      <c r="AR128" s="226"/>
      <c r="AS128" s="226"/>
      <c r="AT128" s="226"/>
      <c r="AU128" s="226"/>
      <c r="AV128" s="226"/>
      <c r="AW128" s="226"/>
      <c r="AX128" s="226"/>
      <c r="AY128" s="226"/>
      <c r="AZ128" s="226"/>
      <c r="BA128" s="226"/>
      <c r="BB128" s="226"/>
      <c r="BC128" s="226"/>
      <c r="BD128" s="226"/>
      <c r="BE128" s="226"/>
      <c r="BF128" s="226"/>
      <c r="BG128" s="226"/>
      <c r="BH128" s="226"/>
      <c r="BI128" s="226"/>
      <c r="BJ128" s="226"/>
      <c r="BK128" s="226"/>
      <c r="BL128" s="226"/>
      <c r="BM128" s="226"/>
      <c r="BN128" s="226"/>
      <c r="BO128" s="226"/>
      <c r="BP128" s="226"/>
      <c r="BQ128" s="226"/>
      <c r="BR128" s="226"/>
      <c r="BS128" s="226"/>
      <c r="BT128" s="226"/>
      <c r="BU128" s="226"/>
      <c r="BV128" s="226"/>
      <c r="BW128" s="226"/>
      <c r="BX128" s="226"/>
    </row>
    <row r="129" spans="3:76">
      <c r="C129" s="317" t="s">
        <v>350</v>
      </c>
      <c r="D129" s="329">
        <f>AG120+AG121</f>
        <v>38094837.078674197</v>
      </c>
      <c r="E129" s="226"/>
      <c r="F129" s="226"/>
      <c r="G129" s="226"/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784"/>
      <c r="T129" s="772"/>
      <c r="U129" s="226"/>
      <c r="V129" s="226"/>
      <c r="W129" s="226"/>
      <c r="X129" s="226"/>
      <c r="Y129" s="226"/>
      <c r="Z129" s="226"/>
      <c r="AA129" s="226"/>
      <c r="AB129" s="226"/>
      <c r="AC129" s="226"/>
      <c r="AD129" s="226"/>
      <c r="AE129" s="226"/>
      <c r="AF129" s="226"/>
      <c r="AG129" s="226"/>
      <c r="AH129" s="226"/>
      <c r="AI129" s="226"/>
      <c r="AJ129" s="226"/>
      <c r="AK129" s="226"/>
      <c r="AL129" s="226"/>
      <c r="AM129" s="226"/>
      <c r="AN129" s="226"/>
      <c r="AO129" s="226"/>
      <c r="AP129" s="226"/>
      <c r="AQ129" s="226"/>
      <c r="AR129" s="226"/>
      <c r="AS129" s="226"/>
      <c r="AT129" s="226"/>
      <c r="AU129" s="226"/>
      <c r="AV129" s="226"/>
      <c r="AW129" s="226"/>
      <c r="AX129" s="226"/>
      <c r="AY129" s="226"/>
      <c r="AZ129" s="226"/>
      <c r="BA129" s="226"/>
      <c r="BB129" s="226"/>
      <c r="BC129" s="226"/>
      <c r="BD129" s="226"/>
      <c r="BE129" s="226"/>
      <c r="BF129" s="226"/>
      <c r="BG129" s="226"/>
      <c r="BH129" s="226"/>
      <c r="BI129" s="226"/>
      <c r="BJ129" s="226"/>
      <c r="BK129" s="226"/>
      <c r="BL129" s="226"/>
      <c r="BM129" s="226"/>
      <c r="BN129" s="226"/>
      <c r="BO129" s="226"/>
      <c r="BP129" s="226"/>
      <c r="BQ129" s="226"/>
      <c r="BR129" s="226"/>
      <c r="BS129" s="226"/>
      <c r="BT129" s="226"/>
      <c r="BU129" s="226"/>
      <c r="BV129" s="226"/>
      <c r="BW129" s="226"/>
      <c r="BX129" s="226"/>
    </row>
    <row r="130" spans="3:76">
      <c r="C130" s="317" t="s">
        <v>351</v>
      </c>
      <c r="D130" s="326">
        <f>(D129-D127)/D128</f>
        <v>0.75462978681040938</v>
      </c>
      <c r="E130" s="226"/>
      <c r="F130" s="242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26"/>
      <c r="S130" s="226"/>
      <c r="T130" s="226"/>
      <c r="U130" s="226"/>
      <c r="V130" s="226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26"/>
      <c r="AG130" s="226"/>
      <c r="AH130" s="226"/>
      <c r="AI130" s="226"/>
      <c r="AJ130" s="226"/>
      <c r="AK130" s="226"/>
      <c r="AL130" s="226"/>
      <c r="AM130" s="226"/>
      <c r="AN130" s="226"/>
      <c r="AO130" s="226"/>
      <c r="AP130" s="226"/>
      <c r="AQ130" s="226"/>
      <c r="AR130" s="226"/>
      <c r="AS130" s="226"/>
      <c r="AT130" s="226"/>
      <c r="AU130" s="226"/>
      <c r="AV130" s="226"/>
      <c r="AW130" s="226"/>
      <c r="AX130" s="226"/>
      <c r="AY130" s="226"/>
      <c r="AZ130" s="226"/>
      <c r="BA130" s="226"/>
      <c r="BB130" s="226"/>
      <c r="BC130" s="226"/>
      <c r="BD130" s="226"/>
      <c r="BE130" s="226"/>
      <c r="BF130" s="226"/>
      <c r="BG130" s="226"/>
      <c r="BH130" s="226"/>
      <c r="BI130" s="226"/>
      <c r="BJ130" s="226"/>
      <c r="BK130" s="226"/>
      <c r="BL130" s="226"/>
      <c r="BM130" s="226"/>
      <c r="BN130" s="226"/>
      <c r="BO130" s="226"/>
      <c r="BP130" s="226"/>
      <c r="BQ130" s="226"/>
      <c r="BR130" s="226"/>
      <c r="BS130" s="226"/>
      <c r="BT130" s="226"/>
      <c r="BU130" s="226"/>
      <c r="BV130" s="226"/>
      <c r="BW130" s="226"/>
      <c r="BX130" s="226"/>
    </row>
    <row r="131" spans="3:76">
      <c r="E131" s="226"/>
      <c r="F131" s="226"/>
      <c r="G131" s="226"/>
      <c r="H131" s="226"/>
      <c r="I131" s="226"/>
      <c r="J131" s="226"/>
      <c r="K131" s="226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42"/>
      <c r="W131" s="226"/>
      <c r="X131" s="226"/>
      <c r="Y131" s="226"/>
      <c r="Z131" s="226"/>
      <c r="AA131" s="226"/>
      <c r="AB131" s="226"/>
      <c r="AC131" s="226"/>
      <c r="AD131" s="226"/>
      <c r="AE131" s="226"/>
      <c r="AF131" s="226"/>
      <c r="AG131" s="226"/>
      <c r="AH131" s="226"/>
      <c r="AI131" s="226"/>
      <c r="AJ131" s="226"/>
      <c r="AK131" s="226"/>
      <c r="AL131" s="226"/>
      <c r="AM131" s="226"/>
      <c r="AN131" s="226"/>
      <c r="AO131" s="226"/>
      <c r="AP131" s="226"/>
      <c r="AQ131" s="226"/>
      <c r="AR131" s="226"/>
      <c r="AS131" s="226"/>
      <c r="AT131" s="226"/>
      <c r="AU131" s="226"/>
      <c r="AV131" s="226"/>
      <c r="AW131" s="226"/>
      <c r="AX131" s="226"/>
      <c r="AY131" s="226"/>
      <c r="AZ131" s="226"/>
      <c r="BA131" s="226"/>
      <c r="BB131" s="226"/>
      <c r="BC131" s="226"/>
      <c r="BD131" s="226"/>
      <c r="BE131" s="226"/>
      <c r="BF131" s="226"/>
      <c r="BG131" s="226"/>
      <c r="BH131" s="226"/>
      <c r="BI131" s="226"/>
      <c r="BJ131" s="226"/>
      <c r="BK131" s="226"/>
      <c r="BL131" s="226"/>
      <c r="BM131" s="226"/>
      <c r="BN131" s="226"/>
      <c r="BO131" s="226"/>
      <c r="BP131" s="226"/>
      <c r="BQ131" s="226"/>
      <c r="BR131" s="226"/>
      <c r="BS131" s="226"/>
      <c r="BT131" s="226"/>
      <c r="BU131" s="226"/>
      <c r="BV131" s="226"/>
      <c r="BW131" s="226"/>
      <c r="BX131" s="226"/>
    </row>
    <row r="132" spans="3:76">
      <c r="E132" s="226"/>
      <c r="F132" s="226"/>
      <c r="G132" s="226"/>
      <c r="H132" s="226"/>
      <c r="I132" s="226"/>
      <c r="J132" s="226"/>
      <c r="K132" s="226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26"/>
      <c r="AG132" s="226"/>
      <c r="AH132" s="226"/>
      <c r="AI132" s="226"/>
      <c r="AJ132" s="226"/>
      <c r="AK132" s="226"/>
      <c r="AL132" s="226"/>
      <c r="AM132" s="226"/>
      <c r="AN132" s="226"/>
      <c r="AO132" s="226"/>
      <c r="AP132" s="226"/>
      <c r="AQ132" s="226"/>
      <c r="AR132" s="226"/>
      <c r="AS132" s="226"/>
      <c r="AT132" s="226"/>
      <c r="AU132" s="226"/>
      <c r="AV132" s="226"/>
      <c r="AW132" s="226"/>
      <c r="AX132" s="226"/>
      <c r="AY132" s="226"/>
      <c r="AZ132" s="226"/>
      <c r="BA132" s="226"/>
      <c r="BB132" s="226"/>
      <c r="BC132" s="226"/>
      <c r="BD132" s="226"/>
      <c r="BE132" s="226"/>
      <c r="BF132" s="226"/>
      <c r="BG132" s="226"/>
      <c r="BH132" s="226"/>
      <c r="BI132" s="226"/>
      <c r="BJ132" s="226"/>
      <c r="BK132" s="226"/>
      <c r="BL132" s="226"/>
      <c r="BM132" s="226"/>
      <c r="BN132" s="226"/>
      <c r="BO132" s="226"/>
      <c r="BP132" s="226"/>
      <c r="BQ132" s="226"/>
      <c r="BR132" s="226"/>
      <c r="BS132" s="226"/>
      <c r="BT132" s="226"/>
      <c r="BU132" s="226"/>
      <c r="BV132" s="226"/>
      <c r="BW132" s="226"/>
      <c r="BX132" s="226"/>
    </row>
    <row r="133" spans="3:76" hidden="1">
      <c r="E133" s="226"/>
      <c r="F133" s="226"/>
      <c r="G133" s="226"/>
      <c r="H133" s="226">
        <f t="shared" ref="H133:Z133" si="40">-SUM(H5:H6)</f>
        <v>-16365002</v>
      </c>
      <c r="I133" s="226">
        <f t="shared" si="40"/>
        <v>0</v>
      </c>
      <c r="J133" s="226">
        <f t="shared" si="40"/>
        <v>0</v>
      </c>
      <c r="K133" s="226">
        <f t="shared" si="40"/>
        <v>-885000</v>
      </c>
      <c r="L133" s="226">
        <f t="shared" si="40"/>
        <v>-1940000</v>
      </c>
      <c r="M133" s="226">
        <f t="shared" si="40"/>
        <v>-4260000</v>
      </c>
      <c r="N133" s="226">
        <f t="shared" si="40"/>
        <v>0</v>
      </c>
      <c r="O133" s="226">
        <f t="shared" si="40"/>
        <v>-320000</v>
      </c>
      <c r="P133" s="226">
        <f t="shared" si="40"/>
        <v>-320000</v>
      </c>
      <c r="Q133" s="226">
        <f t="shared" si="40"/>
        <v>0</v>
      </c>
      <c r="R133" s="226">
        <f t="shared" si="40"/>
        <v>-670000</v>
      </c>
      <c r="S133" s="226">
        <f t="shared" si="40"/>
        <v>0</v>
      </c>
      <c r="T133" s="226">
        <f t="shared" si="40"/>
        <v>0</v>
      </c>
      <c r="U133" s="226">
        <f t="shared" si="40"/>
        <v>0</v>
      </c>
      <c r="V133" s="226">
        <f t="shared" si="40"/>
        <v>-3090000</v>
      </c>
      <c r="W133" s="226">
        <f t="shared" si="40"/>
        <v>0</v>
      </c>
      <c r="X133" s="226">
        <f t="shared" si="40"/>
        <v>0</v>
      </c>
      <c r="Y133" s="226">
        <f t="shared" si="40"/>
        <v>0</v>
      </c>
      <c r="Z133" s="226">
        <f t="shared" si="40"/>
        <v>0</v>
      </c>
      <c r="AA133" s="226"/>
      <c r="AB133" s="226">
        <f>AA133+SUM(H133:Z133)</f>
        <v>-27850002</v>
      </c>
      <c r="AC133" s="242">
        <f>AB133/-SUM(H133:Z133)</f>
        <v>-1</v>
      </c>
      <c r="AD133" s="226"/>
      <c r="AE133" s="226"/>
      <c r="AF133" s="226"/>
      <c r="AG133" s="226"/>
      <c r="AH133" s="226"/>
      <c r="AI133" s="226"/>
      <c r="AJ133" s="226"/>
      <c r="AK133" s="226"/>
      <c r="AL133" s="226"/>
      <c r="AM133" s="226"/>
      <c r="AN133" s="226"/>
      <c r="AO133" s="242">
        <f>AC133/20*12</f>
        <v>-0.60000000000000009</v>
      </c>
      <c r="AP133" s="226"/>
      <c r="AQ133" s="226"/>
      <c r="AR133" s="226"/>
      <c r="AS133" s="226"/>
      <c r="AT133" s="226"/>
      <c r="AU133" s="226"/>
      <c r="AV133" s="226"/>
      <c r="AW133" s="226"/>
      <c r="AX133" s="226"/>
      <c r="AY133" s="226"/>
      <c r="AZ133" s="226"/>
      <c r="BA133" s="226"/>
      <c r="BB133" s="226"/>
      <c r="BC133" s="226"/>
      <c r="BD133" s="226"/>
      <c r="BE133" s="226"/>
      <c r="BF133" s="226"/>
      <c r="BG133" s="226"/>
      <c r="BH133" s="226"/>
      <c r="BI133" s="226"/>
      <c r="BJ133" s="226"/>
      <c r="BK133" s="226"/>
      <c r="BL133" s="226"/>
      <c r="BM133" s="226"/>
      <c r="BN133" s="226"/>
      <c r="BO133" s="226"/>
      <c r="BP133" s="226"/>
      <c r="BQ133" s="226"/>
      <c r="BR133" s="226"/>
      <c r="BS133" s="226"/>
      <c r="BT133" s="226"/>
      <c r="BU133" s="226"/>
      <c r="BV133" s="226"/>
      <c r="BW133" s="226"/>
      <c r="BX133" s="226"/>
    </row>
    <row r="134" spans="3:76" hidden="1">
      <c r="E134" s="226"/>
      <c r="F134" s="226"/>
      <c r="G134" s="242" t="e">
        <f>IRR(H133:AA133)*12</f>
        <v>#NUM!</v>
      </c>
      <c r="H134" s="226"/>
      <c r="I134" s="226"/>
      <c r="J134" s="226"/>
      <c r="K134" s="226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6"/>
      <c r="AA134" s="226"/>
      <c r="AB134" s="226"/>
      <c r="AC134" s="226"/>
      <c r="AD134" s="226"/>
      <c r="AE134" s="226"/>
      <c r="AF134" s="226"/>
      <c r="AG134" s="226"/>
      <c r="AH134" s="226"/>
      <c r="AI134" s="226"/>
      <c r="AJ134" s="226"/>
      <c r="AK134" s="226"/>
      <c r="AL134" s="226"/>
      <c r="AM134" s="226"/>
      <c r="AN134" s="226"/>
      <c r="AO134" s="226"/>
      <c r="AP134" s="226"/>
      <c r="AQ134" s="226"/>
      <c r="AR134" s="226"/>
      <c r="AS134" s="226"/>
      <c r="AT134" s="226"/>
      <c r="AU134" s="226"/>
      <c r="AV134" s="226"/>
      <c r="AW134" s="226"/>
      <c r="AX134" s="226"/>
      <c r="AY134" s="226"/>
      <c r="AZ134" s="226"/>
      <c r="BA134" s="226"/>
      <c r="BB134" s="226"/>
      <c r="BC134" s="226"/>
      <c r="BD134" s="226"/>
      <c r="BE134" s="226"/>
      <c r="BF134" s="226"/>
      <c r="BG134" s="226"/>
      <c r="BH134" s="226"/>
      <c r="BI134" s="226"/>
      <c r="BJ134" s="226"/>
      <c r="BK134" s="226"/>
      <c r="BL134" s="226"/>
      <c r="BM134" s="226"/>
      <c r="BN134" s="226"/>
      <c r="BO134" s="226"/>
      <c r="BP134" s="226"/>
      <c r="BQ134" s="226"/>
      <c r="BR134" s="226"/>
      <c r="BS134" s="226"/>
      <c r="BT134" s="226"/>
      <c r="BU134" s="226"/>
      <c r="BV134" s="226"/>
      <c r="BW134" s="226"/>
      <c r="BX134" s="226"/>
    </row>
    <row r="135" spans="3:76" hidden="1">
      <c r="E135" s="226"/>
      <c r="F135" s="226"/>
      <c r="G135" s="226"/>
      <c r="H135" s="226"/>
      <c r="I135" s="226"/>
      <c r="J135" s="226"/>
      <c r="K135" s="226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226"/>
      <c r="AB135" s="226"/>
      <c r="AC135" s="226"/>
      <c r="AD135" s="226"/>
      <c r="AE135" s="226"/>
      <c r="AF135" s="226"/>
      <c r="AG135" s="226"/>
      <c r="AH135" s="226"/>
      <c r="AI135" s="226"/>
      <c r="AJ135" s="226"/>
      <c r="AK135" s="226"/>
      <c r="AL135" s="226"/>
      <c r="AM135" s="226"/>
      <c r="AN135" s="226"/>
      <c r="AO135" s="226"/>
      <c r="AP135" s="226"/>
      <c r="AQ135" s="226"/>
      <c r="AR135" s="226"/>
      <c r="AS135" s="226"/>
      <c r="AT135" s="226"/>
      <c r="AU135" s="226"/>
      <c r="AV135" s="226"/>
      <c r="AW135" s="226"/>
      <c r="AX135" s="226"/>
      <c r="AY135" s="226"/>
      <c r="AZ135" s="226"/>
      <c r="BA135" s="226"/>
      <c r="BB135" s="226"/>
      <c r="BC135" s="226"/>
      <c r="BD135" s="226"/>
      <c r="BE135" s="226"/>
      <c r="BF135" s="226"/>
      <c r="BG135" s="226"/>
      <c r="BH135" s="226"/>
      <c r="BI135" s="226"/>
      <c r="BJ135" s="226"/>
      <c r="BK135" s="226"/>
      <c r="BL135" s="226"/>
      <c r="BM135" s="226"/>
      <c r="BN135" s="226"/>
      <c r="BO135" s="226"/>
      <c r="BP135" s="226"/>
      <c r="BQ135" s="226"/>
      <c r="BR135" s="226"/>
      <c r="BS135" s="226"/>
      <c r="BT135" s="226"/>
      <c r="BU135" s="226"/>
      <c r="BV135" s="226"/>
      <c r="BW135" s="226"/>
      <c r="BX135" s="226"/>
    </row>
    <row r="136" spans="3:76" hidden="1">
      <c r="C136" s="314" t="s">
        <v>352</v>
      </c>
      <c r="D136" s="315"/>
      <c r="E136" s="315">
        <f t="shared" ref="E136:Z136" si="41">-(E6+E92)</f>
        <v>0</v>
      </c>
      <c r="F136" s="315">
        <f t="shared" si="41"/>
        <v>0</v>
      </c>
      <c r="G136" s="315">
        <f t="shared" si="41"/>
        <v>0</v>
      </c>
      <c r="H136" s="315">
        <f t="shared" si="41"/>
        <v>0</v>
      </c>
      <c r="I136" s="315">
        <f t="shared" si="41"/>
        <v>0</v>
      </c>
      <c r="J136" s="315">
        <f t="shared" si="41"/>
        <v>0</v>
      </c>
      <c r="K136" s="315">
        <f t="shared" si="41"/>
        <v>-885000</v>
      </c>
      <c r="L136" s="315">
        <f t="shared" si="41"/>
        <v>-1940000</v>
      </c>
      <c r="M136" s="315">
        <f t="shared" si="41"/>
        <v>-4260000</v>
      </c>
      <c r="N136" s="315">
        <f t="shared" si="41"/>
        <v>0</v>
      </c>
      <c r="O136" s="315">
        <f t="shared" si="41"/>
        <v>-320000</v>
      </c>
      <c r="P136" s="315">
        <f t="shared" si="41"/>
        <v>-320000</v>
      </c>
      <c r="Q136" s="315">
        <f t="shared" si="41"/>
        <v>0</v>
      </c>
      <c r="R136" s="315">
        <f t="shared" si="41"/>
        <v>-670000</v>
      </c>
      <c r="S136" s="315">
        <f t="shared" si="41"/>
        <v>0</v>
      </c>
      <c r="T136" s="315">
        <f t="shared" si="41"/>
        <v>0</v>
      </c>
      <c r="U136" s="315">
        <f t="shared" si="41"/>
        <v>0</v>
      </c>
      <c r="V136" s="315">
        <f t="shared" si="41"/>
        <v>-3090000</v>
      </c>
      <c r="W136" s="315">
        <f t="shared" si="41"/>
        <v>0</v>
      </c>
      <c r="X136" s="315">
        <f t="shared" si="41"/>
        <v>0</v>
      </c>
      <c r="Y136" s="315">
        <f t="shared" si="41"/>
        <v>0</v>
      </c>
      <c r="Z136" s="315">
        <f t="shared" si="41"/>
        <v>0</v>
      </c>
      <c r="AA136" s="315"/>
      <c r="AB136" s="315">
        <f t="shared" ref="AB136:AE136" si="42">-(AB6+AB92)</f>
        <v>20000</v>
      </c>
      <c r="AC136" s="315">
        <f t="shared" si="42"/>
        <v>0</v>
      </c>
      <c r="AD136" s="315">
        <f t="shared" si="42"/>
        <v>0</v>
      </c>
      <c r="AE136" s="315">
        <f t="shared" si="42"/>
        <v>10000</v>
      </c>
      <c r="AF136" s="315"/>
      <c r="AG136" s="315"/>
      <c r="AH136" s="315"/>
      <c r="AI136" s="315"/>
      <c r="AJ136" s="315"/>
      <c r="AK136" s="315">
        <f t="shared" ref="AK136:BX136" si="43">-(AK6+AK92)</f>
        <v>0</v>
      </c>
      <c r="AL136" s="315">
        <f t="shared" si="43"/>
        <v>0</v>
      </c>
      <c r="AM136" s="315">
        <f t="shared" si="43"/>
        <v>0</v>
      </c>
      <c r="AN136" s="315">
        <f t="shared" si="43"/>
        <v>0</v>
      </c>
      <c r="AO136" s="315">
        <f t="shared" si="43"/>
        <v>0</v>
      </c>
      <c r="AP136" s="315">
        <f t="shared" si="43"/>
        <v>0</v>
      </c>
      <c r="AQ136" s="315">
        <f t="shared" si="43"/>
        <v>0</v>
      </c>
      <c r="AR136" s="315">
        <f t="shared" si="43"/>
        <v>0</v>
      </c>
      <c r="AS136" s="315">
        <f t="shared" si="43"/>
        <v>0</v>
      </c>
      <c r="AT136" s="315">
        <f t="shared" si="43"/>
        <v>0</v>
      </c>
      <c r="AU136" s="315">
        <f t="shared" si="43"/>
        <v>0</v>
      </c>
      <c r="AV136" s="315">
        <f t="shared" si="43"/>
        <v>0</v>
      </c>
      <c r="AW136" s="315">
        <f t="shared" si="43"/>
        <v>0</v>
      </c>
      <c r="AX136" s="315">
        <f t="shared" si="43"/>
        <v>0</v>
      </c>
      <c r="AY136" s="315">
        <f t="shared" si="43"/>
        <v>0</v>
      </c>
      <c r="AZ136" s="315">
        <f t="shared" si="43"/>
        <v>0</v>
      </c>
      <c r="BA136" s="315">
        <f t="shared" si="43"/>
        <v>0</v>
      </c>
      <c r="BB136" s="315">
        <f t="shared" si="43"/>
        <v>0</v>
      </c>
      <c r="BC136" s="315">
        <f t="shared" si="43"/>
        <v>0</v>
      </c>
      <c r="BD136" s="315">
        <f t="shared" si="43"/>
        <v>0</v>
      </c>
      <c r="BE136" s="315">
        <f t="shared" si="43"/>
        <v>0</v>
      </c>
      <c r="BF136" s="315">
        <f t="shared" si="43"/>
        <v>0</v>
      </c>
      <c r="BG136" s="315">
        <f t="shared" si="43"/>
        <v>0</v>
      </c>
      <c r="BH136" s="315">
        <f t="shared" si="43"/>
        <v>0</v>
      </c>
      <c r="BI136" s="315">
        <f t="shared" si="43"/>
        <v>0</v>
      </c>
      <c r="BJ136" s="315">
        <f t="shared" si="43"/>
        <v>0</v>
      </c>
      <c r="BK136" s="315">
        <f t="shared" si="43"/>
        <v>0</v>
      </c>
      <c r="BL136" s="315">
        <f t="shared" si="43"/>
        <v>0</v>
      </c>
      <c r="BM136" s="315">
        <f t="shared" si="43"/>
        <v>0</v>
      </c>
      <c r="BN136" s="315">
        <f t="shared" si="43"/>
        <v>0</v>
      </c>
      <c r="BO136" s="315">
        <f t="shared" si="43"/>
        <v>0</v>
      </c>
      <c r="BP136" s="315">
        <f t="shared" si="43"/>
        <v>0</v>
      </c>
      <c r="BQ136" s="315">
        <f t="shared" si="43"/>
        <v>0</v>
      </c>
      <c r="BR136" s="315">
        <f t="shared" si="43"/>
        <v>0</v>
      </c>
      <c r="BS136" s="315">
        <f t="shared" si="43"/>
        <v>0</v>
      </c>
      <c r="BT136" s="315">
        <f t="shared" si="43"/>
        <v>0</v>
      </c>
      <c r="BU136" s="315">
        <f t="shared" si="43"/>
        <v>0</v>
      </c>
      <c r="BV136" s="315">
        <f t="shared" si="43"/>
        <v>0</v>
      </c>
      <c r="BW136" s="315">
        <f t="shared" si="43"/>
        <v>0</v>
      </c>
      <c r="BX136" s="315">
        <f t="shared" si="43"/>
        <v>0</v>
      </c>
    </row>
    <row r="137" spans="3:76" hidden="1">
      <c r="C137" s="314" t="s">
        <v>353</v>
      </c>
      <c r="D137" s="323"/>
      <c r="E137" s="315"/>
      <c r="F137" s="315"/>
      <c r="G137" s="315"/>
      <c r="H137" s="315"/>
      <c r="I137" s="315"/>
      <c r="J137" s="315"/>
      <c r="K137" s="315"/>
      <c r="L137" s="315"/>
      <c r="M137" s="315"/>
      <c r="N137" s="315"/>
      <c r="O137" s="315"/>
      <c r="P137" s="315"/>
      <c r="Q137" s="315"/>
      <c r="R137" s="315"/>
      <c r="S137" s="315"/>
      <c r="T137" s="315"/>
      <c r="U137" s="315"/>
      <c r="V137" s="315"/>
      <c r="W137" s="315"/>
      <c r="X137" s="315"/>
      <c r="Y137" s="315"/>
      <c r="Z137" s="315"/>
      <c r="AA137" s="315"/>
      <c r="AB137" s="315"/>
      <c r="AC137" s="315"/>
      <c r="AD137" s="315"/>
      <c r="AE137" s="315"/>
      <c r="AF137" s="315"/>
      <c r="AG137" s="315"/>
      <c r="AH137" s="315"/>
      <c r="AI137" s="315"/>
      <c r="AJ137" s="315"/>
      <c r="AK137" s="315"/>
      <c r="AL137" s="315"/>
      <c r="AM137" s="315"/>
      <c r="AN137" s="315"/>
      <c r="AO137" s="315"/>
      <c r="AP137" s="315"/>
      <c r="AQ137" s="315"/>
      <c r="AR137" s="315"/>
      <c r="AS137" s="315"/>
      <c r="AT137" s="315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</row>
    <row r="138" spans="3:76" hidden="1">
      <c r="C138" s="314" t="s">
        <v>343</v>
      </c>
      <c r="D138" s="323"/>
      <c r="E138" s="315">
        <f t="shared" ref="E138:Z138" si="44">-E57</f>
        <v>0</v>
      </c>
      <c r="F138" s="315">
        <f t="shared" si="44"/>
        <v>0</v>
      </c>
      <c r="G138" s="315">
        <f t="shared" si="44"/>
        <v>0</v>
      </c>
      <c r="H138" s="315">
        <f t="shared" si="44"/>
        <v>0</v>
      </c>
      <c r="I138" s="315">
        <f t="shared" si="44"/>
        <v>0</v>
      </c>
      <c r="J138" s="315">
        <f t="shared" si="44"/>
        <v>0</v>
      </c>
      <c r="K138" s="315">
        <f t="shared" si="44"/>
        <v>0</v>
      </c>
      <c r="L138" s="315">
        <f t="shared" si="44"/>
        <v>0</v>
      </c>
      <c r="M138" s="315">
        <f t="shared" si="44"/>
        <v>0</v>
      </c>
      <c r="N138" s="315">
        <f t="shared" si="44"/>
        <v>0</v>
      </c>
      <c r="O138" s="315">
        <f t="shared" si="44"/>
        <v>0</v>
      </c>
      <c r="P138" s="315">
        <f t="shared" si="44"/>
        <v>0</v>
      </c>
      <c r="Q138" s="315">
        <f t="shared" si="44"/>
        <v>0</v>
      </c>
      <c r="R138" s="315">
        <f t="shared" si="44"/>
        <v>0</v>
      </c>
      <c r="S138" s="315">
        <f t="shared" si="44"/>
        <v>0</v>
      </c>
      <c r="T138" s="315">
        <f t="shared" si="44"/>
        <v>0</v>
      </c>
      <c r="U138" s="315">
        <f t="shared" si="44"/>
        <v>0</v>
      </c>
      <c r="V138" s="315">
        <f t="shared" si="44"/>
        <v>0</v>
      </c>
      <c r="W138" s="315">
        <f t="shared" si="44"/>
        <v>0</v>
      </c>
      <c r="X138" s="315">
        <f t="shared" si="44"/>
        <v>0</v>
      </c>
      <c r="Y138" s="315">
        <f t="shared" si="44"/>
        <v>0</v>
      </c>
      <c r="Z138" s="315">
        <f t="shared" si="44"/>
        <v>0</v>
      </c>
      <c r="AA138" s="315"/>
      <c r="AB138" s="315">
        <f t="shared" ref="AB138:AE138" si="45">-AB57</f>
        <v>0</v>
      </c>
      <c r="AC138" s="315">
        <f t="shared" si="45"/>
        <v>0</v>
      </c>
      <c r="AD138" s="315">
        <f t="shared" si="45"/>
        <v>0</v>
      </c>
      <c r="AE138" s="315">
        <f t="shared" si="45"/>
        <v>0</v>
      </c>
      <c r="AF138" s="315"/>
      <c r="AG138" s="315"/>
      <c r="AH138" s="315"/>
      <c r="AI138" s="315"/>
      <c r="AJ138" s="315"/>
      <c r="AK138" s="315">
        <f t="shared" ref="AK138:BX138" si="46">-AK57</f>
        <v>0</v>
      </c>
      <c r="AL138" s="315">
        <f t="shared" si="46"/>
        <v>0</v>
      </c>
      <c r="AM138" s="315">
        <f t="shared" si="46"/>
        <v>0</v>
      </c>
      <c r="AN138" s="315">
        <f t="shared" si="46"/>
        <v>0</v>
      </c>
      <c r="AO138" s="315">
        <f t="shared" si="46"/>
        <v>0</v>
      </c>
      <c r="AP138" s="315">
        <f t="shared" si="46"/>
        <v>0</v>
      </c>
      <c r="AQ138" s="315">
        <f t="shared" si="46"/>
        <v>0</v>
      </c>
      <c r="AR138" s="315">
        <f t="shared" si="46"/>
        <v>0</v>
      </c>
      <c r="AS138" s="315">
        <f t="shared" si="46"/>
        <v>0</v>
      </c>
      <c r="AT138" s="315">
        <f t="shared" si="46"/>
        <v>0</v>
      </c>
      <c r="AU138" s="315">
        <f t="shared" si="46"/>
        <v>0</v>
      </c>
      <c r="AV138" s="315">
        <f t="shared" si="46"/>
        <v>0</v>
      </c>
      <c r="AW138" s="315">
        <f t="shared" si="46"/>
        <v>0</v>
      </c>
      <c r="AX138" s="315">
        <f t="shared" si="46"/>
        <v>0</v>
      </c>
      <c r="AY138" s="315">
        <f t="shared" si="46"/>
        <v>0</v>
      </c>
      <c r="AZ138" s="315">
        <f t="shared" si="46"/>
        <v>0</v>
      </c>
      <c r="BA138" s="315">
        <f t="shared" si="46"/>
        <v>0</v>
      </c>
      <c r="BB138" s="315">
        <f t="shared" si="46"/>
        <v>0</v>
      </c>
      <c r="BC138" s="315">
        <f t="shared" si="46"/>
        <v>0</v>
      </c>
      <c r="BD138" s="315">
        <f t="shared" si="46"/>
        <v>0</v>
      </c>
      <c r="BE138" s="315">
        <f t="shared" si="46"/>
        <v>0</v>
      </c>
      <c r="BF138" s="315">
        <f t="shared" si="46"/>
        <v>0</v>
      </c>
      <c r="BG138" s="315">
        <f t="shared" si="46"/>
        <v>0</v>
      </c>
      <c r="BH138" s="315">
        <f t="shared" si="46"/>
        <v>0</v>
      </c>
      <c r="BI138" s="315">
        <f t="shared" si="46"/>
        <v>0</v>
      </c>
      <c r="BJ138" s="315">
        <f t="shared" si="46"/>
        <v>0</v>
      </c>
      <c r="BK138" s="315">
        <f t="shared" si="46"/>
        <v>0</v>
      </c>
      <c r="BL138" s="315">
        <f t="shared" si="46"/>
        <v>0</v>
      </c>
      <c r="BM138" s="315">
        <f t="shared" si="46"/>
        <v>0</v>
      </c>
      <c r="BN138" s="315">
        <f t="shared" si="46"/>
        <v>0</v>
      </c>
      <c r="BO138" s="315">
        <f t="shared" si="46"/>
        <v>0</v>
      </c>
      <c r="BP138" s="315">
        <f t="shared" si="46"/>
        <v>0</v>
      </c>
      <c r="BQ138" s="315">
        <f t="shared" si="46"/>
        <v>0</v>
      </c>
      <c r="BR138" s="315">
        <f t="shared" si="46"/>
        <v>0</v>
      </c>
      <c r="BS138" s="315">
        <f t="shared" si="46"/>
        <v>0</v>
      </c>
      <c r="BT138" s="315">
        <f t="shared" si="46"/>
        <v>0</v>
      </c>
      <c r="BU138" s="315">
        <f t="shared" si="46"/>
        <v>0</v>
      </c>
      <c r="BV138" s="315">
        <f t="shared" si="46"/>
        <v>0</v>
      </c>
      <c r="BW138" s="315">
        <f t="shared" si="46"/>
        <v>0</v>
      </c>
      <c r="BX138" s="315">
        <f t="shared" si="46"/>
        <v>0</v>
      </c>
    </row>
    <row r="139" spans="3:76" hidden="1">
      <c r="C139" s="314" t="s">
        <v>344</v>
      </c>
      <c r="D139" s="323"/>
      <c r="E139" s="315"/>
      <c r="F139" s="315"/>
      <c r="G139" s="315"/>
      <c r="H139" s="315"/>
      <c r="I139" s="315"/>
      <c r="J139" s="315"/>
      <c r="K139" s="315"/>
      <c r="L139" s="315"/>
      <c r="M139" s="315"/>
      <c r="N139" s="315"/>
      <c r="O139" s="315"/>
      <c r="P139" s="315"/>
      <c r="Q139" s="315"/>
      <c r="R139" s="315"/>
      <c r="S139" s="315"/>
      <c r="T139" s="315">
        <f>T101-T155-T171-T187</f>
        <v>-9112509.463999996</v>
      </c>
      <c r="U139" s="315"/>
      <c r="V139" s="315"/>
      <c r="W139" s="315"/>
      <c r="X139" s="315"/>
      <c r="Y139" s="315"/>
      <c r="Z139" s="315"/>
      <c r="AA139" s="315"/>
      <c r="AB139" s="315"/>
      <c r="AC139" s="315"/>
      <c r="AD139" s="315"/>
      <c r="AE139" s="315"/>
      <c r="AF139" s="315"/>
      <c r="AG139" s="315"/>
      <c r="AH139" s="315"/>
      <c r="AI139" s="315"/>
      <c r="AJ139" s="315"/>
      <c r="AK139" s="315"/>
      <c r="AL139" s="315"/>
      <c r="AM139" s="315"/>
      <c r="AN139" s="315"/>
      <c r="AO139" s="315"/>
      <c r="AP139" s="315"/>
      <c r="AQ139" s="315"/>
      <c r="AR139" s="315"/>
      <c r="AS139" s="315"/>
      <c r="AT139" s="315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>
        <f>IF(D111&gt;0.25,(BX101-BX114)*D140,BX101*D140)</f>
        <v>0</v>
      </c>
    </row>
    <row r="140" spans="3:76" hidden="1">
      <c r="C140" s="317" t="s">
        <v>345</v>
      </c>
      <c r="D140" s="323">
        <v>0</v>
      </c>
      <c r="E140" s="246"/>
      <c r="F140" s="246"/>
      <c r="G140" s="246"/>
      <c r="H140" s="246"/>
      <c r="I140" s="246"/>
      <c r="J140" s="246"/>
      <c r="K140" s="246"/>
      <c r="L140" s="246"/>
      <c r="M140" s="246"/>
      <c r="N140" s="246"/>
      <c r="O140" s="246"/>
      <c r="P140" s="246"/>
      <c r="Q140" s="246"/>
      <c r="R140" s="246"/>
      <c r="S140" s="246"/>
      <c r="T140" s="246"/>
      <c r="U140" s="246"/>
      <c r="V140" s="246"/>
      <c r="W140" s="246"/>
      <c r="X140" s="246"/>
      <c r="Y140" s="246"/>
      <c r="Z140" s="246"/>
      <c r="AA140" s="246"/>
      <c r="AB140" s="246"/>
      <c r="AC140" s="246"/>
      <c r="AD140" s="246"/>
      <c r="AE140" s="246"/>
      <c r="AF140" s="246"/>
      <c r="AG140" s="246"/>
      <c r="AH140" s="246"/>
      <c r="AI140" s="246"/>
      <c r="AJ140" s="246"/>
      <c r="AK140" s="246"/>
      <c r="AL140" s="246"/>
      <c r="AM140" s="246"/>
      <c r="AN140" s="246"/>
      <c r="AO140" s="246"/>
      <c r="AP140" s="246"/>
      <c r="AQ140" s="246"/>
      <c r="AR140" s="246"/>
      <c r="AS140" s="246"/>
      <c r="AT140" s="246"/>
      <c r="AU140" s="246"/>
      <c r="AV140" s="246"/>
      <c r="AW140" s="246"/>
      <c r="AX140" s="246"/>
      <c r="AY140" s="246"/>
      <c r="AZ140" s="246"/>
      <c r="BA140" s="246"/>
      <c r="BB140" s="246"/>
      <c r="BC140" s="246"/>
      <c r="BD140" s="246"/>
      <c r="BE140" s="246"/>
      <c r="BF140" s="246"/>
      <c r="BG140" s="246"/>
      <c r="BH140" s="246"/>
      <c r="BI140" s="246"/>
      <c r="BJ140" s="246"/>
      <c r="BK140" s="246"/>
      <c r="BL140" s="246"/>
      <c r="BM140" s="246"/>
      <c r="BN140" s="246"/>
      <c r="BO140" s="246"/>
      <c r="BP140" s="246"/>
      <c r="BQ140" s="246"/>
      <c r="BR140" s="246"/>
      <c r="BS140" s="246"/>
      <c r="BT140" s="246"/>
      <c r="BU140" s="246"/>
      <c r="BV140" s="246"/>
      <c r="BW140" s="246"/>
      <c r="BX140" s="246"/>
    </row>
    <row r="141" spans="3:76" hidden="1">
      <c r="C141" s="314" t="s">
        <v>346</v>
      </c>
      <c r="D141" s="315"/>
      <c r="E141" s="325">
        <f t="shared" ref="E141:Z141" si="47">E136+E137+E138+E139+E140</f>
        <v>0</v>
      </c>
      <c r="F141" s="325">
        <f t="shared" si="47"/>
        <v>0</v>
      </c>
      <c r="G141" s="325">
        <f t="shared" si="47"/>
        <v>0</v>
      </c>
      <c r="H141" s="325">
        <f t="shared" si="47"/>
        <v>0</v>
      </c>
      <c r="I141" s="325">
        <f t="shared" si="47"/>
        <v>0</v>
      </c>
      <c r="J141" s="325">
        <f t="shared" si="47"/>
        <v>0</v>
      </c>
      <c r="K141" s="325">
        <f t="shared" si="47"/>
        <v>-885000</v>
      </c>
      <c r="L141" s="325">
        <f t="shared" si="47"/>
        <v>-1940000</v>
      </c>
      <c r="M141" s="325">
        <f t="shared" si="47"/>
        <v>-4260000</v>
      </c>
      <c r="N141" s="325">
        <f t="shared" si="47"/>
        <v>0</v>
      </c>
      <c r="O141" s="325">
        <f t="shared" si="47"/>
        <v>-320000</v>
      </c>
      <c r="P141" s="325">
        <f t="shared" si="47"/>
        <v>-320000</v>
      </c>
      <c r="Q141" s="325">
        <f t="shared" si="47"/>
        <v>0</v>
      </c>
      <c r="R141" s="325">
        <f t="shared" si="47"/>
        <v>-670000</v>
      </c>
      <c r="S141" s="325">
        <f t="shared" si="47"/>
        <v>0</v>
      </c>
      <c r="T141" s="325">
        <f t="shared" si="47"/>
        <v>-9112509.463999996</v>
      </c>
      <c r="U141" s="325">
        <f t="shared" si="47"/>
        <v>0</v>
      </c>
      <c r="V141" s="325">
        <f t="shared" si="47"/>
        <v>-3090000</v>
      </c>
      <c r="W141" s="325">
        <f t="shared" si="47"/>
        <v>0</v>
      </c>
      <c r="X141" s="325">
        <f t="shared" si="47"/>
        <v>0</v>
      </c>
      <c r="Y141" s="325">
        <f t="shared" si="47"/>
        <v>0</v>
      </c>
      <c r="Z141" s="325">
        <f t="shared" si="47"/>
        <v>0</v>
      </c>
      <c r="AA141" s="325"/>
      <c r="AB141" s="325">
        <f t="shared" ref="AB141:AE141" si="48">AB136+AB137+AB138+AB139+AB140</f>
        <v>20000</v>
      </c>
      <c r="AC141" s="325">
        <f t="shared" si="48"/>
        <v>0</v>
      </c>
      <c r="AD141" s="325">
        <f t="shared" si="48"/>
        <v>0</v>
      </c>
      <c r="AE141" s="325">
        <f t="shared" si="48"/>
        <v>10000</v>
      </c>
      <c r="AF141" s="325"/>
      <c r="AG141" s="325"/>
      <c r="AH141" s="325"/>
      <c r="AI141" s="325"/>
      <c r="AJ141" s="325"/>
      <c r="AK141" s="325">
        <f t="shared" ref="AK141:BX141" si="49">AK136+AK137+AK138+AK139+AK140</f>
        <v>0</v>
      </c>
      <c r="AL141" s="325">
        <f t="shared" si="49"/>
        <v>0</v>
      </c>
      <c r="AM141" s="325">
        <f t="shared" si="49"/>
        <v>0</v>
      </c>
      <c r="AN141" s="325">
        <f t="shared" si="49"/>
        <v>0</v>
      </c>
      <c r="AO141" s="325">
        <f t="shared" si="49"/>
        <v>0</v>
      </c>
      <c r="AP141" s="325">
        <f t="shared" si="49"/>
        <v>0</v>
      </c>
      <c r="AQ141" s="325">
        <f t="shared" si="49"/>
        <v>0</v>
      </c>
      <c r="AR141" s="325">
        <f t="shared" si="49"/>
        <v>0</v>
      </c>
      <c r="AS141" s="325">
        <f t="shared" si="49"/>
        <v>0</v>
      </c>
      <c r="AT141" s="325">
        <f t="shared" si="49"/>
        <v>0</v>
      </c>
      <c r="AU141" s="325">
        <f t="shared" si="49"/>
        <v>0</v>
      </c>
      <c r="AV141" s="325">
        <f t="shared" si="49"/>
        <v>0</v>
      </c>
      <c r="AW141" s="325">
        <f t="shared" si="49"/>
        <v>0</v>
      </c>
      <c r="AX141" s="325">
        <f t="shared" si="49"/>
        <v>0</v>
      </c>
      <c r="AY141" s="325">
        <f t="shared" si="49"/>
        <v>0</v>
      </c>
      <c r="AZ141" s="325">
        <f t="shared" si="49"/>
        <v>0</v>
      </c>
      <c r="BA141" s="325">
        <f t="shared" si="49"/>
        <v>0</v>
      </c>
      <c r="BB141" s="325">
        <f t="shared" si="49"/>
        <v>0</v>
      </c>
      <c r="BC141" s="325">
        <f t="shared" si="49"/>
        <v>0</v>
      </c>
      <c r="BD141" s="325">
        <f t="shared" si="49"/>
        <v>0</v>
      </c>
      <c r="BE141" s="325">
        <f t="shared" si="49"/>
        <v>0</v>
      </c>
      <c r="BF141" s="325">
        <f t="shared" si="49"/>
        <v>0</v>
      </c>
      <c r="BG141" s="325">
        <f t="shared" si="49"/>
        <v>0</v>
      </c>
      <c r="BH141" s="325">
        <f t="shared" si="49"/>
        <v>0</v>
      </c>
      <c r="BI141" s="325">
        <f t="shared" si="49"/>
        <v>0</v>
      </c>
      <c r="BJ141" s="325">
        <f t="shared" si="49"/>
        <v>0</v>
      </c>
      <c r="BK141" s="325">
        <f t="shared" si="49"/>
        <v>0</v>
      </c>
      <c r="BL141" s="325">
        <f t="shared" si="49"/>
        <v>0</v>
      </c>
      <c r="BM141" s="325">
        <f t="shared" si="49"/>
        <v>0</v>
      </c>
      <c r="BN141" s="325">
        <f t="shared" si="49"/>
        <v>0</v>
      </c>
      <c r="BO141" s="325">
        <f t="shared" si="49"/>
        <v>0</v>
      </c>
      <c r="BP141" s="325">
        <f t="shared" si="49"/>
        <v>0</v>
      </c>
      <c r="BQ141" s="325">
        <f t="shared" si="49"/>
        <v>0</v>
      </c>
      <c r="BR141" s="325">
        <f t="shared" si="49"/>
        <v>0</v>
      </c>
      <c r="BS141" s="325">
        <f t="shared" si="49"/>
        <v>0</v>
      </c>
      <c r="BT141" s="325">
        <f t="shared" si="49"/>
        <v>0</v>
      </c>
      <c r="BU141" s="325">
        <f t="shared" si="49"/>
        <v>0</v>
      </c>
      <c r="BV141" s="325">
        <f t="shared" si="49"/>
        <v>0</v>
      </c>
      <c r="BW141" s="325">
        <f t="shared" si="49"/>
        <v>0</v>
      </c>
      <c r="BX141" s="325">
        <f t="shared" si="49"/>
        <v>0</v>
      </c>
    </row>
    <row r="142" spans="3:76" hidden="1">
      <c r="C142" s="318"/>
      <c r="D142" s="326" t="s">
        <v>354</v>
      </c>
      <c r="E142" s="330">
        <f>E141</f>
        <v>0</v>
      </c>
      <c r="F142" s="330">
        <f t="shared" ref="F142:Z142" si="50">E142+F141</f>
        <v>0</v>
      </c>
      <c r="G142" s="330">
        <f t="shared" si="50"/>
        <v>0</v>
      </c>
      <c r="H142" s="330">
        <f t="shared" si="50"/>
        <v>0</v>
      </c>
      <c r="I142" s="330">
        <f t="shared" si="50"/>
        <v>0</v>
      </c>
      <c r="J142" s="330">
        <f t="shared" si="50"/>
        <v>0</v>
      </c>
      <c r="K142" s="330">
        <f t="shared" si="50"/>
        <v>-885000</v>
      </c>
      <c r="L142" s="330">
        <f t="shared" si="50"/>
        <v>-2825000</v>
      </c>
      <c r="M142" s="330">
        <f t="shared" si="50"/>
        <v>-7085000</v>
      </c>
      <c r="N142" s="330">
        <f t="shared" si="50"/>
        <v>-7085000</v>
      </c>
      <c r="O142" s="330">
        <f t="shared" si="50"/>
        <v>-7405000</v>
      </c>
      <c r="P142" s="330">
        <f t="shared" si="50"/>
        <v>-7725000</v>
      </c>
      <c r="Q142" s="330">
        <f t="shared" si="50"/>
        <v>-7725000</v>
      </c>
      <c r="R142" s="330">
        <f t="shared" si="50"/>
        <v>-8395000</v>
      </c>
      <c r="S142" s="330">
        <f t="shared" si="50"/>
        <v>-8395000</v>
      </c>
      <c r="T142" s="330">
        <f t="shared" si="50"/>
        <v>-17507509.463999994</v>
      </c>
      <c r="U142" s="330">
        <f t="shared" si="50"/>
        <v>-17507509.463999994</v>
      </c>
      <c r="V142" s="330">
        <f t="shared" si="50"/>
        <v>-20597509.463999994</v>
      </c>
      <c r="W142" s="330">
        <f t="shared" si="50"/>
        <v>-20597509.463999994</v>
      </c>
      <c r="X142" s="330">
        <f t="shared" si="50"/>
        <v>-20597509.463999994</v>
      </c>
      <c r="Y142" s="330">
        <f t="shared" si="50"/>
        <v>-20597509.463999994</v>
      </c>
      <c r="Z142" s="330">
        <f t="shared" si="50"/>
        <v>-20597509.463999994</v>
      </c>
      <c r="AA142" s="330"/>
      <c r="AB142" s="330">
        <f t="shared" ref="AB142:AE142" si="51">AA142+AB141</f>
        <v>20000</v>
      </c>
      <c r="AC142" s="330">
        <f t="shared" si="51"/>
        <v>20000</v>
      </c>
      <c r="AD142" s="330">
        <f t="shared" si="51"/>
        <v>20000</v>
      </c>
      <c r="AE142" s="330">
        <f t="shared" si="51"/>
        <v>30000</v>
      </c>
      <c r="AF142" s="330"/>
      <c r="AG142" s="330"/>
      <c r="AH142" s="330"/>
      <c r="AI142" s="330"/>
      <c r="AJ142" s="330"/>
      <c r="AK142" s="330">
        <f t="shared" ref="AK142:BX142" si="52">AJ142+AK141</f>
        <v>0</v>
      </c>
      <c r="AL142" s="330">
        <f t="shared" si="52"/>
        <v>0</v>
      </c>
      <c r="AM142" s="330">
        <f t="shared" si="52"/>
        <v>0</v>
      </c>
      <c r="AN142" s="330">
        <f t="shared" si="52"/>
        <v>0</v>
      </c>
      <c r="AO142" s="330">
        <f t="shared" si="52"/>
        <v>0</v>
      </c>
      <c r="AP142" s="330">
        <f t="shared" si="52"/>
        <v>0</v>
      </c>
      <c r="AQ142" s="330">
        <f t="shared" si="52"/>
        <v>0</v>
      </c>
      <c r="AR142" s="330">
        <f t="shared" si="52"/>
        <v>0</v>
      </c>
      <c r="AS142" s="330">
        <f t="shared" si="52"/>
        <v>0</v>
      </c>
      <c r="AT142" s="330">
        <f t="shared" si="52"/>
        <v>0</v>
      </c>
      <c r="AU142" s="330">
        <f t="shared" si="52"/>
        <v>0</v>
      </c>
      <c r="AV142" s="330">
        <f t="shared" si="52"/>
        <v>0</v>
      </c>
      <c r="AW142" s="330">
        <f t="shared" si="52"/>
        <v>0</v>
      </c>
      <c r="AX142" s="330">
        <f t="shared" si="52"/>
        <v>0</v>
      </c>
      <c r="AY142" s="330">
        <f t="shared" si="52"/>
        <v>0</v>
      </c>
      <c r="AZ142" s="330">
        <f t="shared" si="52"/>
        <v>0</v>
      </c>
      <c r="BA142" s="330">
        <f t="shared" si="52"/>
        <v>0</v>
      </c>
      <c r="BB142" s="330">
        <f t="shared" si="52"/>
        <v>0</v>
      </c>
      <c r="BC142" s="330">
        <f t="shared" si="52"/>
        <v>0</v>
      </c>
      <c r="BD142" s="330">
        <f t="shared" si="52"/>
        <v>0</v>
      </c>
      <c r="BE142" s="330">
        <f t="shared" si="52"/>
        <v>0</v>
      </c>
      <c r="BF142" s="330">
        <f t="shared" si="52"/>
        <v>0</v>
      </c>
      <c r="BG142" s="330">
        <f t="shared" si="52"/>
        <v>0</v>
      </c>
      <c r="BH142" s="330">
        <f t="shared" si="52"/>
        <v>0</v>
      </c>
      <c r="BI142" s="330">
        <f t="shared" si="52"/>
        <v>0</v>
      </c>
      <c r="BJ142" s="330">
        <f t="shared" si="52"/>
        <v>0</v>
      </c>
      <c r="BK142" s="330">
        <f t="shared" si="52"/>
        <v>0</v>
      </c>
      <c r="BL142" s="330">
        <f t="shared" si="52"/>
        <v>0</v>
      </c>
      <c r="BM142" s="330">
        <f t="shared" si="52"/>
        <v>0</v>
      </c>
      <c r="BN142" s="330">
        <f t="shared" si="52"/>
        <v>0</v>
      </c>
      <c r="BO142" s="330">
        <f t="shared" si="52"/>
        <v>0</v>
      </c>
      <c r="BP142" s="330">
        <f t="shared" si="52"/>
        <v>0</v>
      </c>
      <c r="BQ142" s="330">
        <f t="shared" si="52"/>
        <v>0</v>
      </c>
      <c r="BR142" s="330">
        <f t="shared" si="52"/>
        <v>0</v>
      </c>
      <c r="BS142" s="330">
        <f t="shared" si="52"/>
        <v>0</v>
      </c>
      <c r="BT142" s="330">
        <f t="shared" si="52"/>
        <v>0</v>
      </c>
      <c r="BU142" s="330">
        <f t="shared" si="52"/>
        <v>0</v>
      </c>
      <c r="BV142" s="330">
        <f t="shared" si="52"/>
        <v>0</v>
      </c>
      <c r="BW142" s="330">
        <f t="shared" si="52"/>
        <v>0</v>
      </c>
      <c r="BX142" s="330">
        <f t="shared" si="52"/>
        <v>0</v>
      </c>
    </row>
    <row r="143" spans="3:76" hidden="1">
      <c r="C143" s="317" t="s">
        <v>339</v>
      </c>
      <c r="D143" s="326" t="e">
        <f>IRR(E141:BX141)*12</f>
        <v>#NUM!</v>
      </c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  <c r="AG143" s="226"/>
      <c r="AH143" s="226"/>
      <c r="AI143" s="226"/>
      <c r="AJ143" s="226"/>
      <c r="AK143" s="226"/>
      <c r="AL143" s="226"/>
      <c r="AM143" s="226"/>
      <c r="AN143" s="226"/>
      <c r="AO143" s="226"/>
      <c r="AP143" s="226"/>
      <c r="AQ143" s="226"/>
      <c r="AR143" s="226"/>
      <c r="AS143" s="226"/>
      <c r="AT143" s="226"/>
      <c r="AU143" s="226"/>
      <c r="AV143" s="226"/>
      <c r="AW143" s="226"/>
      <c r="AX143" s="226"/>
      <c r="AY143" s="226"/>
      <c r="AZ143" s="226"/>
      <c r="BA143" s="226"/>
      <c r="BB143" s="226"/>
      <c r="BC143" s="226"/>
      <c r="BD143" s="226"/>
      <c r="BE143" s="226"/>
      <c r="BF143" s="226"/>
      <c r="BG143" s="226"/>
      <c r="BH143" s="226"/>
      <c r="BI143" s="226"/>
      <c r="BJ143" s="226"/>
      <c r="BK143" s="226"/>
      <c r="BL143" s="226"/>
      <c r="BM143" s="226"/>
      <c r="BN143" s="226"/>
      <c r="BO143" s="226"/>
      <c r="BP143" s="226"/>
      <c r="BQ143" s="226"/>
      <c r="BR143" s="226"/>
      <c r="BS143" s="226"/>
      <c r="BT143" s="226"/>
      <c r="BU143" s="226"/>
      <c r="BV143" s="226"/>
      <c r="BW143" s="226"/>
      <c r="BX143" s="226"/>
    </row>
    <row r="144" spans="3:76" hidden="1">
      <c r="C144" s="327" t="s">
        <v>347</v>
      </c>
      <c r="D144" s="328">
        <f>-MIN(E136:BL136)</f>
        <v>4260000</v>
      </c>
      <c r="E144" s="226"/>
      <c r="F144" s="226"/>
      <c r="G144" s="226"/>
      <c r="H144" s="226"/>
      <c r="I144" s="226"/>
      <c r="J144" s="226"/>
      <c r="K144" s="226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6"/>
      <c r="AA144" s="226"/>
      <c r="AB144" s="226"/>
      <c r="AC144" s="226"/>
      <c r="AD144" s="226"/>
      <c r="AE144" s="226"/>
      <c r="AF144" s="226"/>
      <c r="AG144" s="226"/>
      <c r="AH144" s="226"/>
      <c r="AI144" s="226"/>
      <c r="AJ144" s="226"/>
      <c r="AK144" s="226"/>
      <c r="AL144" s="226"/>
      <c r="AM144" s="226"/>
      <c r="AN144" s="226"/>
      <c r="AO144" s="226"/>
      <c r="AP144" s="226"/>
      <c r="AQ144" s="226"/>
      <c r="AR144" s="226"/>
      <c r="AS144" s="226"/>
      <c r="AT144" s="226"/>
      <c r="AU144" s="226"/>
      <c r="AV144" s="226"/>
      <c r="AW144" s="226"/>
      <c r="AX144" s="226"/>
      <c r="AY144" s="226"/>
      <c r="AZ144" s="226"/>
      <c r="BA144" s="226"/>
      <c r="BB144" s="226"/>
      <c r="BC144" s="226"/>
      <c r="BD144" s="226"/>
      <c r="BE144" s="226"/>
      <c r="BF144" s="226"/>
      <c r="BG144" s="226"/>
      <c r="BH144" s="226"/>
      <c r="BI144" s="226"/>
      <c r="BJ144" s="226"/>
      <c r="BK144" s="226"/>
      <c r="BL144" s="226"/>
      <c r="BM144" s="226"/>
      <c r="BN144" s="226"/>
      <c r="BO144" s="226"/>
      <c r="BP144" s="226"/>
      <c r="BQ144" s="226"/>
      <c r="BR144" s="226"/>
      <c r="BS144" s="226"/>
      <c r="BT144" s="226"/>
      <c r="BU144" s="226"/>
      <c r="BV144" s="226"/>
      <c r="BW144" s="226"/>
      <c r="BX144" s="226"/>
    </row>
    <row r="145" spans="3:76" hidden="1">
      <c r="C145" s="327" t="s">
        <v>348</v>
      </c>
      <c r="D145" s="328">
        <f>-SUM(M140:BB140)</f>
        <v>0</v>
      </c>
      <c r="E145" s="226"/>
      <c r="F145" s="226"/>
      <c r="G145" s="226"/>
      <c r="H145" s="226"/>
      <c r="I145" s="226"/>
      <c r="J145" s="226"/>
      <c r="K145" s="226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6"/>
      <c r="AA145" s="226"/>
      <c r="AB145" s="226"/>
      <c r="AC145" s="226"/>
      <c r="AD145" s="226"/>
      <c r="AE145" s="226"/>
      <c r="AF145" s="226"/>
      <c r="AG145" s="226"/>
      <c r="AH145" s="226"/>
      <c r="AI145" s="226"/>
      <c r="AJ145" s="226"/>
      <c r="AK145" s="226"/>
      <c r="AL145" s="226"/>
      <c r="AM145" s="226"/>
      <c r="AN145" s="226"/>
      <c r="AO145" s="226"/>
      <c r="AP145" s="226"/>
      <c r="AQ145" s="226"/>
      <c r="AR145" s="226"/>
      <c r="AS145" s="226"/>
      <c r="AT145" s="226"/>
      <c r="AU145" s="226"/>
      <c r="AV145" s="226"/>
      <c r="AW145" s="226"/>
      <c r="AX145" s="226"/>
      <c r="AY145" s="226"/>
      <c r="AZ145" s="226"/>
      <c r="BA145" s="226"/>
      <c r="BB145" s="226"/>
      <c r="BC145" s="226"/>
      <c r="BD145" s="226"/>
      <c r="BE145" s="226"/>
      <c r="BF145" s="226"/>
      <c r="BG145" s="226"/>
      <c r="BH145" s="226"/>
      <c r="BI145" s="226"/>
      <c r="BJ145" s="226"/>
      <c r="BK145" s="226"/>
      <c r="BL145" s="226"/>
      <c r="BM145" s="226"/>
      <c r="BN145" s="226"/>
      <c r="BO145" s="226"/>
      <c r="BP145" s="226"/>
      <c r="BQ145" s="226"/>
      <c r="BR145" s="226"/>
      <c r="BS145" s="226"/>
      <c r="BT145" s="226"/>
      <c r="BU145" s="226"/>
      <c r="BV145" s="226"/>
      <c r="BW145" s="226"/>
      <c r="BX145" s="226"/>
    </row>
    <row r="146" spans="3:76" hidden="1">
      <c r="C146" s="317" t="s">
        <v>349</v>
      </c>
      <c r="D146" s="329">
        <f>D145+D144</f>
        <v>4260000</v>
      </c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6"/>
      <c r="AU146" s="226"/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6"/>
      <c r="BF146" s="226"/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6"/>
      <c r="BQ146" s="226"/>
      <c r="BR146" s="226"/>
      <c r="BS146" s="226"/>
      <c r="BT146" s="226"/>
      <c r="BU146" s="226"/>
      <c r="BV146" s="226"/>
      <c r="BW146" s="226"/>
      <c r="BX146" s="226"/>
    </row>
    <row r="147" spans="3:76" hidden="1">
      <c r="C147" s="317" t="s">
        <v>350</v>
      </c>
      <c r="D147" s="329">
        <f>BX138+BX139</f>
        <v>0</v>
      </c>
      <c r="E147" s="226"/>
      <c r="F147" s="226"/>
      <c r="G147" s="226"/>
      <c r="H147" s="226"/>
      <c r="I147" s="226"/>
      <c r="J147" s="226"/>
      <c r="K147" s="226"/>
      <c r="L147" s="226"/>
      <c r="M147" s="226"/>
      <c r="N147" s="226"/>
      <c r="O147" s="226"/>
      <c r="P147" s="226"/>
      <c r="Q147" s="226"/>
      <c r="R147" s="226"/>
      <c r="S147" s="235">
        <v>1500000</v>
      </c>
      <c r="T147" s="235">
        <v>500000</v>
      </c>
      <c r="U147" s="235">
        <v>6750000</v>
      </c>
      <c r="V147" s="235">
        <v>4000000</v>
      </c>
      <c r="W147" s="235">
        <v>2000000</v>
      </c>
      <c r="X147" s="235"/>
      <c r="Y147" s="235"/>
      <c r="Z147" s="235"/>
      <c r="AA147" s="235"/>
      <c r="AB147" s="226"/>
      <c r="AC147" s="226"/>
      <c r="AD147" s="226"/>
      <c r="AE147" s="226"/>
      <c r="AF147" s="226"/>
      <c r="AG147" s="226"/>
      <c r="AH147" s="226"/>
      <c r="AI147" s="226"/>
      <c r="AJ147" s="226"/>
      <c r="AK147" s="226"/>
      <c r="AL147" s="226"/>
      <c r="AM147" s="226"/>
      <c r="AN147" s="226"/>
      <c r="AO147" s="226"/>
      <c r="AP147" s="226"/>
      <c r="AQ147" s="226"/>
      <c r="AR147" s="226"/>
      <c r="AS147" s="226"/>
      <c r="AT147" s="226"/>
      <c r="AU147" s="226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6"/>
      <c r="BF147" s="226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6"/>
      <c r="BQ147" s="226"/>
      <c r="BR147" s="226"/>
      <c r="BS147" s="226"/>
      <c r="BT147" s="226"/>
      <c r="BU147" s="226"/>
      <c r="BV147" s="226"/>
      <c r="BW147" s="226"/>
      <c r="BX147" s="226"/>
    </row>
    <row r="148" spans="3:76" hidden="1">
      <c r="C148" s="317" t="s">
        <v>351</v>
      </c>
      <c r="D148" s="326">
        <f>(D147-D145)/D146</f>
        <v>0</v>
      </c>
      <c r="E148" s="226"/>
      <c r="F148" s="226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  <c r="AD148" s="226"/>
      <c r="AE148" s="226"/>
      <c r="AF148" s="226"/>
      <c r="AG148" s="226"/>
      <c r="AH148" s="226"/>
      <c r="AI148" s="226"/>
      <c r="AJ148" s="226"/>
      <c r="AK148" s="226"/>
      <c r="AL148" s="226"/>
      <c r="AM148" s="226"/>
      <c r="AN148" s="226"/>
      <c r="AO148" s="226"/>
      <c r="AP148" s="226"/>
      <c r="AQ148" s="226"/>
      <c r="AR148" s="226"/>
      <c r="AS148" s="226"/>
      <c r="AT148" s="226"/>
      <c r="AU148" s="226"/>
      <c r="AV148" s="226"/>
      <c r="AW148" s="226"/>
      <c r="AX148" s="226"/>
      <c r="AY148" s="226"/>
      <c r="AZ148" s="226"/>
      <c r="BA148" s="226"/>
      <c r="BB148" s="226"/>
      <c r="BC148" s="226"/>
      <c r="BD148" s="226"/>
      <c r="BE148" s="226"/>
      <c r="BF148" s="226"/>
      <c r="BG148" s="226"/>
      <c r="BH148" s="226"/>
      <c r="BI148" s="226"/>
      <c r="BJ148" s="226"/>
      <c r="BK148" s="226"/>
      <c r="BL148" s="226"/>
      <c r="BM148" s="226"/>
      <c r="BN148" s="226"/>
      <c r="BO148" s="226"/>
      <c r="BP148" s="226"/>
      <c r="BQ148" s="226"/>
      <c r="BR148" s="226"/>
      <c r="BS148" s="226"/>
      <c r="BT148" s="226"/>
      <c r="BU148" s="226"/>
      <c r="BV148" s="226"/>
      <c r="BW148" s="226"/>
      <c r="BX148" s="226"/>
    </row>
    <row r="149" spans="3:76" hidden="1">
      <c r="E149" s="226"/>
      <c r="F149" s="226"/>
      <c r="G149" s="226"/>
      <c r="H149" s="226"/>
      <c r="I149" s="226"/>
      <c r="J149" s="226"/>
      <c r="K149" s="226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6"/>
      <c r="AA149" s="226"/>
      <c r="AB149" s="226"/>
      <c r="AC149" s="226"/>
      <c r="AD149" s="226"/>
      <c r="AE149" s="226"/>
      <c r="AF149" s="226"/>
      <c r="AG149" s="226"/>
      <c r="AH149" s="226"/>
      <c r="AI149" s="226"/>
      <c r="AJ149" s="226"/>
      <c r="AK149" s="226"/>
      <c r="AL149" s="226"/>
      <c r="AM149" s="226"/>
      <c r="AN149" s="226"/>
      <c r="AO149" s="226"/>
      <c r="AP149" s="226"/>
      <c r="AQ149" s="226"/>
      <c r="AR149" s="226"/>
      <c r="AS149" s="226"/>
      <c r="AT149" s="226"/>
      <c r="AU149" s="226"/>
      <c r="AV149" s="226"/>
      <c r="AW149" s="226"/>
      <c r="AX149" s="226"/>
      <c r="AY149" s="226"/>
      <c r="AZ149" s="226"/>
      <c r="BA149" s="226"/>
      <c r="BB149" s="226"/>
      <c r="BC149" s="226"/>
      <c r="BD149" s="226"/>
      <c r="BE149" s="226"/>
      <c r="BF149" s="226"/>
      <c r="BG149" s="226"/>
      <c r="BH149" s="226"/>
      <c r="BI149" s="226"/>
      <c r="BJ149" s="226"/>
      <c r="BK149" s="226"/>
      <c r="BL149" s="226"/>
      <c r="BM149" s="226"/>
      <c r="BN149" s="226"/>
      <c r="BO149" s="226"/>
      <c r="BP149" s="226"/>
      <c r="BQ149" s="226"/>
      <c r="BR149" s="226"/>
      <c r="BS149" s="226"/>
      <c r="BT149" s="226"/>
      <c r="BU149" s="226"/>
      <c r="BV149" s="226"/>
      <c r="BW149" s="226"/>
      <c r="BX149" s="226"/>
    </row>
    <row r="150" spans="3:76" hidden="1">
      <c r="E150" s="226"/>
      <c r="F150" s="226"/>
      <c r="G150" s="226"/>
      <c r="H150" s="226"/>
      <c r="I150" s="226"/>
      <c r="J150" s="226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6"/>
      <c r="AA150" s="226"/>
      <c r="AB150" s="226"/>
      <c r="AC150" s="226"/>
      <c r="AD150" s="226"/>
      <c r="AE150" s="226"/>
      <c r="AF150" s="226"/>
      <c r="AG150" s="226"/>
      <c r="AH150" s="226"/>
      <c r="AI150" s="226"/>
      <c r="AJ150" s="226"/>
      <c r="AK150" s="226"/>
      <c r="AL150" s="226"/>
      <c r="AM150" s="226"/>
      <c r="AN150" s="226"/>
      <c r="AO150" s="226"/>
      <c r="AP150" s="226"/>
      <c r="AQ150" s="226"/>
      <c r="AR150" s="226"/>
      <c r="AS150" s="226"/>
      <c r="AT150" s="226"/>
      <c r="AU150" s="226"/>
      <c r="AV150" s="226"/>
      <c r="AW150" s="226"/>
      <c r="AX150" s="226"/>
      <c r="AY150" s="226"/>
      <c r="AZ150" s="226"/>
      <c r="BA150" s="226"/>
      <c r="BB150" s="226"/>
      <c r="BC150" s="226"/>
      <c r="BD150" s="226"/>
      <c r="BE150" s="226"/>
      <c r="BF150" s="226"/>
      <c r="BG150" s="226"/>
      <c r="BH150" s="226"/>
      <c r="BI150" s="226"/>
      <c r="BJ150" s="226"/>
      <c r="BK150" s="226"/>
      <c r="BL150" s="226"/>
      <c r="BM150" s="226"/>
      <c r="BN150" s="226"/>
      <c r="BO150" s="226"/>
      <c r="BP150" s="226"/>
      <c r="BQ150" s="226"/>
      <c r="BR150" s="226"/>
      <c r="BS150" s="226"/>
      <c r="BT150" s="226"/>
      <c r="BU150" s="226"/>
      <c r="BV150" s="226"/>
      <c r="BW150" s="226"/>
      <c r="BX150" s="226"/>
    </row>
    <row r="151" spans="3:76" hidden="1">
      <c r="E151" s="226"/>
      <c r="F151" s="226"/>
      <c r="G151" s="226"/>
      <c r="H151" s="226"/>
      <c r="I151" s="226"/>
      <c r="J151" s="226"/>
      <c r="K151" s="226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6"/>
      <c r="AA151" s="226"/>
      <c r="AB151" s="226"/>
      <c r="AC151" s="226"/>
      <c r="AD151" s="226"/>
      <c r="AE151" s="226"/>
      <c r="AF151" s="226"/>
      <c r="AG151" s="226"/>
      <c r="AH151" s="226"/>
      <c r="AI151" s="226"/>
      <c r="AJ151" s="226"/>
      <c r="AK151" s="226"/>
      <c r="AL151" s="226"/>
      <c r="AM151" s="226"/>
      <c r="AN151" s="226"/>
      <c r="AO151" s="226"/>
      <c r="AP151" s="226"/>
      <c r="AQ151" s="226"/>
      <c r="AR151" s="226"/>
      <c r="AS151" s="226"/>
      <c r="AT151" s="226"/>
      <c r="AU151" s="226"/>
      <c r="AV151" s="226"/>
      <c r="AW151" s="226"/>
      <c r="AX151" s="226"/>
      <c r="AY151" s="226"/>
      <c r="AZ151" s="226"/>
      <c r="BA151" s="226"/>
      <c r="BB151" s="226"/>
      <c r="BC151" s="226"/>
      <c r="BD151" s="226"/>
      <c r="BE151" s="226"/>
      <c r="BF151" s="226"/>
      <c r="BG151" s="226"/>
      <c r="BH151" s="226"/>
      <c r="BI151" s="226"/>
      <c r="BJ151" s="226"/>
      <c r="BK151" s="226"/>
      <c r="BL151" s="226"/>
      <c r="BM151" s="226"/>
      <c r="BN151" s="226"/>
      <c r="BO151" s="226"/>
      <c r="BP151" s="226"/>
      <c r="BQ151" s="226"/>
      <c r="BR151" s="226"/>
      <c r="BS151" s="226"/>
      <c r="BT151" s="226"/>
      <c r="BU151" s="226"/>
      <c r="BV151" s="226"/>
      <c r="BW151" s="226"/>
      <c r="BX151" s="226"/>
    </row>
    <row r="152" spans="3:76" hidden="1">
      <c r="C152" s="314" t="s">
        <v>355</v>
      </c>
      <c r="D152" s="315"/>
      <c r="E152" s="316">
        <f t="shared" ref="E152:G152" si="53">-(E24+E116)</f>
        <v>0</v>
      </c>
      <c r="F152" s="316">
        <f t="shared" si="53"/>
        <v>0</v>
      </c>
      <c r="G152" s="316">
        <f t="shared" si="53"/>
        <v>0</v>
      </c>
      <c r="H152" s="316">
        <f>-10682501</f>
        <v>-10682501</v>
      </c>
      <c r="I152" s="316">
        <v>0</v>
      </c>
      <c r="J152" s="316">
        <f>-(J24+J116)</f>
        <v>0</v>
      </c>
      <c r="K152" s="316">
        <v>0</v>
      </c>
      <c r="L152" s="316">
        <f t="shared" ref="L152:S152" si="54">-(L24+L116)</f>
        <v>15913.92</v>
      </c>
      <c r="M152" s="316">
        <f t="shared" si="54"/>
        <v>0</v>
      </c>
      <c r="N152" s="316">
        <f t="shared" si="54"/>
        <v>0</v>
      </c>
      <c r="O152" s="316">
        <f t="shared" si="54"/>
        <v>0</v>
      </c>
      <c r="P152" s="316">
        <f t="shared" si="54"/>
        <v>0</v>
      </c>
      <c r="Q152" s="316">
        <f t="shared" si="54"/>
        <v>36051</v>
      </c>
      <c r="R152" s="316">
        <f t="shared" si="54"/>
        <v>314600</v>
      </c>
      <c r="S152" s="316">
        <f t="shared" si="54"/>
        <v>0</v>
      </c>
      <c r="T152" s="316">
        <f>-H152</f>
        <v>10682501</v>
      </c>
      <c r="U152" s="316">
        <f t="shared" ref="U152:Z152" si="55">-(U24+U116)</f>
        <v>471900</v>
      </c>
      <c r="V152" s="316">
        <f t="shared" si="55"/>
        <v>0</v>
      </c>
      <c r="W152" s="316">
        <f t="shared" si="55"/>
        <v>0</v>
      </c>
      <c r="X152" s="316">
        <f t="shared" si="55"/>
        <v>0</v>
      </c>
      <c r="Y152" s="316">
        <f t="shared" si="55"/>
        <v>0</v>
      </c>
      <c r="Z152" s="316">
        <f t="shared" si="55"/>
        <v>0</v>
      </c>
      <c r="AA152" s="316"/>
      <c r="AB152" s="316">
        <f t="shared" ref="AB152:AE152" si="56">-(AB24+AB116)</f>
        <v>0</v>
      </c>
      <c r="AC152" s="316">
        <f t="shared" si="56"/>
        <v>0</v>
      </c>
      <c r="AD152" s="316">
        <f t="shared" si="56"/>
        <v>0</v>
      </c>
      <c r="AE152" s="316">
        <f t="shared" si="56"/>
        <v>0</v>
      </c>
      <c r="AF152" s="316"/>
      <c r="AG152" s="316"/>
      <c r="AH152" s="316"/>
      <c r="AI152" s="316"/>
      <c r="AJ152" s="316"/>
      <c r="AK152" s="316">
        <f t="shared" ref="AK152:BX152" si="57">-(AK24+AK116)</f>
        <v>0</v>
      </c>
      <c r="AL152" s="316">
        <f t="shared" si="57"/>
        <v>0</v>
      </c>
      <c r="AM152" s="316">
        <f t="shared" si="57"/>
        <v>0</v>
      </c>
      <c r="AN152" s="316">
        <f t="shared" si="57"/>
        <v>0</v>
      </c>
      <c r="AO152" s="316">
        <f t="shared" si="57"/>
        <v>0</v>
      </c>
      <c r="AP152" s="316">
        <f t="shared" si="57"/>
        <v>0</v>
      </c>
      <c r="AQ152" s="316">
        <f t="shared" si="57"/>
        <v>0</v>
      </c>
      <c r="AR152" s="316">
        <f t="shared" si="57"/>
        <v>0</v>
      </c>
      <c r="AS152" s="316">
        <f t="shared" si="57"/>
        <v>0</v>
      </c>
      <c r="AT152" s="316">
        <f t="shared" si="57"/>
        <v>0</v>
      </c>
      <c r="AU152" s="316">
        <f t="shared" si="57"/>
        <v>0</v>
      </c>
      <c r="AV152" s="316">
        <f t="shared" si="57"/>
        <v>0</v>
      </c>
      <c r="AW152" s="316">
        <f t="shared" si="57"/>
        <v>0</v>
      </c>
      <c r="AX152" s="316">
        <f t="shared" si="57"/>
        <v>0</v>
      </c>
      <c r="AY152" s="316">
        <f t="shared" si="57"/>
        <v>0</v>
      </c>
      <c r="AZ152" s="316">
        <f t="shared" si="57"/>
        <v>0</v>
      </c>
      <c r="BA152" s="316">
        <f t="shared" si="57"/>
        <v>0</v>
      </c>
      <c r="BB152" s="316">
        <f t="shared" si="57"/>
        <v>0</v>
      </c>
      <c r="BC152" s="316">
        <f t="shared" si="57"/>
        <v>0</v>
      </c>
      <c r="BD152" s="316">
        <f t="shared" si="57"/>
        <v>0</v>
      </c>
      <c r="BE152" s="316">
        <f t="shared" si="57"/>
        <v>0</v>
      </c>
      <c r="BF152" s="316">
        <f t="shared" si="57"/>
        <v>0</v>
      </c>
      <c r="BG152" s="316">
        <f t="shared" si="57"/>
        <v>0</v>
      </c>
      <c r="BH152" s="316">
        <f t="shared" si="57"/>
        <v>0</v>
      </c>
      <c r="BI152" s="316">
        <f t="shared" si="57"/>
        <v>0</v>
      </c>
      <c r="BJ152" s="316">
        <f t="shared" si="57"/>
        <v>0</v>
      </c>
      <c r="BK152" s="316">
        <f t="shared" si="57"/>
        <v>0</v>
      </c>
      <c r="BL152" s="316">
        <f t="shared" si="57"/>
        <v>0</v>
      </c>
      <c r="BM152" s="316">
        <f t="shared" si="57"/>
        <v>0</v>
      </c>
      <c r="BN152" s="316">
        <f t="shared" si="57"/>
        <v>0</v>
      </c>
      <c r="BO152" s="316">
        <f t="shared" si="57"/>
        <v>0</v>
      </c>
      <c r="BP152" s="316">
        <f t="shared" si="57"/>
        <v>0</v>
      </c>
      <c r="BQ152" s="316">
        <f t="shared" si="57"/>
        <v>0</v>
      </c>
      <c r="BR152" s="316">
        <f t="shared" si="57"/>
        <v>0</v>
      </c>
      <c r="BS152" s="316">
        <f t="shared" si="57"/>
        <v>0</v>
      </c>
      <c r="BT152" s="316">
        <f t="shared" si="57"/>
        <v>0</v>
      </c>
      <c r="BU152" s="316">
        <f t="shared" si="57"/>
        <v>0</v>
      </c>
      <c r="BV152" s="316">
        <f t="shared" si="57"/>
        <v>0</v>
      </c>
      <c r="BW152" s="316">
        <f t="shared" si="57"/>
        <v>0</v>
      </c>
      <c r="BX152" s="316">
        <f t="shared" si="57"/>
        <v>0</v>
      </c>
    </row>
    <row r="153" spans="3:76" hidden="1">
      <c r="C153" s="314" t="s">
        <v>353</v>
      </c>
      <c r="D153" s="323"/>
      <c r="E153" s="315"/>
      <c r="F153" s="315"/>
      <c r="G153" s="315"/>
      <c r="H153" s="315"/>
      <c r="I153" s="315"/>
      <c r="J153" s="315"/>
      <c r="K153" s="315"/>
      <c r="L153" s="315"/>
      <c r="M153" s="315"/>
      <c r="N153" s="315"/>
      <c r="O153" s="315"/>
      <c r="P153" s="315"/>
      <c r="Q153" s="315"/>
      <c r="R153" s="315"/>
      <c r="S153" s="315"/>
      <c r="T153" s="315"/>
      <c r="U153" s="315"/>
      <c r="V153" s="315"/>
      <c r="W153" s="315"/>
      <c r="X153" s="315"/>
      <c r="Y153" s="315"/>
      <c r="Z153" s="315"/>
      <c r="AA153" s="315"/>
      <c r="AB153" s="315"/>
      <c r="AC153" s="315"/>
      <c r="AD153" s="315"/>
      <c r="AE153" s="315"/>
      <c r="AF153" s="315"/>
      <c r="AG153" s="315"/>
      <c r="AH153" s="315"/>
      <c r="AI153" s="315"/>
      <c r="AJ153" s="315"/>
      <c r="AK153" s="315"/>
      <c r="AL153" s="315"/>
      <c r="AM153" s="315"/>
      <c r="AN153" s="315"/>
      <c r="AO153" s="315"/>
      <c r="AP153" s="315"/>
      <c r="AQ153" s="315"/>
      <c r="AR153" s="315"/>
      <c r="AS153" s="315"/>
      <c r="AT153" s="315"/>
      <c r="AU153" s="315"/>
      <c r="AV153" s="315"/>
      <c r="AW153" s="315"/>
      <c r="AX153" s="315"/>
      <c r="AY153" s="315"/>
      <c r="AZ153" s="315"/>
      <c r="BA153" s="315"/>
      <c r="BB153" s="315"/>
      <c r="BC153" s="316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</row>
    <row r="154" spans="3:76" hidden="1">
      <c r="C154" s="314" t="s">
        <v>343</v>
      </c>
      <c r="D154" s="323"/>
      <c r="E154" s="315">
        <f t="shared" ref="E154:Z154" si="58">-E75</f>
        <v>0</v>
      </c>
      <c r="F154" s="315">
        <f t="shared" si="58"/>
        <v>0</v>
      </c>
      <c r="G154" s="315">
        <f t="shared" si="58"/>
        <v>0</v>
      </c>
      <c r="H154" s="315">
        <f t="shared" si="58"/>
        <v>0</v>
      </c>
      <c r="I154" s="315">
        <f t="shared" si="58"/>
        <v>0</v>
      </c>
      <c r="J154" s="315">
        <f t="shared" si="58"/>
        <v>0</v>
      </c>
      <c r="K154" s="315">
        <f t="shared" si="58"/>
        <v>0</v>
      </c>
      <c r="L154" s="315">
        <f t="shared" si="58"/>
        <v>0</v>
      </c>
      <c r="M154" s="315">
        <f t="shared" si="58"/>
        <v>0</v>
      </c>
      <c r="N154" s="315">
        <f t="shared" si="58"/>
        <v>0</v>
      </c>
      <c r="O154" s="315">
        <f t="shared" si="58"/>
        <v>0</v>
      </c>
      <c r="P154" s="315">
        <f t="shared" si="58"/>
        <v>0</v>
      </c>
      <c r="Q154" s="315">
        <f t="shared" si="58"/>
        <v>0</v>
      </c>
      <c r="R154" s="315">
        <f t="shared" si="58"/>
        <v>0</v>
      </c>
      <c r="S154" s="315">
        <f t="shared" si="58"/>
        <v>0</v>
      </c>
      <c r="T154" s="315">
        <f t="shared" si="58"/>
        <v>0</v>
      </c>
      <c r="U154" s="315">
        <f t="shared" si="58"/>
        <v>0</v>
      </c>
      <c r="V154" s="315">
        <f t="shared" si="58"/>
        <v>0</v>
      </c>
      <c r="W154" s="315">
        <f t="shared" si="58"/>
        <v>0</v>
      </c>
      <c r="X154" s="315">
        <f t="shared" si="58"/>
        <v>0</v>
      </c>
      <c r="Y154" s="315">
        <f t="shared" si="58"/>
        <v>0</v>
      </c>
      <c r="Z154" s="315">
        <f t="shared" si="58"/>
        <v>0</v>
      </c>
      <c r="AA154" s="315"/>
      <c r="AB154" s="315">
        <f t="shared" ref="AB154:AE154" si="59">-AB75</f>
        <v>0</v>
      </c>
      <c r="AC154" s="315">
        <f t="shared" si="59"/>
        <v>0</v>
      </c>
      <c r="AD154" s="315">
        <f t="shared" si="59"/>
        <v>0</v>
      </c>
      <c r="AE154" s="315">
        <f t="shared" si="59"/>
        <v>0</v>
      </c>
      <c r="AF154" s="315"/>
      <c r="AG154" s="315"/>
      <c r="AH154" s="315"/>
      <c r="AI154" s="315"/>
      <c r="AJ154" s="315"/>
      <c r="AK154" s="315">
        <f t="shared" ref="AK154:BX154" si="60">-AK75</f>
        <v>0</v>
      </c>
      <c r="AL154" s="315">
        <f t="shared" si="60"/>
        <v>0</v>
      </c>
      <c r="AM154" s="315">
        <f t="shared" si="60"/>
        <v>0</v>
      </c>
      <c r="AN154" s="315">
        <f t="shared" si="60"/>
        <v>0</v>
      </c>
      <c r="AO154" s="315">
        <f t="shared" si="60"/>
        <v>0</v>
      </c>
      <c r="AP154" s="315">
        <f t="shared" si="60"/>
        <v>0</v>
      </c>
      <c r="AQ154" s="315">
        <f t="shared" si="60"/>
        <v>0</v>
      </c>
      <c r="AR154" s="315">
        <f t="shared" si="60"/>
        <v>0</v>
      </c>
      <c r="AS154" s="315">
        <f t="shared" si="60"/>
        <v>0</v>
      </c>
      <c r="AT154" s="315">
        <f t="shared" si="60"/>
        <v>0</v>
      </c>
      <c r="AU154" s="315">
        <f t="shared" si="60"/>
        <v>0</v>
      </c>
      <c r="AV154" s="315">
        <f t="shared" si="60"/>
        <v>0</v>
      </c>
      <c r="AW154" s="315">
        <f t="shared" si="60"/>
        <v>0</v>
      </c>
      <c r="AX154" s="315">
        <f t="shared" si="60"/>
        <v>0</v>
      </c>
      <c r="AY154" s="315">
        <f t="shared" si="60"/>
        <v>0</v>
      </c>
      <c r="AZ154" s="315">
        <f t="shared" si="60"/>
        <v>0</v>
      </c>
      <c r="BA154" s="315">
        <f t="shared" si="60"/>
        <v>0</v>
      </c>
      <c r="BB154" s="315">
        <f t="shared" si="60"/>
        <v>0</v>
      </c>
      <c r="BC154" s="315">
        <f t="shared" si="60"/>
        <v>0</v>
      </c>
      <c r="BD154" s="315">
        <f t="shared" si="60"/>
        <v>0</v>
      </c>
      <c r="BE154" s="315">
        <f t="shared" si="60"/>
        <v>0</v>
      </c>
      <c r="BF154" s="315">
        <f t="shared" si="60"/>
        <v>0</v>
      </c>
      <c r="BG154" s="315">
        <f t="shared" si="60"/>
        <v>0</v>
      </c>
      <c r="BH154" s="315">
        <f t="shared" si="60"/>
        <v>0</v>
      </c>
      <c r="BI154" s="315">
        <f t="shared" si="60"/>
        <v>0</v>
      </c>
      <c r="BJ154" s="315">
        <f t="shared" si="60"/>
        <v>0</v>
      </c>
      <c r="BK154" s="315">
        <f t="shared" si="60"/>
        <v>0</v>
      </c>
      <c r="BL154" s="315">
        <f t="shared" si="60"/>
        <v>0</v>
      </c>
      <c r="BM154" s="315">
        <f t="shared" si="60"/>
        <v>0</v>
      </c>
      <c r="BN154" s="315">
        <f t="shared" si="60"/>
        <v>0</v>
      </c>
      <c r="BO154" s="315">
        <f t="shared" si="60"/>
        <v>0</v>
      </c>
      <c r="BP154" s="315">
        <f t="shared" si="60"/>
        <v>0</v>
      </c>
      <c r="BQ154" s="315">
        <f t="shared" si="60"/>
        <v>0</v>
      </c>
      <c r="BR154" s="315">
        <f t="shared" si="60"/>
        <v>0</v>
      </c>
      <c r="BS154" s="315">
        <f t="shared" si="60"/>
        <v>0</v>
      </c>
      <c r="BT154" s="315">
        <f t="shared" si="60"/>
        <v>0</v>
      </c>
      <c r="BU154" s="315">
        <f t="shared" si="60"/>
        <v>0</v>
      </c>
      <c r="BV154" s="315">
        <f t="shared" si="60"/>
        <v>0</v>
      </c>
      <c r="BW154" s="315">
        <f t="shared" si="60"/>
        <v>0</v>
      </c>
      <c r="BX154" s="315">
        <f t="shared" si="60"/>
        <v>0</v>
      </c>
    </row>
    <row r="155" spans="3:76" hidden="1">
      <c r="C155" s="314" t="s">
        <v>344</v>
      </c>
      <c r="D155" s="323"/>
      <c r="E155" s="315"/>
      <c r="F155" s="315"/>
      <c r="G155" s="315"/>
      <c r="H155" s="315"/>
      <c r="I155" s="315"/>
      <c r="J155" s="315"/>
      <c r="K155" s="315"/>
      <c r="L155" s="315"/>
      <c r="M155" s="315"/>
      <c r="N155" s="315"/>
      <c r="O155" s="315"/>
      <c r="P155" s="315"/>
      <c r="Q155" s="315"/>
      <c r="R155" s="315"/>
      <c r="S155" s="315"/>
      <c r="T155" s="315">
        <f>5500000</f>
        <v>5500000</v>
      </c>
      <c r="U155" s="315"/>
      <c r="V155" s="315"/>
      <c r="W155" s="315"/>
      <c r="X155" s="315"/>
      <c r="Y155" s="315"/>
      <c r="Z155" s="315"/>
      <c r="AA155" s="315"/>
      <c r="AB155" s="315"/>
      <c r="AC155" s="315"/>
      <c r="AD155" s="315"/>
      <c r="AE155" s="315"/>
      <c r="AF155" s="315"/>
      <c r="AG155" s="315"/>
      <c r="AH155" s="315"/>
      <c r="AI155" s="315"/>
      <c r="AJ155" s="315"/>
      <c r="AK155" s="315"/>
      <c r="AL155" s="315"/>
      <c r="AM155" s="315"/>
      <c r="AN155" s="315"/>
      <c r="AO155" s="315"/>
      <c r="AP155" s="315"/>
      <c r="AQ155" s="315"/>
      <c r="AR155" s="315"/>
      <c r="AS155" s="315"/>
      <c r="AT155" s="315"/>
      <c r="AU155" s="315"/>
      <c r="AV155" s="315"/>
      <c r="AW155" s="315"/>
      <c r="AX155" s="315"/>
      <c r="AY155" s="315"/>
      <c r="AZ155" s="315"/>
      <c r="BA155" s="315"/>
      <c r="BB155" s="315"/>
      <c r="BC155" s="316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>
        <f>IF(D127&gt;0.25,(BX122-BX130)*D156,BX122*D156)</f>
        <v>0</v>
      </c>
    </row>
    <row r="156" spans="3:76" hidden="1">
      <c r="C156" s="317" t="s">
        <v>345</v>
      </c>
      <c r="D156" s="323">
        <v>0</v>
      </c>
      <c r="E156" s="315"/>
      <c r="F156" s="315"/>
      <c r="G156" s="315"/>
      <c r="H156" s="315"/>
      <c r="I156" s="315"/>
      <c r="J156" s="315"/>
      <c r="K156" s="315"/>
      <c r="L156" s="315"/>
      <c r="M156" s="315"/>
      <c r="N156" s="315"/>
      <c r="O156" s="315"/>
      <c r="P156" s="315"/>
      <c r="Q156" s="315"/>
      <c r="R156" s="315"/>
      <c r="S156" s="315"/>
      <c r="T156" s="315"/>
      <c r="U156" s="315"/>
      <c r="V156" s="315"/>
      <c r="W156" s="315"/>
      <c r="X156" s="315"/>
      <c r="Y156" s="315"/>
      <c r="Z156" s="315"/>
      <c r="AA156" s="315"/>
      <c r="AB156" s="315"/>
      <c r="AC156" s="315"/>
      <c r="AD156" s="315"/>
      <c r="AE156" s="315"/>
      <c r="AF156" s="315"/>
      <c r="AG156" s="315"/>
      <c r="AH156" s="315"/>
      <c r="AI156" s="315"/>
      <c r="AJ156" s="315"/>
      <c r="AK156" s="315"/>
      <c r="AL156" s="315"/>
      <c r="AM156" s="315"/>
      <c r="AN156" s="315"/>
      <c r="AO156" s="315"/>
      <c r="AP156" s="315"/>
      <c r="AQ156" s="315"/>
      <c r="AR156" s="315"/>
      <c r="AS156" s="315"/>
      <c r="AT156" s="315"/>
      <c r="AU156" s="315"/>
      <c r="AV156" s="315"/>
      <c r="AW156" s="315"/>
      <c r="AX156" s="315"/>
      <c r="AY156" s="315"/>
      <c r="AZ156" s="315"/>
      <c r="BA156" s="315"/>
      <c r="BB156" s="315"/>
      <c r="BC156" s="316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</row>
    <row r="157" spans="3:76" hidden="1">
      <c r="C157" s="314" t="s">
        <v>346</v>
      </c>
      <c r="D157" s="315"/>
      <c r="E157" s="325">
        <f t="shared" ref="E157:Z157" si="61">E152+E153+E154+E155+E156</f>
        <v>0</v>
      </c>
      <c r="F157" s="325">
        <f t="shared" si="61"/>
        <v>0</v>
      </c>
      <c r="G157" s="325">
        <f t="shared" si="61"/>
        <v>0</v>
      </c>
      <c r="H157" s="325">
        <f t="shared" si="61"/>
        <v>-10682501</v>
      </c>
      <c r="I157" s="325">
        <f t="shared" si="61"/>
        <v>0</v>
      </c>
      <c r="J157" s="325">
        <f t="shared" si="61"/>
        <v>0</v>
      </c>
      <c r="K157" s="325">
        <f t="shared" si="61"/>
        <v>0</v>
      </c>
      <c r="L157" s="325">
        <f t="shared" si="61"/>
        <v>15913.92</v>
      </c>
      <c r="M157" s="325">
        <f t="shared" si="61"/>
        <v>0</v>
      </c>
      <c r="N157" s="325">
        <f t="shared" si="61"/>
        <v>0</v>
      </c>
      <c r="O157" s="325">
        <f t="shared" si="61"/>
        <v>0</v>
      </c>
      <c r="P157" s="325">
        <f t="shared" si="61"/>
        <v>0</v>
      </c>
      <c r="Q157" s="325">
        <f t="shared" si="61"/>
        <v>36051</v>
      </c>
      <c r="R157" s="325">
        <f t="shared" si="61"/>
        <v>314600</v>
      </c>
      <c r="S157" s="325">
        <f t="shared" si="61"/>
        <v>0</v>
      </c>
      <c r="T157" s="325">
        <f t="shared" si="61"/>
        <v>16182501</v>
      </c>
      <c r="U157" s="325">
        <f t="shared" si="61"/>
        <v>471900</v>
      </c>
      <c r="V157" s="325">
        <f t="shared" si="61"/>
        <v>0</v>
      </c>
      <c r="W157" s="325">
        <f t="shared" si="61"/>
        <v>0</v>
      </c>
      <c r="X157" s="325">
        <f t="shared" si="61"/>
        <v>0</v>
      </c>
      <c r="Y157" s="325">
        <f t="shared" si="61"/>
        <v>0</v>
      </c>
      <c r="Z157" s="325">
        <f t="shared" si="61"/>
        <v>0</v>
      </c>
      <c r="AA157" s="325"/>
      <c r="AB157" s="325">
        <f t="shared" ref="AB157:AE157" si="62">AB152+AB153+AB154+AB155+AB156</f>
        <v>0</v>
      </c>
      <c r="AC157" s="325">
        <f t="shared" si="62"/>
        <v>0</v>
      </c>
      <c r="AD157" s="325">
        <f t="shared" si="62"/>
        <v>0</v>
      </c>
      <c r="AE157" s="325">
        <f t="shared" si="62"/>
        <v>0</v>
      </c>
      <c r="AF157" s="325"/>
      <c r="AG157" s="325"/>
      <c r="AH157" s="325"/>
      <c r="AI157" s="325"/>
      <c r="AJ157" s="325"/>
      <c r="AK157" s="325">
        <f t="shared" ref="AK157:BX157" si="63">AK152+AK153+AK154+AK155+AK156</f>
        <v>0</v>
      </c>
      <c r="AL157" s="325">
        <f t="shared" si="63"/>
        <v>0</v>
      </c>
      <c r="AM157" s="325">
        <f t="shared" si="63"/>
        <v>0</v>
      </c>
      <c r="AN157" s="325">
        <f t="shared" si="63"/>
        <v>0</v>
      </c>
      <c r="AO157" s="325">
        <f t="shared" si="63"/>
        <v>0</v>
      </c>
      <c r="AP157" s="325">
        <f t="shared" si="63"/>
        <v>0</v>
      </c>
      <c r="AQ157" s="325">
        <f t="shared" si="63"/>
        <v>0</v>
      </c>
      <c r="AR157" s="325">
        <f t="shared" si="63"/>
        <v>0</v>
      </c>
      <c r="AS157" s="325">
        <f t="shared" si="63"/>
        <v>0</v>
      </c>
      <c r="AT157" s="325">
        <f t="shared" si="63"/>
        <v>0</v>
      </c>
      <c r="AU157" s="325">
        <f t="shared" si="63"/>
        <v>0</v>
      </c>
      <c r="AV157" s="325">
        <f t="shared" si="63"/>
        <v>0</v>
      </c>
      <c r="AW157" s="325">
        <f t="shared" si="63"/>
        <v>0</v>
      </c>
      <c r="AX157" s="325">
        <f t="shared" si="63"/>
        <v>0</v>
      </c>
      <c r="AY157" s="325">
        <f t="shared" si="63"/>
        <v>0</v>
      </c>
      <c r="AZ157" s="325">
        <f t="shared" si="63"/>
        <v>0</v>
      </c>
      <c r="BA157" s="325">
        <f t="shared" si="63"/>
        <v>0</v>
      </c>
      <c r="BB157" s="325">
        <f t="shared" si="63"/>
        <v>0</v>
      </c>
      <c r="BC157" s="325">
        <f t="shared" si="63"/>
        <v>0</v>
      </c>
      <c r="BD157" s="325">
        <f t="shared" si="63"/>
        <v>0</v>
      </c>
      <c r="BE157" s="325">
        <f t="shared" si="63"/>
        <v>0</v>
      </c>
      <c r="BF157" s="325">
        <f t="shared" si="63"/>
        <v>0</v>
      </c>
      <c r="BG157" s="325">
        <f t="shared" si="63"/>
        <v>0</v>
      </c>
      <c r="BH157" s="325">
        <f t="shared" si="63"/>
        <v>0</v>
      </c>
      <c r="BI157" s="325">
        <f t="shared" si="63"/>
        <v>0</v>
      </c>
      <c r="BJ157" s="325">
        <f t="shared" si="63"/>
        <v>0</v>
      </c>
      <c r="BK157" s="325">
        <f t="shared" si="63"/>
        <v>0</v>
      </c>
      <c r="BL157" s="325">
        <f t="shared" si="63"/>
        <v>0</v>
      </c>
      <c r="BM157" s="325">
        <f t="shared" si="63"/>
        <v>0</v>
      </c>
      <c r="BN157" s="325">
        <f t="shared" si="63"/>
        <v>0</v>
      </c>
      <c r="BO157" s="325">
        <f t="shared" si="63"/>
        <v>0</v>
      </c>
      <c r="BP157" s="325">
        <f t="shared" si="63"/>
        <v>0</v>
      </c>
      <c r="BQ157" s="325">
        <f t="shared" si="63"/>
        <v>0</v>
      </c>
      <c r="BR157" s="325">
        <f t="shared" si="63"/>
        <v>0</v>
      </c>
      <c r="BS157" s="325">
        <f t="shared" si="63"/>
        <v>0</v>
      </c>
      <c r="BT157" s="325">
        <f t="shared" si="63"/>
        <v>0</v>
      </c>
      <c r="BU157" s="325">
        <f t="shared" si="63"/>
        <v>0</v>
      </c>
      <c r="BV157" s="325">
        <f t="shared" si="63"/>
        <v>0</v>
      </c>
      <c r="BW157" s="325">
        <f t="shared" si="63"/>
        <v>0</v>
      </c>
      <c r="BX157" s="325">
        <f t="shared" si="63"/>
        <v>0</v>
      </c>
    </row>
    <row r="158" spans="3:76" hidden="1">
      <c r="C158" s="318"/>
      <c r="D158" s="326" t="s">
        <v>354</v>
      </c>
      <c r="E158" s="330">
        <f>E157</f>
        <v>0</v>
      </c>
      <c r="F158" s="330">
        <f t="shared" ref="F158:Z158" si="64">E158+F157</f>
        <v>0</v>
      </c>
      <c r="G158" s="330">
        <f t="shared" si="64"/>
        <v>0</v>
      </c>
      <c r="H158" s="330">
        <f t="shared" si="64"/>
        <v>-10682501</v>
      </c>
      <c r="I158" s="330">
        <f t="shared" si="64"/>
        <v>-10682501</v>
      </c>
      <c r="J158" s="330">
        <f t="shared" si="64"/>
        <v>-10682501</v>
      </c>
      <c r="K158" s="330">
        <f t="shared" si="64"/>
        <v>-10682501</v>
      </c>
      <c r="L158" s="330">
        <f t="shared" si="64"/>
        <v>-10666587.08</v>
      </c>
      <c r="M158" s="330">
        <f t="shared" si="64"/>
        <v>-10666587.08</v>
      </c>
      <c r="N158" s="330">
        <f t="shared" si="64"/>
        <v>-10666587.08</v>
      </c>
      <c r="O158" s="330">
        <f t="shared" si="64"/>
        <v>-10666587.08</v>
      </c>
      <c r="P158" s="330">
        <f t="shared" si="64"/>
        <v>-10666587.08</v>
      </c>
      <c r="Q158" s="330">
        <f t="shared" si="64"/>
        <v>-10630536.08</v>
      </c>
      <c r="R158" s="330">
        <f t="shared" si="64"/>
        <v>-10315936.08</v>
      </c>
      <c r="S158" s="330">
        <f t="shared" si="64"/>
        <v>-10315936.08</v>
      </c>
      <c r="T158" s="330">
        <f t="shared" si="64"/>
        <v>5866564.9199999999</v>
      </c>
      <c r="U158" s="330">
        <f t="shared" si="64"/>
        <v>6338464.9199999999</v>
      </c>
      <c r="V158" s="331">
        <f t="shared" si="64"/>
        <v>6338464.9199999999</v>
      </c>
      <c r="W158" s="331">
        <f t="shared" si="64"/>
        <v>6338464.9199999999</v>
      </c>
      <c r="X158" s="331">
        <f t="shared" si="64"/>
        <v>6338464.9199999999</v>
      </c>
      <c r="Y158" s="331">
        <f t="shared" si="64"/>
        <v>6338464.9199999999</v>
      </c>
      <c r="Z158" s="331">
        <f t="shared" si="64"/>
        <v>6338464.9199999999</v>
      </c>
      <c r="AA158" s="331"/>
      <c r="AB158" s="331">
        <f t="shared" ref="AB158:AE158" si="65">AA158+AB157</f>
        <v>0</v>
      </c>
      <c r="AC158" s="331">
        <f t="shared" si="65"/>
        <v>0</v>
      </c>
      <c r="AD158" s="331">
        <f t="shared" si="65"/>
        <v>0</v>
      </c>
      <c r="AE158" s="331">
        <f t="shared" si="65"/>
        <v>0</v>
      </c>
      <c r="AF158" s="331"/>
      <c r="AG158" s="331"/>
      <c r="AH158" s="331"/>
      <c r="AI158" s="331"/>
      <c r="AJ158" s="331"/>
      <c r="AK158" s="331">
        <f t="shared" ref="AK158:BX158" si="66">AJ158+AK157</f>
        <v>0</v>
      </c>
      <c r="AL158" s="331">
        <f t="shared" si="66"/>
        <v>0</v>
      </c>
      <c r="AM158" s="331">
        <f t="shared" si="66"/>
        <v>0</v>
      </c>
      <c r="AN158" s="331">
        <f t="shared" si="66"/>
        <v>0</v>
      </c>
      <c r="AO158" s="331">
        <f t="shared" si="66"/>
        <v>0</v>
      </c>
      <c r="AP158" s="331">
        <f t="shared" si="66"/>
        <v>0</v>
      </c>
      <c r="AQ158" s="331">
        <f t="shared" si="66"/>
        <v>0</v>
      </c>
      <c r="AR158" s="331">
        <f t="shared" si="66"/>
        <v>0</v>
      </c>
      <c r="AS158" s="331">
        <f t="shared" si="66"/>
        <v>0</v>
      </c>
      <c r="AT158" s="331">
        <f t="shared" si="66"/>
        <v>0</v>
      </c>
      <c r="AU158" s="331">
        <f t="shared" si="66"/>
        <v>0</v>
      </c>
      <c r="AV158" s="331">
        <f t="shared" si="66"/>
        <v>0</v>
      </c>
      <c r="AW158" s="331">
        <f t="shared" si="66"/>
        <v>0</v>
      </c>
      <c r="AX158" s="331">
        <f t="shared" si="66"/>
        <v>0</v>
      </c>
      <c r="AY158" s="331">
        <f t="shared" si="66"/>
        <v>0</v>
      </c>
      <c r="AZ158" s="331">
        <f t="shared" si="66"/>
        <v>0</v>
      </c>
      <c r="BA158" s="331">
        <f t="shared" si="66"/>
        <v>0</v>
      </c>
      <c r="BB158" s="331">
        <f t="shared" si="66"/>
        <v>0</v>
      </c>
      <c r="BC158" s="330">
        <f t="shared" si="66"/>
        <v>0</v>
      </c>
      <c r="BD158" s="330">
        <f t="shared" si="66"/>
        <v>0</v>
      </c>
      <c r="BE158" s="330">
        <f t="shared" si="66"/>
        <v>0</v>
      </c>
      <c r="BF158" s="330">
        <f t="shared" si="66"/>
        <v>0</v>
      </c>
      <c r="BG158" s="330">
        <f t="shared" si="66"/>
        <v>0</v>
      </c>
      <c r="BH158" s="330">
        <f t="shared" si="66"/>
        <v>0</v>
      </c>
      <c r="BI158" s="330">
        <f t="shared" si="66"/>
        <v>0</v>
      </c>
      <c r="BJ158" s="330">
        <f t="shared" si="66"/>
        <v>0</v>
      </c>
      <c r="BK158" s="330">
        <f t="shared" si="66"/>
        <v>0</v>
      </c>
      <c r="BL158" s="330">
        <f t="shared" si="66"/>
        <v>0</v>
      </c>
      <c r="BM158" s="330">
        <f t="shared" si="66"/>
        <v>0</v>
      </c>
      <c r="BN158" s="330">
        <f t="shared" si="66"/>
        <v>0</v>
      </c>
      <c r="BO158" s="330">
        <f t="shared" si="66"/>
        <v>0</v>
      </c>
      <c r="BP158" s="330">
        <f t="shared" si="66"/>
        <v>0</v>
      </c>
      <c r="BQ158" s="330">
        <f t="shared" si="66"/>
        <v>0</v>
      </c>
      <c r="BR158" s="330">
        <f t="shared" si="66"/>
        <v>0</v>
      </c>
      <c r="BS158" s="330">
        <f t="shared" si="66"/>
        <v>0</v>
      </c>
      <c r="BT158" s="330">
        <f t="shared" si="66"/>
        <v>0</v>
      </c>
      <c r="BU158" s="330">
        <f t="shared" si="66"/>
        <v>0</v>
      </c>
      <c r="BV158" s="330">
        <f t="shared" si="66"/>
        <v>0</v>
      </c>
      <c r="BW158" s="330">
        <f t="shared" si="66"/>
        <v>0</v>
      </c>
      <c r="BX158" s="330">
        <f t="shared" si="66"/>
        <v>0</v>
      </c>
    </row>
    <row r="159" spans="3:76" hidden="1">
      <c r="C159" s="317" t="s">
        <v>339</v>
      </c>
      <c r="D159" s="326">
        <f>IRR(H157:T157)*12</f>
        <v>0.44790369226741511</v>
      </c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  <c r="AG159" s="226"/>
      <c r="AH159" s="226"/>
      <c r="AI159" s="226"/>
      <c r="AJ159" s="226"/>
      <c r="AK159" s="226"/>
      <c r="AL159" s="226"/>
      <c r="AM159" s="226"/>
      <c r="AN159" s="226"/>
      <c r="AO159" s="226"/>
      <c r="AP159" s="226"/>
      <c r="AQ159" s="226"/>
      <c r="AR159" s="226"/>
      <c r="AS159" s="226"/>
      <c r="AT159" s="226"/>
      <c r="AU159" s="226"/>
      <c r="AV159" s="226"/>
      <c r="AW159" s="226"/>
      <c r="AX159" s="226"/>
      <c r="AY159" s="226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  <c r="BX159" s="226"/>
    </row>
    <row r="160" spans="3:76" hidden="1">
      <c r="C160" s="327" t="s">
        <v>347</v>
      </c>
      <c r="D160" s="328">
        <f>-MIN(M158:BL158)-D161</f>
        <v>10666587.08</v>
      </c>
      <c r="E160" s="226"/>
      <c r="F160" s="226"/>
      <c r="G160" s="226"/>
      <c r="H160" s="226"/>
      <c r="I160" s="226"/>
      <c r="J160" s="226"/>
      <c r="K160" s="226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6"/>
      <c r="AA160" s="226"/>
      <c r="AB160" s="226"/>
      <c r="AC160" s="226"/>
      <c r="AD160" s="226"/>
      <c r="AE160" s="226"/>
      <c r="AF160" s="226"/>
      <c r="AG160" s="226"/>
      <c r="AH160" s="226"/>
      <c r="AI160" s="226"/>
      <c r="AJ160" s="226"/>
      <c r="AK160" s="226"/>
      <c r="AL160" s="226"/>
      <c r="AM160" s="226"/>
      <c r="AN160" s="226"/>
      <c r="AO160" s="226"/>
      <c r="AP160" s="226"/>
      <c r="AQ160" s="226"/>
      <c r="AR160" s="226"/>
      <c r="AS160" s="226"/>
      <c r="AT160" s="226"/>
      <c r="AU160" s="226"/>
      <c r="AV160" s="226"/>
      <c r="AW160" s="226"/>
      <c r="AX160" s="226"/>
      <c r="AY160" s="226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  <c r="BX160" s="226"/>
    </row>
    <row r="161" spans="3:76" hidden="1">
      <c r="C161" s="327" t="s">
        <v>348</v>
      </c>
      <c r="D161" s="328">
        <f>-SUM(M156:BB156)</f>
        <v>0</v>
      </c>
      <c r="E161" s="226"/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  <c r="AC161" s="226"/>
      <c r="AD161" s="226"/>
      <c r="AE161" s="226"/>
      <c r="AF161" s="226"/>
      <c r="AG161" s="226"/>
      <c r="AH161" s="226"/>
      <c r="AI161" s="226"/>
      <c r="AJ161" s="226"/>
      <c r="AK161" s="226"/>
      <c r="AL161" s="226"/>
      <c r="AM161" s="226"/>
      <c r="AN161" s="226"/>
      <c r="AO161" s="226"/>
      <c r="AP161" s="226"/>
      <c r="AQ161" s="226"/>
      <c r="AR161" s="226"/>
      <c r="AS161" s="226"/>
      <c r="AT161" s="226"/>
      <c r="AU161" s="226"/>
      <c r="AV161" s="226"/>
      <c r="AW161" s="226"/>
      <c r="AX161" s="226"/>
      <c r="AY161" s="226"/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  <c r="BX161" s="226"/>
    </row>
    <row r="162" spans="3:76" hidden="1">
      <c r="C162" s="317" t="s">
        <v>349</v>
      </c>
      <c r="D162" s="329">
        <f>D161+D160</f>
        <v>10666587.08</v>
      </c>
      <c r="E162" s="226"/>
      <c r="F162" s="226"/>
      <c r="G162" s="226"/>
      <c r="H162" s="226"/>
      <c r="I162" s="226"/>
      <c r="J162" s="226"/>
      <c r="K162" s="226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6"/>
      <c r="AA162" s="226"/>
      <c r="AB162" s="226"/>
      <c r="AC162" s="226"/>
      <c r="AD162" s="226"/>
      <c r="AE162" s="226"/>
      <c r="AF162" s="226"/>
      <c r="AG162" s="226"/>
      <c r="AH162" s="226"/>
      <c r="AI162" s="226"/>
      <c r="AJ162" s="226"/>
      <c r="AK162" s="226"/>
      <c r="AL162" s="226"/>
      <c r="AM162" s="226"/>
      <c r="AN162" s="226"/>
      <c r="AO162" s="226"/>
      <c r="AP162" s="226"/>
      <c r="AQ162" s="226"/>
      <c r="AR162" s="226"/>
      <c r="AS162" s="226"/>
      <c r="AT162" s="226"/>
      <c r="AU162" s="226"/>
      <c r="AV162" s="226"/>
      <c r="AW162" s="226"/>
      <c r="AX162" s="226"/>
      <c r="AY162" s="226"/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  <c r="BX162" s="226"/>
    </row>
    <row r="163" spans="3:76" hidden="1">
      <c r="C163" s="317" t="s">
        <v>350</v>
      </c>
      <c r="D163" s="329">
        <f>BX154+BX155</f>
        <v>0</v>
      </c>
      <c r="E163" s="226"/>
      <c r="F163" s="226"/>
      <c r="G163" s="226"/>
      <c r="H163" s="226"/>
      <c r="I163" s="226"/>
      <c r="J163" s="226"/>
      <c r="K163" s="226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6"/>
      <c r="AA163" s="226"/>
      <c r="AB163" s="226"/>
      <c r="AC163" s="226"/>
      <c r="AD163" s="226"/>
      <c r="AE163" s="226"/>
      <c r="AF163" s="226"/>
      <c r="AG163" s="226"/>
      <c r="AH163" s="226"/>
      <c r="AI163" s="226"/>
      <c r="AJ163" s="226"/>
      <c r="AK163" s="226"/>
      <c r="AL163" s="226"/>
      <c r="AM163" s="226"/>
      <c r="AN163" s="226"/>
      <c r="AO163" s="226"/>
      <c r="AP163" s="226"/>
      <c r="AQ163" s="226"/>
      <c r="AR163" s="226"/>
      <c r="AS163" s="226"/>
      <c r="AT163" s="226"/>
      <c r="AU163" s="226"/>
      <c r="AV163" s="226"/>
      <c r="AW163" s="226"/>
      <c r="AX163" s="226"/>
      <c r="AY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  <c r="BX163" s="226"/>
    </row>
    <row r="164" spans="3:76" hidden="1">
      <c r="C164" s="317" t="s">
        <v>351</v>
      </c>
      <c r="D164" s="326">
        <f>T155/T152</f>
        <v>0.51486070537227191</v>
      </c>
      <c r="E164" s="226"/>
      <c r="F164" s="226"/>
      <c r="G164" s="226"/>
      <c r="H164" s="226"/>
      <c r="I164" s="226"/>
      <c r="J164" s="226"/>
      <c r="K164" s="226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6"/>
      <c r="AA164" s="226"/>
      <c r="AB164" s="226"/>
      <c r="AC164" s="226"/>
      <c r="AD164" s="226"/>
      <c r="AE164" s="226"/>
      <c r="AF164" s="226"/>
      <c r="AG164" s="226"/>
      <c r="AH164" s="226"/>
      <c r="AI164" s="226"/>
      <c r="AJ164" s="226"/>
      <c r="AK164" s="226"/>
      <c r="AL164" s="226"/>
      <c r="AM164" s="226"/>
      <c r="AN164" s="226"/>
      <c r="AO164" s="226"/>
      <c r="AP164" s="226"/>
      <c r="AQ164" s="226"/>
      <c r="AR164" s="226"/>
      <c r="AS164" s="226"/>
      <c r="AT164" s="226"/>
      <c r="AU164" s="226"/>
      <c r="AV164" s="226"/>
      <c r="AW164" s="226"/>
      <c r="AX164" s="226"/>
      <c r="AY164" s="226"/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  <c r="BX164" s="226"/>
    </row>
    <row r="165" spans="3:76" ht="14" hidden="1"/>
    <row r="166" spans="3:76" ht="14" hidden="1"/>
    <row r="167" spans="3:76" hidden="1">
      <c r="E167" s="226"/>
      <c r="F167" s="226"/>
      <c r="G167" s="226"/>
      <c r="H167" s="226"/>
      <c r="I167" s="226"/>
      <c r="J167" s="226"/>
      <c r="K167" s="226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6"/>
      <c r="AA167" s="226"/>
      <c r="AB167" s="226"/>
      <c r="AC167" s="226"/>
      <c r="AD167" s="226"/>
      <c r="AE167" s="226"/>
      <c r="AF167" s="226"/>
      <c r="AG167" s="226"/>
      <c r="AH167" s="226"/>
      <c r="AI167" s="226"/>
      <c r="AJ167" s="226"/>
      <c r="AK167" s="226"/>
      <c r="AL167" s="226"/>
      <c r="AM167" s="226"/>
      <c r="AN167" s="226"/>
      <c r="AO167" s="226"/>
      <c r="AP167" s="226"/>
      <c r="AQ167" s="226"/>
      <c r="AR167" s="226"/>
      <c r="AS167" s="226"/>
      <c r="AT167" s="226"/>
      <c r="AU167" s="226"/>
      <c r="AV167" s="226"/>
      <c r="AW167" s="226"/>
      <c r="AX167" s="226"/>
      <c r="AY167" s="226"/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  <c r="BX167" s="226"/>
    </row>
    <row r="168" spans="3:76" hidden="1">
      <c r="C168" s="314" t="s">
        <v>356</v>
      </c>
      <c r="D168" s="315"/>
      <c r="E168" s="315">
        <f t="shared" ref="E168:G168" si="67">-(E7+E93)</f>
        <v>0</v>
      </c>
      <c r="F168" s="315">
        <f t="shared" si="67"/>
        <v>0</v>
      </c>
      <c r="G168" s="315">
        <f t="shared" si="67"/>
        <v>0</v>
      </c>
      <c r="H168" s="315">
        <f>-5341205.5</f>
        <v>-5341205.5</v>
      </c>
      <c r="I168" s="315">
        <f t="shared" ref="I168:S168" si="68">-(I7+I93)</f>
        <v>0</v>
      </c>
      <c r="J168" s="315">
        <f t="shared" si="68"/>
        <v>0</v>
      </c>
      <c r="K168" s="315">
        <f t="shared" si="68"/>
        <v>0</v>
      </c>
      <c r="L168" s="315">
        <f t="shared" si="68"/>
        <v>0</v>
      </c>
      <c r="M168" s="315">
        <f t="shared" si="68"/>
        <v>0</v>
      </c>
      <c r="N168" s="315">
        <f t="shared" si="68"/>
        <v>0</v>
      </c>
      <c r="O168" s="315">
        <f t="shared" si="68"/>
        <v>0</v>
      </c>
      <c r="P168" s="315">
        <f t="shared" si="68"/>
        <v>0</v>
      </c>
      <c r="Q168" s="315">
        <f t="shared" si="68"/>
        <v>0</v>
      </c>
      <c r="R168" s="315">
        <f t="shared" si="68"/>
        <v>0</v>
      </c>
      <c r="S168" s="315">
        <f t="shared" si="68"/>
        <v>0</v>
      </c>
      <c r="T168" s="315">
        <f>5341205.5</f>
        <v>5341205.5</v>
      </c>
      <c r="U168" s="315">
        <f t="shared" ref="U168:Z168" si="69">-(U7+U93)</f>
        <v>0</v>
      </c>
      <c r="V168" s="315">
        <f t="shared" si="69"/>
        <v>0</v>
      </c>
      <c r="W168" s="315">
        <f t="shared" si="69"/>
        <v>0</v>
      </c>
      <c r="X168" s="315">
        <f t="shared" si="69"/>
        <v>0</v>
      </c>
      <c r="Y168" s="315">
        <f t="shared" si="69"/>
        <v>0</v>
      </c>
      <c r="Z168" s="315">
        <f t="shared" si="69"/>
        <v>0</v>
      </c>
      <c r="AA168" s="315"/>
      <c r="AB168" s="315">
        <f t="shared" ref="AB168:AE168" si="70">-(AB7+AB93)</f>
        <v>0</v>
      </c>
      <c r="AC168" s="315">
        <f t="shared" si="70"/>
        <v>0</v>
      </c>
      <c r="AD168" s="315">
        <f t="shared" si="70"/>
        <v>0</v>
      </c>
      <c r="AE168" s="315">
        <f t="shared" si="70"/>
        <v>0</v>
      </c>
      <c r="AF168" s="315"/>
      <c r="AG168" s="315"/>
      <c r="AH168" s="315"/>
      <c r="AI168" s="315"/>
      <c r="AJ168" s="315"/>
      <c r="AK168" s="315">
        <f t="shared" ref="AK168:BX168" si="71">-(AK7+AK93)</f>
        <v>0</v>
      </c>
      <c r="AL168" s="315">
        <f t="shared" si="71"/>
        <v>0</v>
      </c>
      <c r="AM168" s="315">
        <f t="shared" si="71"/>
        <v>0</v>
      </c>
      <c r="AN168" s="315">
        <f t="shared" si="71"/>
        <v>0</v>
      </c>
      <c r="AO168" s="315">
        <f t="shared" si="71"/>
        <v>0</v>
      </c>
      <c r="AP168" s="315">
        <f t="shared" si="71"/>
        <v>0</v>
      </c>
      <c r="AQ168" s="315">
        <f t="shared" si="71"/>
        <v>0</v>
      </c>
      <c r="AR168" s="315">
        <f t="shared" si="71"/>
        <v>0</v>
      </c>
      <c r="AS168" s="315">
        <f t="shared" si="71"/>
        <v>0</v>
      </c>
      <c r="AT168" s="315">
        <f t="shared" si="71"/>
        <v>0</v>
      </c>
      <c r="AU168" s="315">
        <f t="shared" si="71"/>
        <v>0</v>
      </c>
      <c r="AV168" s="315">
        <f t="shared" si="71"/>
        <v>0</v>
      </c>
      <c r="AW168" s="315">
        <f t="shared" si="71"/>
        <v>0</v>
      </c>
      <c r="AX168" s="315">
        <f t="shared" si="71"/>
        <v>0</v>
      </c>
      <c r="AY168" s="315">
        <f t="shared" si="71"/>
        <v>0</v>
      </c>
      <c r="AZ168" s="315">
        <f t="shared" si="71"/>
        <v>0</v>
      </c>
      <c r="BA168" s="315">
        <f t="shared" si="71"/>
        <v>0</v>
      </c>
      <c r="BB168" s="315">
        <f t="shared" si="71"/>
        <v>0</v>
      </c>
      <c r="BC168" s="315">
        <f t="shared" si="71"/>
        <v>0</v>
      </c>
      <c r="BD168" s="315">
        <f t="shared" si="71"/>
        <v>0</v>
      </c>
      <c r="BE168" s="315">
        <f t="shared" si="71"/>
        <v>0</v>
      </c>
      <c r="BF168" s="315">
        <f t="shared" si="71"/>
        <v>0</v>
      </c>
      <c r="BG168" s="315">
        <f t="shared" si="71"/>
        <v>0</v>
      </c>
      <c r="BH168" s="315">
        <f t="shared" si="71"/>
        <v>0</v>
      </c>
      <c r="BI168" s="315">
        <f t="shared" si="71"/>
        <v>0</v>
      </c>
      <c r="BJ168" s="315">
        <f t="shared" si="71"/>
        <v>0</v>
      </c>
      <c r="BK168" s="315">
        <f t="shared" si="71"/>
        <v>0</v>
      </c>
      <c r="BL168" s="315">
        <f t="shared" si="71"/>
        <v>0</v>
      </c>
      <c r="BM168" s="315">
        <f t="shared" si="71"/>
        <v>0</v>
      </c>
      <c r="BN168" s="315">
        <f t="shared" si="71"/>
        <v>0</v>
      </c>
      <c r="BO168" s="315">
        <f t="shared" si="71"/>
        <v>0</v>
      </c>
      <c r="BP168" s="315">
        <f t="shared" si="71"/>
        <v>0</v>
      </c>
      <c r="BQ168" s="315">
        <f t="shared" si="71"/>
        <v>0</v>
      </c>
      <c r="BR168" s="315">
        <f t="shared" si="71"/>
        <v>0</v>
      </c>
      <c r="BS168" s="315">
        <f t="shared" si="71"/>
        <v>0</v>
      </c>
      <c r="BT168" s="315">
        <f t="shared" si="71"/>
        <v>0</v>
      </c>
      <c r="BU168" s="315">
        <f t="shared" si="71"/>
        <v>0</v>
      </c>
      <c r="BV168" s="315">
        <f t="shared" si="71"/>
        <v>0</v>
      </c>
      <c r="BW168" s="315">
        <f t="shared" si="71"/>
        <v>0</v>
      </c>
      <c r="BX168" s="315">
        <f t="shared" si="71"/>
        <v>0</v>
      </c>
    </row>
    <row r="169" spans="3:76" hidden="1">
      <c r="C169" s="314" t="s">
        <v>353</v>
      </c>
      <c r="D169" s="323"/>
      <c r="E169" s="315"/>
      <c r="F169" s="315"/>
      <c r="G169" s="315"/>
      <c r="H169" s="315"/>
      <c r="I169" s="315"/>
      <c r="J169" s="315"/>
      <c r="K169" s="315"/>
      <c r="L169" s="315"/>
      <c r="M169" s="315"/>
      <c r="N169" s="315"/>
      <c r="O169" s="315"/>
      <c r="P169" s="315"/>
      <c r="Q169" s="315"/>
      <c r="R169" s="315"/>
      <c r="S169" s="315"/>
      <c r="T169" s="315"/>
      <c r="U169" s="315"/>
      <c r="V169" s="315"/>
      <c r="W169" s="315"/>
      <c r="X169" s="315"/>
      <c r="Y169" s="315"/>
      <c r="Z169" s="315"/>
      <c r="AA169" s="315"/>
      <c r="AB169" s="315"/>
      <c r="AC169" s="315"/>
      <c r="AD169" s="315"/>
      <c r="AE169" s="315"/>
      <c r="AF169" s="315"/>
      <c r="AG169" s="315"/>
      <c r="AH169" s="315"/>
      <c r="AI169" s="315"/>
      <c r="AJ169" s="315"/>
      <c r="AK169" s="315"/>
      <c r="AL169" s="315"/>
      <c r="AM169" s="315"/>
      <c r="AN169" s="315"/>
      <c r="AO169" s="315"/>
      <c r="AP169" s="315"/>
      <c r="AQ169" s="315"/>
      <c r="AR169" s="315"/>
      <c r="AS169" s="315"/>
      <c r="AT169" s="315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</row>
    <row r="170" spans="3:76" hidden="1">
      <c r="C170" s="314" t="s">
        <v>343</v>
      </c>
      <c r="D170" s="323"/>
      <c r="E170" s="315">
        <f t="shared" ref="E170:Z170" si="72">-E58</f>
        <v>0</v>
      </c>
      <c r="F170" s="315">
        <f t="shared" si="72"/>
        <v>0</v>
      </c>
      <c r="G170" s="315">
        <f t="shared" si="72"/>
        <v>0</v>
      </c>
      <c r="H170" s="315">
        <f t="shared" si="72"/>
        <v>0</v>
      </c>
      <c r="I170" s="315">
        <f t="shared" si="72"/>
        <v>0</v>
      </c>
      <c r="J170" s="315">
        <f t="shared" si="72"/>
        <v>0</v>
      </c>
      <c r="K170" s="315">
        <f t="shared" si="72"/>
        <v>0</v>
      </c>
      <c r="L170" s="315">
        <f t="shared" si="72"/>
        <v>0</v>
      </c>
      <c r="M170" s="315">
        <f t="shared" si="72"/>
        <v>0</v>
      </c>
      <c r="N170" s="315">
        <f t="shared" si="72"/>
        <v>0</v>
      </c>
      <c r="O170" s="315">
        <f t="shared" si="72"/>
        <v>0</v>
      </c>
      <c r="P170" s="315">
        <f t="shared" si="72"/>
        <v>0</v>
      </c>
      <c r="Q170" s="315">
        <f t="shared" si="72"/>
        <v>0</v>
      </c>
      <c r="R170" s="315">
        <f t="shared" si="72"/>
        <v>0</v>
      </c>
      <c r="S170" s="315">
        <f t="shared" si="72"/>
        <v>0</v>
      </c>
      <c r="T170" s="315">
        <f t="shared" si="72"/>
        <v>0</v>
      </c>
      <c r="U170" s="315">
        <f t="shared" si="72"/>
        <v>0</v>
      </c>
      <c r="V170" s="315">
        <f t="shared" si="72"/>
        <v>0</v>
      </c>
      <c r="W170" s="315">
        <f t="shared" si="72"/>
        <v>0</v>
      </c>
      <c r="X170" s="315">
        <f t="shared" si="72"/>
        <v>0</v>
      </c>
      <c r="Y170" s="315">
        <f t="shared" si="72"/>
        <v>0</v>
      </c>
      <c r="Z170" s="315">
        <f t="shared" si="72"/>
        <v>0</v>
      </c>
      <c r="AA170" s="315"/>
      <c r="AB170" s="315">
        <f t="shared" ref="AB170:AE170" si="73">-AB58</f>
        <v>0</v>
      </c>
      <c r="AC170" s="315">
        <f t="shared" si="73"/>
        <v>0</v>
      </c>
      <c r="AD170" s="315">
        <f t="shared" si="73"/>
        <v>0</v>
      </c>
      <c r="AE170" s="315">
        <f t="shared" si="73"/>
        <v>0</v>
      </c>
      <c r="AF170" s="315"/>
      <c r="AG170" s="315"/>
      <c r="AH170" s="315"/>
      <c r="AI170" s="315"/>
      <c r="AJ170" s="315"/>
      <c r="AK170" s="315">
        <f t="shared" ref="AK170:BX170" si="74">-AK58</f>
        <v>0</v>
      </c>
      <c r="AL170" s="315">
        <f t="shared" si="74"/>
        <v>0</v>
      </c>
      <c r="AM170" s="315">
        <f t="shared" si="74"/>
        <v>0</v>
      </c>
      <c r="AN170" s="315">
        <f t="shared" si="74"/>
        <v>0</v>
      </c>
      <c r="AO170" s="315">
        <f t="shared" si="74"/>
        <v>0</v>
      </c>
      <c r="AP170" s="315">
        <f t="shared" si="74"/>
        <v>0</v>
      </c>
      <c r="AQ170" s="315">
        <f t="shared" si="74"/>
        <v>0</v>
      </c>
      <c r="AR170" s="315">
        <f t="shared" si="74"/>
        <v>0</v>
      </c>
      <c r="AS170" s="315">
        <f t="shared" si="74"/>
        <v>0</v>
      </c>
      <c r="AT170" s="315">
        <f t="shared" si="74"/>
        <v>0</v>
      </c>
      <c r="AU170" s="315">
        <f t="shared" si="74"/>
        <v>0</v>
      </c>
      <c r="AV170" s="315">
        <f t="shared" si="74"/>
        <v>0</v>
      </c>
      <c r="AW170" s="315">
        <f t="shared" si="74"/>
        <v>0</v>
      </c>
      <c r="AX170" s="315">
        <f t="shared" si="74"/>
        <v>0</v>
      </c>
      <c r="AY170" s="315">
        <f t="shared" si="74"/>
        <v>0</v>
      </c>
      <c r="AZ170" s="315">
        <f t="shared" si="74"/>
        <v>0</v>
      </c>
      <c r="BA170" s="315">
        <f t="shared" si="74"/>
        <v>0</v>
      </c>
      <c r="BB170" s="315">
        <f t="shared" si="74"/>
        <v>0</v>
      </c>
      <c r="BC170" s="315">
        <f t="shared" si="74"/>
        <v>0</v>
      </c>
      <c r="BD170" s="315">
        <f t="shared" si="74"/>
        <v>0</v>
      </c>
      <c r="BE170" s="315">
        <f t="shared" si="74"/>
        <v>0</v>
      </c>
      <c r="BF170" s="315">
        <f t="shared" si="74"/>
        <v>0</v>
      </c>
      <c r="BG170" s="315">
        <f t="shared" si="74"/>
        <v>0</v>
      </c>
      <c r="BH170" s="315">
        <f t="shared" si="74"/>
        <v>0</v>
      </c>
      <c r="BI170" s="315">
        <f t="shared" si="74"/>
        <v>0</v>
      </c>
      <c r="BJ170" s="315">
        <f t="shared" si="74"/>
        <v>0</v>
      </c>
      <c r="BK170" s="315">
        <f t="shared" si="74"/>
        <v>0</v>
      </c>
      <c r="BL170" s="315">
        <f t="shared" si="74"/>
        <v>0</v>
      </c>
      <c r="BM170" s="315">
        <f t="shared" si="74"/>
        <v>0</v>
      </c>
      <c r="BN170" s="315">
        <f t="shared" si="74"/>
        <v>0</v>
      </c>
      <c r="BO170" s="315">
        <f t="shared" si="74"/>
        <v>0</v>
      </c>
      <c r="BP170" s="315">
        <f t="shared" si="74"/>
        <v>0</v>
      </c>
      <c r="BQ170" s="315">
        <f t="shared" si="74"/>
        <v>0</v>
      </c>
      <c r="BR170" s="315">
        <f t="shared" si="74"/>
        <v>0</v>
      </c>
      <c r="BS170" s="315">
        <f t="shared" si="74"/>
        <v>0</v>
      </c>
      <c r="BT170" s="315">
        <f t="shared" si="74"/>
        <v>0</v>
      </c>
      <c r="BU170" s="315">
        <f t="shared" si="74"/>
        <v>0</v>
      </c>
      <c r="BV170" s="315">
        <f t="shared" si="74"/>
        <v>0</v>
      </c>
      <c r="BW170" s="315">
        <f t="shared" si="74"/>
        <v>0</v>
      </c>
      <c r="BX170" s="315">
        <f t="shared" si="74"/>
        <v>0</v>
      </c>
    </row>
    <row r="171" spans="3:76" hidden="1">
      <c r="C171" s="314" t="s">
        <v>344</v>
      </c>
      <c r="D171" s="323"/>
      <c r="E171" s="315"/>
      <c r="F171" s="315"/>
      <c r="G171" s="315"/>
      <c r="H171" s="315"/>
      <c r="I171" s="315"/>
      <c r="J171" s="315"/>
      <c r="K171" s="315"/>
      <c r="L171" s="315"/>
      <c r="M171" s="315"/>
      <c r="N171" s="315"/>
      <c r="O171" s="315"/>
      <c r="P171" s="315"/>
      <c r="Q171" s="315"/>
      <c r="R171" s="315"/>
      <c r="S171" s="315"/>
      <c r="T171" s="315">
        <v>2750000</v>
      </c>
      <c r="U171" s="315"/>
      <c r="V171" s="315"/>
      <c r="W171" s="315"/>
      <c r="X171" s="315"/>
      <c r="Y171" s="315"/>
      <c r="Z171" s="315"/>
      <c r="AA171" s="315"/>
      <c r="AB171" s="315"/>
      <c r="AC171" s="315"/>
      <c r="AD171" s="315"/>
      <c r="AE171" s="315"/>
      <c r="AF171" s="315"/>
      <c r="AG171" s="315"/>
      <c r="AH171" s="315"/>
      <c r="AI171" s="315"/>
      <c r="AJ171" s="315"/>
      <c r="AK171" s="315"/>
      <c r="AL171" s="315"/>
      <c r="AM171" s="315"/>
      <c r="AN171" s="315"/>
      <c r="AO171" s="315"/>
      <c r="AP171" s="315"/>
      <c r="AQ171" s="315"/>
      <c r="AR171" s="315"/>
      <c r="AS171" s="315"/>
      <c r="AT171" s="315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>
        <f>IF(D111&gt;0.25,(BX101-BX114)*D172,BX101*D172)</f>
        <v>0</v>
      </c>
    </row>
    <row r="172" spans="3:76" hidden="1">
      <c r="C172" s="317" t="s">
        <v>345</v>
      </c>
      <c r="D172" s="323">
        <v>0</v>
      </c>
      <c r="E172" s="246"/>
      <c r="F172" s="246"/>
      <c r="G172" s="246"/>
      <c r="H172" s="246"/>
      <c r="I172" s="246"/>
      <c r="J172" s="246"/>
      <c r="K172" s="246"/>
      <c r="L172" s="246"/>
      <c r="M172" s="246"/>
      <c r="N172" s="246"/>
      <c r="O172" s="246"/>
      <c r="P172" s="246"/>
      <c r="Q172" s="246"/>
      <c r="R172" s="246"/>
      <c r="S172" s="246"/>
      <c r="T172" s="246"/>
      <c r="U172" s="246"/>
      <c r="V172" s="246"/>
      <c r="W172" s="246"/>
      <c r="X172" s="246"/>
      <c r="Y172" s="246"/>
      <c r="Z172" s="246"/>
      <c r="AA172" s="246"/>
      <c r="AB172" s="246"/>
      <c r="AC172" s="246"/>
      <c r="AD172" s="246"/>
      <c r="AE172" s="246"/>
      <c r="AF172" s="246"/>
      <c r="AG172" s="246"/>
      <c r="AH172" s="246"/>
      <c r="AI172" s="246"/>
      <c r="AJ172" s="246"/>
      <c r="AK172" s="246"/>
      <c r="AL172" s="246"/>
      <c r="AM172" s="246"/>
      <c r="AN172" s="246"/>
      <c r="AO172" s="246"/>
      <c r="AP172" s="246"/>
      <c r="AQ172" s="246"/>
      <c r="AR172" s="246"/>
      <c r="AS172" s="246"/>
      <c r="AT172" s="246"/>
      <c r="AU172" s="246"/>
      <c r="AV172" s="246"/>
      <c r="AW172" s="246"/>
      <c r="AX172" s="246"/>
      <c r="AY172" s="246"/>
      <c r="AZ172" s="246"/>
      <c r="BA172" s="246"/>
      <c r="BB172" s="246"/>
      <c r="BC172" s="246"/>
      <c r="BD172" s="246"/>
      <c r="BE172" s="246"/>
      <c r="BF172" s="246"/>
      <c r="BG172" s="246"/>
      <c r="BH172" s="246"/>
      <c r="BI172" s="246"/>
      <c r="BJ172" s="246"/>
      <c r="BK172" s="246"/>
      <c r="BL172" s="246"/>
      <c r="BM172" s="246"/>
      <c r="BN172" s="246"/>
      <c r="BO172" s="246"/>
      <c r="BP172" s="246"/>
      <c r="BQ172" s="246"/>
      <c r="BR172" s="246"/>
      <c r="BS172" s="246"/>
      <c r="BT172" s="246"/>
      <c r="BU172" s="246"/>
      <c r="BV172" s="246"/>
      <c r="BW172" s="246"/>
      <c r="BX172" s="246"/>
    </row>
    <row r="173" spans="3:76" hidden="1">
      <c r="C173" s="314" t="s">
        <v>346</v>
      </c>
      <c r="D173" s="315"/>
      <c r="E173" s="325">
        <f t="shared" ref="E173:Z173" si="75">E168+E169+E170+E171+E172</f>
        <v>0</v>
      </c>
      <c r="F173" s="325">
        <f t="shared" si="75"/>
        <v>0</v>
      </c>
      <c r="G173" s="325">
        <f t="shared" si="75"/>
        <v>0</v>
      </c>
      <c r="H173" s="325">
        <f t="shared" si="75"/>
        <v>-5341205.5</v>
      </c>
      <c r="I173" s="325">
        <f t="shared" si="75"/>
        <v>0</v>
      </c>
      <c r="J173" s="325">
        <f t="shared" si="75"/>
        <v>0</v>
      </c>
      <c r="K173" s="325">
        <f t="shared" si="75"/>
        <v>0</v>
      </c>
      <c r="L173" s="325">
        <f t="shared" si="75"/>
        <v>0</v>
      </c>
      <c r="M173" s="325">
        <f t="shared" si="75"/>
        <v>0</v>
      </c>
      <c r="N173" s="325">
        <f t="shared" si="75"/>
        <v>0</v>
      </c>
      <c r="O173" s="325">
        <f t="shared" si="75"/>
        <v>0</v>
      </c>
      <c r="P173" s="325">
        <f t="shared" si="75"/>
        <v>0</v>
      </c>
      <c r="Q173" s="325">
        <f t="shared" si="75"/>
        <v>0</v>
      </c>
      <c r="R173" s="325">
        <f t="shared" si="75"/>
        <v>0</v>
      </c>
      <c r="S173" s="325">
        <f t="shared" si="75"/>
        <v>0</v>
      </c>
      <c r="T173" s="325">
        <f t="shared" si="75"/>
        <v>8091205.5</v>
      </c>
      <c r="U173" s="325">
        <f t="shared" si="75"/>
        <v>0</v>
      </c>
      <c r="V173" s="325">
        <f t="shared" si="75"/>
        <v>0</v>
      </c>
      <c r="W173" s="325">
        <f t="shared" si="75"/>
        <v>0</v>
      </c>
      <c r="X173" s="325">
        <f t="shared" si="75"/>
        <v>0</v>
      </c>
      <c r="Y173" s="325">
        <f t="shared" si="75"/>
        <v>0</v>
      </c>
      <c r="Z173" s="325">
        <f t="shared" si="75"/>
        <v>0</v>
      </c>
      <c r="AA173" s="325"/>
      <c r="AB173" s="325">
        <f t="shared" ref="AB173:AE173" si="76">AB168+AB169+AB170+AB171+AB172</f>
        <v>0</v>
      </c>
      <c r="AC173" s="325">
        <f t="shared" si="76"/>
        <v>0</v>
      </c>
      <c r="AD173" s="325">
        <f t="shared" si="76"/>
        <v>0</v>
      </c>
      <c r="AE173" s="325">
        <f t="shared" si="76"/>
        <v>0</v>
      </c>
      <c r="AF173" s="325"/>
      <c r="AG173" s="325"/>
      <c r="AH173" s="325"/>
      <c r="AI173" s="325"/>
      <c r="AJ173" s="325"/>
      <c r="AK173" s="325">
        <f t="shared" ref="AK173:BX173" si="77">AK168+AK169+AK170+AK171+AK172</f>
        <v>0</v>
      </c>
      <c r="AL173" s="325">
        <f t="shared" si="77"/>
        <v>0</v>
      </c>
      <c r="AM173" s="325">
        <f t="shared" si="77"/>
        <v>0</v>
      </c>
      <c r="AN173" s="325">
        <f t="shared" si="77"/>
        <v>0</v>
      </c>
      <c r="AO173" s="325">
        <f t="shared" si="77"/>
        <v>0</v>
      </c>
      <c r="AP173" s="325">
        <f t="shared" si="77"/>
        <v>0</v>
      </c>
      <c r="AQ173" s="325">
        <f t="shared" si="77"/>
        <v>0</v>
      </c>
      <c r="AR173" s="325">
        <f t="shared" si="77"/>
        <v>0</v>
      </c>
      <c r="AS173" s="325">
        <f t="shared" si="77"/>
        <v>0</v>
      </c>
      <c r="AT173" s="325">
        <f t="shared" si="77"/>
        <v>0</v>
      </c>
      <c r="AU173" s="325">
        <f t="shared" si="77"/>
        <v>0</v>
      </c>
      <c r="AV173" s="325">
        <f t="shared" si="77"/>
        <v>0</v>
      </c>
      <c r="AW173" s="325">
        <f t="shared" si="77"/>
        <v>0</v>
      </c>
      <c r="AX173" s="325">
        <f t="shared" si="77"/>
        <v>0</v>
      </c>
      <c r="AY173" s="325">
        <f t="shared" si="77"/>
        <v>0</v>
      </c>
      <c r="AZ173" s="325">
        <f t="shared" si="77"/>
        <v>0</v>
      </c>
      <c r="BA173" s="325">
        <f t="shared" si="77"/>
        <v>0</v>
      </c>
      <c r="BB173" s="325">
        <f t="shared" si="77"/>
        <v>0</v>
      </c>
      <c r="BC173" s="325">
        <f t="shared" si="77"/>
        <v>0</v>
      </c>
      <c r="BD173" s="325">
        <f t="shared" si="77"/>
        <v>0</v>
      </c>
      <c r="BE173" s="325">
        <f t="shared" si="77"/>
        <v>0</v>
      </c>
      <c r="BF173" s="325">
        <f t="shared" si="77"/>
        <v>0</v>
      </c>
      <c r="BG173" s="325">
        <f t="shared" si="77"/>
        <v>0</v>
      </c>
      <c r="BH173" s="325">
        <f t="shared" si="77"/>
        <v>0</v>
      </c>
      <c r="BI173" s="325">
        <f t="shared" si="77"/>
        <v>0</v>
      </c>
      <c r="BJ173" s="325">
        <f t="shared" si="77"/>
        <v>0</v>
      </c>
      <c r="BK173" s="325">
        <f t="shared" si="77"/>
        <v>0</v>
      </c>
      <c r="BL173" s="325">
        <f t="shared" si="77"/>
        <v>0</v>
      </c>
      <c r="BM173" s="325">
        <f t="shared" si="77"/>
        <v>0</v>
      </c>
      <c r="BN173" s="325">
        <f t="shared" si="77"/>
        <v>0</v>
      </c>
      <c r="BO173" s="325">
        <f t="shared" si="77"/>
        <v>0</v>
      </c>
      <c r="BP173" s="325">
        <f t="shared" si="77"/>
        <v>0</v>
      </c>
      <c r="BQ173" s="325">
        <f t="shared" si="77"/>
        <v>0</v>
      </c>
      <c r="BR173" s="325">
        <f t="shared" si="77"/>
        <v>0</v>
      </c>
      <c r="BS173" s="325">
        <f t="shared" si="77"/>
        <v>0</v>
      </c>
      <c r="BT173" s="325">
        <f t="shared" si="77"/>
        <v>0</v>
      </c>
      <c r="BU173" s="325">
        <f t="shared" si="77"/>
        <v>0</v>
      </c>
      <c r="BV173" s="325">
        <f t="shared" si="77"/>
        <v>0</v>
      </c>
      <c r="BW173" s="325">
        <f t="shared" si="77"/>
        <v>0</v>
      </c>
      <c r="BX173" s="325">
        <f t="shared" si="77"/>
        <v>0</v>
      </c>
    </row>
    <row r="174" spans="3:76" hidden="1">
      <c r="C174" s="318"/>
      <c r="D174" s="326" t="s">
        <v>354</v>
      </c>
      <c r="E174" s="330">
        <f>E173</f>
        <v>0</v>
      </c>
      <c r="F174" s="330">
        <f t="shared" ref="F174:Z174" si="78">E174+F173</f>
        <v>0</v>
      </c>
      <c r="G174" s="330">
        <f t="shared" si="78"/>
        <v>0</v>
      </c>
      <c r="H174" s="330">
        <f t="shared" si="78"/>
        <v>-5341205.5</v>
      </c>
      <c r="I174" s="330">
        <f t="shared" si="78"/>
        <v>-5341205.5</v>
      </c>
      <c r="J174" s="330">
        <f t="shared" si="78"/>
        <v>-5341205.5</v>
      </c>
      <c r="K174" s="330">
        <f t="shared" si="78"/>
        <v>-5341205.5</v>
      </c>
      <c r="L174" s="330">
        <f t="shared" si="78"/>
        <v>-5341205.5</v>
      </c>
      <c r="M174" s="330">
        <f t="shared" si="78"/>
        <v>-5341205.5</v>
      </c>
      <c r="N174" s="330">
        <f t="shared" si="78"/>
        <v>-5341205.5</v>
      </c>
      <c r="O174" s="330">
        <f t="shared" si="78"/>
        <v>-5341205.5</v>
      </c>
      <c r="P174" s="330">
        <f t="shared" si="78"/>
        <v>-5341205.5</v>
      </c>
      <c r="Q174" s="330">
        <f t="shared" si="78"/>
        <v>-5341205.5</v>
      </c>
      <c r="R174" s="330">
        <f t="shared" si="78"/>
        <v>-5341205.5</v>
      </c>
      <c r="S174" s="330">
        <f t="shared" si="78"/>
        <v>-5341205.5</v>
      </c>
      <c r="T174" s="330">
        <f t="shared" si="78"/>
        <v>2750000</v>
      </c>
      <c r="U174" s="330">
        <f t="shared" si="78"/>
        <v>2750000</v>
      </c>
      <c r="V174" s="330">
        <f t="shared" si="78"/>
        <v>2750000</v>
      </c>
      <c r="W174" s="330">
        <f t="shared" si="78"/>
        <v>2750000</v>
      </c>
      <c r="X174" s="330">
        <f t="shared" si="78"/>
        <v>2750000</v>
      </c>
      <c r="Y174" s="330">
        <f t="shared" si="78"/>
        <v>2750000</v>
      </c>
      <c r="Z174" s="330">
        <f t="shared" si="78"/>
        <v>2750000</v>
      </c>
      <c r="AA174" s="330"/>
      <c r="AB174" s="330">
        <f t="shared" ref="AB174:AE174" si="79">AA174+AB173</f>
        <v>0</v>
      </c>
      <c r="AC174" s="330">
        <f t="shared" si="79"/>
        <v>0</v>
      </c>
      <c r="AD174" s="330">
        <f t="shared" si="79"/>
        <v>0</v>
      </c>
      <c r="AE174" s="330">
        <f t="shared" si="79"/>
        <v>0</v>
      </c>
      <c r="AF174" s="330"/>
      <c r="AG174" s="330"/>
      <c r="AH174" s="330"/>
      <c r="AI174" s="330"/>
      <c r="AJ174" s="330"/>
      <c r="AK174" s="330">
        <f t="shared" ref="AK174:BX174" si="80">AJ174+AK173</f>
        <v>0</v>
      </c>
      <c r="AL174" s="330">
        <f t="shared" si="80"/>
        <v>0</v>
      </c>
      <c r="AM174" s="330">
        <f t="shared" si="80"/>
        <v>0</v>
      </c>
      <c r="AN174" s="330">
        <f t="shared" si="80"/>
        <v>0</v>
      </c>
      <c r="AO174" s="330">
        <f t="shared" si="80"/>
        <v>0</v>
      </c>
      <c r="AP174" s="330">
        <f t="shared" si="80"/>
        <v>0</v>
      </c>
      <c r="AQ174" s="330">
        <f t="shared" si="80"/>
        <v>0</v>
      </c>
      <c r="AR174" s="330">
        <f t="shared" si="80"/>
        <v>0</v>
      </c>
      <c r="AS174" s="330">
        <f t="shared" si="80"/>
        <v>0</v>
      </c>
      <c r="AT174" s="330">
        <f t="shared" si="80"/>
        <v>0</v>
      </c>
      <c r="AU174" s="330">
        <f t="shared" si="80"/>
        <v>0</v>
      </c>
      <c r="AV174" s="330">
        <f t="shared" si="80"/>
        <v>0</v>
      </c>
      <c r="AW174" s="330">
        <f t="shared" si="80"/>
        <v>0</v>
      </c>
      <c r="AX174" s="330">
        <f t="shared" si="80"/>
        <v>0</v>
      </c>
      <c r="AY174" s="330">
        <f t="shared" si="80"/>
        <v>0</v>
      </c>
      <c r="AZ174" s="330">
        <f t="shared" si="80"/>
        <v>0</v>
      </c>
      <c r="BA174" s="330">
        <f t="shared" si="80"/>
        <v>0</v>
      </c>
      <c r="BB174" s="330">
        <f t="shared" si="80"/>
        <v>0</v>
      </c>
      <c r="BC174" s="330">
        <f t="shared" si="80"/>
        <v>0</v>
      </c>
      <c r="BD174" s="330">
        <f t="shared" si="80"/>
        <v>0</v>
      </c>
      <c r="BE174" s="330">
        <f t="shared" si="80"/>
        <v>0</v>
      </c>
      <c r="BF174" s="330">
        <f t="shared" si="80"/>
        <v>0</v>
      </c>
      <c r="BG174" s="330">
        <f t="shared" si="80"/>
        <v>0</v>
      </c>
      <c r="BH174" s="330">
        <f t="shared" si="80"/>
        <v>0</v>
      </c>
      <c r="BI174" s="330">
        <f t="shared" si="80"/>
        <v>0</v>
      </c>
      <c r="BJ174" s="330">
        <f t="shared" si="80"/>
        <v>0</v>
      </c>
      <c r="BK174" s="330">
        <f t="shared" si="80"/>
        <v>0</v>
      </c>
      <c r="BL174" s="330">
        <f t="shared" si="80"/>
        <v>0</v>
      </c>
      <c r="BM174" s="330">
        <f t="shared" si="80"/>
        <v>0</v>
      </c>
      <c r="BN174" s="330">
        <f t="shared" si="80"/>
        <v>0</v>
      </c>
      <c r="BO174" s="330">
        <f t="shared" si="80"/>
        <v>0</v>
      </c>
      <c r="BP174" s="330">
        <f t="shared" si="80"/>
        <v>0</v>
      </c>
      <c r="BQ174" s="330">
        <f t="shared" si="80"/>
        <v>0</v>
      </c>
      <c r="BR174" s="330">
        <f t="shared" si="80"/>
        <v>0</v>
      </c>
      <c r="BS174" s="330">
        <f t="shared" si="80"/>
        <v>0</v>
      </c>
      <c r="BT174" s="330">
        <f t="shared" si="80"/>
        <v>0</v>
      </c>
      <c r="BU174" s="330">
        <f t="shared" si="80"/>
        <v>0</v>
      </c>
      <c r="BV174" s="330">
        <f t="shared" si="80"/>
        <v>0</v>
      </c>
      <c r="BW174" s="330">
        <f t="shared" si="80"/>
        <v>0</v>
      </c>
      <c r="BX174" s="330">
        <f t="shared" si="80"/>
        <v>0</v>
      </c>
    </row>
    <row r="175" spans="3:76" hidden="1">
      <c r="C175" s="317" t="s">
        <v>339</v>
      </c>
      <c r="D175" s="326">
        <f>IRR(E173:BX173)*12</f>
        <v>0.42259732866030397</v>
      </c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26"/>
      <c r="BN175" s="226"/>
      <c r="BO175" s="226"/>
      <c r="BP175" s="226"/>
      <c r="BQ175" s="226"/>
      <c r="BR175" s="226"/>
      <c r="BS175" s="226"/>
      <c r="BT175" s="226"/>
      <c r="BU175" s="226"/>
      <c r="BV175" s="226"/>
      <c r="BW175" s="226"/>
      <c r="BX175" s="226"/>
    </row>
    <row r="176" spans="3:76" hidden="1">
      <c r="C176" s="327" t="s">
        <v>347</v>
      </c>
      <c r="D176" s="328">
        <f>-MIN(M174:BL174)-D177</f>
        <v>5341205.5</v>
      </c>
      <c r="E176" s="226"/>
      <c r="F176" s="226"/>
      <c r="G176" s="226"/>
      <c r="H176" s="226"/>
      <c r="I176" s="226"/>
      <c r="J176" s="226"/>
      <c r="K176" s="226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6"/>
      <c r="AA176" s="226"/>
      <c r="AB176" s="226"/>
      <c r="AC176" s="226"/>
      <c r="AD176" s="226"/>
      <c r="AE176" s="226"/>
      <c r="AF176" s="226"/>
      <c r="AG176" s="226"/>
      <c r="AH176" s="226"/>
      <c r="AI176" s="226"/>
      <c r="AJ176" s="226"/>
      <c r="AK176" s="226"/>
      <c r="AL176" s="226"/>
      <c r="AM176" s="226"/>
      <c r="AN176" s="226"/>
      <c r="AO176" s="226"/>
      <c r="AP176" s="226"/>
      <c r="AQ176" s="226"/>
      <c r="AR176" s="226"/>
      <c r="AS176" s="226"/>
      <c r="AT176" s="226"/>
      <c r="AU176" s="226"/>
      <c r="AV176" s="226"/>
      <c r="AW176" s="226"/>
      <c r="AX176" s="226"/>
      <c r="AY176" s="226"/>
      <c r="AZ176" s="226"/>
      <c r="BA176" s="226"/>
      <c r="BB176" s="226"/>
      <c r="BC176" s="226"/>
      <c r="BD176" s="226"/>
      <c r="BE176" s="226"/>
      <c r="BF176" s="226"/>
      <c r="BG176" s="226"/>
      <c r="BH176" s="226"/>
      <c r="BI176" s="226"/>
      <c r="BJ176" s="226"/>
      <c r="BK176" s="226"/>
      <c r="BL176" s="226"/>
      <c r="BM176" s="226"/>
      <c r="BN176" s="226"/>
      <c r="BO176" s="226"/>
      <c r="BP176" s="226"/>
      <c r="BQ176" s="226"/>
      <c r="BR176" s="226"/>
      <c r="BS176" s="226"/>
      <c r="BT176" s="226"/>
      <c r="BU176" s="226"/>
      <c r="BV176" s="226"/>
      <c r="BW176" s="226"/>
      <c r="BX176" s="226"/>
    </row>
    <row r="177" spans="3:76" hidden="1">
      <c r="C177" s="327" t="s">
        <v>348</v>
      </c>
      <c r="D177" s="328">
        <f>-SUM(M172:BB172)</f>
        <v>0</v>
      </c>
      <c r="E177" s="226"/>
      <c r="F177" s="226"/>
      <c r="G177" s="226"/>
      <c r="H177" s="226"/>
      <c r="I177" s="226"/>
      <c r="J177" s="226"/>
      <c r="K177" s="226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6"/>
      <c r="AA177" s="226"/>
      <c r="AB177" s="226"/>
      <c r="AC177" s="226"/>
      <c r="AD177" s="226"/>
      <c r="AE177" s="226"/>
      <c r="AF177" s="226"/>
      <c r="AG177" s="226"/>
      <c r="AH177" s="226"/>
      <c r="AI177" s="226"/>
      <c r="AJ177" s="226"/>
      <c r="AK177" s="226"/>
      <c r="AL177" s="226"/>
      <c r="AM177" s="226"/>
      <c r="AN177" s="226"/>
      <c r="AO177" s="226"/>
      <c r="AP177" s="226"/>
      <c r="AQ177" s="226"/>
      <c r="AR177" s="226"/>
      <c r="AS177" s="226"/>
      <c r="AT177" s="226"/>
      <c r="AU177" s="226"/>
      <c r="AV177" s="226"/>
      <c r="AW177" s="226"/>
      <c r="AX177" s="226"/>
      <c r="AY177" s="226"/>
      <c r="AZ177" s="226"/>
      <c r="BA177" s="226"/>
      <c r="BB177" s="226"/>
      <c r="BC177" s="226"/>
      <c r="BD177" s="226"/>
      <c r="BE177" s="226"/>
      <c r="BF177" s="226"/>
      <c r="BG177" s="226"/>
      <c r="BH177" s="226"/>
      <c r="BI177" s="226"/>
      <c r="BJ177" s="226"/>
      <c r="BK177" s="226"/>
      <c r="BL177" s="226"/>
      <c r="BM177" s="226"/>
      <c r="BN177" s="226"/>
      <c r="BO177" s="226"/>
      <c r="BP177" s="226"/>
      <c r="BQ177" s="226"/>
      <c r="BR177" s="226"/>
      <c r="BS177" s="226"/>
      <c r="BT177" s="226"/>
      <c r="BU177" s="226"/>
      <c r="BV177" s="226"/>
      <c r="BW177" s="226"/>
      <c r="BX177" s="226"/>
    </row>
    <row r="178" spans="3:76" hidden="1">
      <c r="C178" s="317" t="s">
        <v>349</v>
      </c>
      <c r="D178" s="329">
        <f>D177+D176</f>
        <v>5341205.5</v>
      </c>
      <c r="E178" s="226"/>
      <c r="F178" s="226"/>
      <c r="G178" s="226"/>
      <c r="H178" s="226"/>
      <c r="I178" s="226"/>
      <c r="J178" s="226"/>
      <c r="K178" s="226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6"/>
      <c r="AA178" s="226"/>
      <c r="AB178" s="226"/>
      <c r="AC178" s="226"/>
      <c r="AD178" s="226"/>
      <c r="AE178" s="226"/>
      <c r="AF178" s="226"/>
      <c r="AG178" s="226"/>
      <c r="AH178" s="226"/>
      <c r="AI178" s="226"/>
      <c r="AJ178" s="226"/>
      <c r="AK178" s="226"/>
      <c r="AL178" s="226"/>
      <c r="AM178" s="226"/>
      <c r="AN178" s="226"/>
      <c r="AO178" s="226"/>
      <c r="AP178" s="226"/>
      <c r="AQ178" s="226"/>
      <c r="AR178" s="226"/>
      <c r="AS178" s="226"/>
      <c r="AT178" s="226"/>
      <c r="AU178" s="226"/>
      <c r="AV178" s="226"/>
      <c r="AW178" s="226"/>
      <c r="AX178" s="226"/>
      <c r="AY178" s="226"/>
      <c r="AZ178" s="226"/>
      <c r="BA178" s="226"/>
      <c r="BB178" s="226"/>
      <c r="BC178" s="226"/>
      <c r="BD178" s="226"/>
      <c r="BE178" s="226"/>
      <c r="BF178" s="226"/>
      <c r="BG178" s="226"/>
      <c r="BH178" s="226"/>
      <c r="BI178" s="226"/>
      <c r="BJ178" s="226"/>
      <c r="BK178" s="226"/>
      <c r="BL178" s="226"/>
      <c r="BM178" s="226"/>
      <c r="BN178" s="226"/>
      <c r="BO178" s="226"/>
      <c r="BP178" s="226"/>
      <c r="BQ178" s="226"/>
      <c r="BR178" s="226"/>
      <c r="BS178" s="226"/>
      <c r="BT178" s="226"/>
      <c r="BU178" s="226"/>
      <c r="BV178" s="226"/>
      <c r="BW178" s="226"/>
      <c r="BX178" s="226"/>
    </row>
    <row r="179" spans="3:76" hidden="1">
      <c r="C179" s="317" t="s">
        <v>350</v>
      </c>
      <c r="D179" s="329">
        <f>BX170+BX171</f>
        <v>0</v>
      </c>
      <c r="E179" s="226"/>
      <c r="F179" s="226"/>
      <c r="G179" s="226"/>
      <c r="H179" s="226"/>
      <c r="I179" s="226"/>
      <c r="J179" s="226"/>
      <c r="K179" s="226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6"/>
      <c r="AA179" s="226"/>
      <c r="AB179" s="226"/>
      <c r="AC179" s="226"/>
      <c r="AD179" s="226"/>
      <c r="AE179" s="226"/>
      <c r="AF179" s="226"/>
      <c r="AG179" s="226"/>
      <c r="AH179" s="226"/>
      <c r="AI179" s="226"/>
      <c r="AJ179" s="226"/>
      <c r="AK179" s="226"/>
      <c r="AL179" s="226"/>
      <c r="AM179" s="226"/>
      <c r="AN179" s="226"/>
      <c r="AO179" s="226"/>
      <c r="AP179" s="226"/>
      <c r="AQ179" s="226"/>
      <c r="AR179" s="226"/>
      <c r="AS179" s="226"/>
      <c r="AT179" s="226"/>
      <c r="AU179" s="226"/>
      <c r="AV179" s="226"/>
      <c r="AW179" s="226"/>
      <c r="AX179" s="226"/>
      <c r="AY179" s="226"/>
      <c r="AZ179" s="226"/>
      <c r="BA179" s="226"/>
      <c r="BB179" s="226"/>
      <c r="BC179" s="226"/>
      <c r="BD179" s="226"/>
      <c r="BE179" s="226"/>
      <c r="BF179" s="226"/>
      <c r="BG179" s="226"/>
      <c r="BH179" s="226"/>
      <c r="BI179" s="226"/>
      <c r="BJ179" s="226"/>
      <c r="BK179" s="226"/>
      <c r="BL179" s="226"/>
      <c r="BM179" s="226"/>
      <c r="BN179" s="226"/>
      <c r="BO179" s="226"/>
      <c r="BP179" s="226"/>
      <c r="BQ179" s="226"/>
      <c r="BR179" s="226"/>
      <c r="BS179" s="226"/>
      <c r="BT179" s="226"/>
      <c r="BU179" s="226"/>
      <c r="BV179" s="226"/>
      <c r="BW179" s="226"/>
      <c r="BX179" s="226"/>
    </row>
    <row r="180" spans="3:76" hidden="1">
      <c r="C180" s="317" t="s">
        <v>351</v>
      </c>
      <c r="D180" s="326">
        <f>T171/T168</f>
        <v>0.51486504310684167</v>
      </c>
      <c r="E180" s="226"/>
      <c r="F180" s="226"/>
      <c r="G180" s="226"/>
      <c r="H180" s="226"/>
      <c r="I180" s="226"/>
      <c r="J180" s="226"/>
      <c r="K180" s="226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6"/>
      <c r="AA180" s="226"/>
      <c r="AB180" s="226"/>
      <c r="AC180" s="226"/>
      <c r="AD180" s="226"/>
      <c r="AE180" s="226"/>
      <c r="AF180" s="226"/>
      <c r="AG180" s="226"/>
      <c r="AH180" s="226"/>
      <c r="AI180" s="226"/>
      <c r="AJ180" s="226"/>
      <c r="AK180" s="226"/>
      <c r="AL180" s="226"/>
      <c r="AM180" s="226"/>
      <c r="AN180" s="226"/>
      <c r="AO180" s="226"/>
      <c r="AP180" s="226"/>
      <c r="AQ180" s="226"/>
      <c r="AR180" s="226"/>
      <c r="AS180" s="226"/>
      <c r="AT180" s="226"/>
      <c r="AU180" s="226"/>
      <c r="AV180" s="226"/>
      <c r="AW180" s="226"/>
      <c r="AX180" s="226"/>
      <c r="AY180" s="226"/>
      <c r="AZ180" s="226"/>
      <c r="BA180" s="226"/>
      <c r="BB180" s="226"/>
      <c r="BC180" s="226"/>
      <c r="BD180" s="226"/>
      <c r="BE180" s="226"/>
      <c r="BF180" s="226"/>
      <c r="BG180" s="226"/>
      <c r="BH180" s="226"/>
      <c r="BI180" s="226"/>
      <c r="BJ180" s="226"/>
      <c r="BK180" s="226"/>
      <c r="BL180" s="226"/>
      <c r="BM180" s="226"/>
      <c r="BN180" s="226"/>
      <c r="BO180" s="226"/>
      <c r="BP180" s="226"/>
      <c r="BQ180" s="226"/>
      <c r="BR180" s="226"/>
      <c r="BS180" s="226"/>
      <c r="BT180" s="226"/>
      <c r="BU180" s="226"/>
      <c r="BV180" s="226"/>
      <c r="BW180" s="226"/>
      <c r="BX180" s="226"/>
    </row>
    <row r="181" spans="3:76" hidden="1">
      <c r="E181" s="226"/>
      <c r="F181" s="226"/>
      <c r="G181" s="226"/>
      <c r="H181" s="226"/>
      <c r="I181" s="226"/>
      <c r="J181" s="226"/>
      <c r="K181" s="226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6"/>
      <c r="AA181" s="226"/>
      <c r="AB181" s="226"/>
      <c r="AC181" s="226"/>
      <c r="AD181" s="226"/>
      <c r="AE181" s="226"/>
      <c r="AF181" s="226"/>
      <c r="AG181" s="226"/>
      <c r="AH181" s="226"/>
      <c r="AI181" s="226"/>
      <c r="AJ181" s="226"/>
      <c r="AK181" s="226"/>
      <c r="AL181" s="226"/>
      <c r="AM181" s="226"/>
      <c r="AN181" s="226"/>
      <c r="AO181" s="226"/>
      <c r="AP181" s="226"/>
      <c r="AQ181" s="226"/>
      <c r="AR181" s="226"/>
      <c r="AS181" s="226"/>
      <c r="AT181" s="226"/>
      <c r="AU181" s="226"/>
      <c r="AV181" s="226"/>
      <c r="AW181" s="226"/>
      <c r="AX181" s="226"/>
      <c r="AY181" s="226"/>
      <c r="AZ181" s="226"/>
      <c r="BA181" s="226"/>
      <c r="BB181" s="226"/>
      <c r="BC181" s="226"/>
      <c r="BD181" s="226"/>
      <c r="BE181" s="226"/>
      <c r="BF181" s="226"/>
      <c r="BG181" s="226"/>
      <c r="BH181" s="226"/>
      <c r="BI181" s="226"/>
      <c r="BJ181" s="226"/>
      <c r="BK181" s="226"/>
      <c r="BL181" s="226"/>
      <c r="BM181" s="226"/>
      <c r="BN181" s="226"/>
      <c r="BO181" s="226"/>
      <c r="BP181" s="226"/>
      <c r="BQ181" s="226"/>
      <c r="BR181" s="226"/>
      <c r="BS181" s="226"/>
      <c r="BT181" s="226"/>
      <c r="BU181" s="226"/>
      <c r="BV181" s="226"/>
      <c r="BW181" s="226"/>
      <c r="BX181" s="226"/>
    </row>
    <row r="182" spans="3:76" hidden="1">
      <c r="E182" s="226"/>
      <c r="F182" s="226"/>
      <c r="G182" s="226"/>
      <c r="H182" s="226"/>
      <c r="I182" s="226"/>
      <c r="J182" s="226"/>
      <c r="K182" s="226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6"/>
      <c r="AA182" s="226"/>
      <c r="AB182" s="226"/>
      <c r="AC182" s="226"/>
      <c r="AD182" s="226"/>
      <c r="AE182" s="226"/>
      <c r="AF182" s="226"/>
      <c r="AG182" s="226"/>
      <c r="AH182" s="226"/>
      <c r="AI182" s="226"/>
      <c r="AJ182" s="226"/>
      <c r="AK182" s="226"/>
      <c r="AL182" s="226"/>
      <c r="AM182" s="226"/>
      <c r="AN182" s="226"/>
      <c r="AO182" s="226"/>
      <c r="AP182" s="226"/>
      <c r="AQ182" s="226"/>
      <c r="AR182" s="226"/>
      <c r="AS182" s="226"/>
      <c r="AT182" s="226"/>
      <c r="AU182" s="226"/>
      <c r="AV182" s="226"/>
      <c r="AW182" s="226"/>
      <c r="AX182" s="226"/>
      <c r="AY182" s="226"/>
      <c r="AZ182" s="226"/>
      <c r="BA182" s="226"/>
      <c r="BB182" s="226"/>
      <c r="BC182" s="226"/>
      <c r="BD182" s="226"/>
      <c r="BE182" s="226"/>
      <c r="BF182" s="226"/>
      <c r="BG182" s="226"/>
      <c r="BH182" s="226"/>
      <c r="BI182" s="226"/>
      <c r="BJ182" s="226"/>
      <c r="BK182" s="226"/>
      <c r="BL182" s="226"/>
      <c r="BM182" s="226"/>
      <c r="BN182" s="226"/>
      <c r="BO182" s="226"/>
      <c r="BP182" s="226"/>
      <c r="BQ182" s="226"/>
      <c r="BR182" s="226"/>
      <c r="BS182" s="226"/>
      <c r="BT182" s="226"/>
      <c r="BU182" s="226"/>
      <c r="BV182" s="226"/>
      <c r="BW182" s="226"/>
      <c r="BX182" s="226"/>
    </row>
    <row r="183" spans="3:76" hidden="1">
      <c r="E183" s="226"/>
      <c r="F183" s="226"/>
      <c r="G183" s="226"/>
      <c r="H183" s="226"/>
      <c r="I183" s="226"/>
      <c r="J183" s="226"/>
      <c r="K183" s="226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6"/>
      <c r="AA183" s="226"/>
      <c r="AB183" s="226"/>
      <c r="AC183" s="226"/>
      <c r="AD183" s="226"/>
      <c r="AE183" s="226"/>
      <c r="AF183" s="226"/>
      <c r="AG183" s="226"/>
      <c r="AH183" s="226"/>
      <c r="AI183" s="226"/>
      <c r="AJ183" s="226"/>
      <c r="AK183" s="226"/>
      <c r="AL183" s="226"/>
      <c r="AM183" s="226"/>
      <c r="AN183" s="226"/>
      <c r="AO183" s="226"/>
      <c r="AP183" s="226"/>
      <c r="AQ183" s="226"/>
      <c r="AR183" s="226"/>
      <c r="AS183" s="226"/>
      <c r="AT183" s="226"/>
      <c r="AU183" s="226"/>
      <c r="AV183" s="226"/>
      <c r="AW183" s="226"/>
      <c r="AX183" s="226"/>
      <c r="AY183" s="226"/>
      <c r="AZ183" s="226"/>
      <c r="BA183" s="226"/>
      <c r="BB183" s="226"/>
      <c r="BC183" s="226"/>
      <c r="BD183" s="226"/>
      <c r="BE183" s="226"/>
      <c r="BF183" s="226"/>
      <c r="BG183" s="226"/>
      <c r="BH183" s="226"/>
      <c r="BI183" s="226"/>
      <c r="BJ183" s="226"/>
      <c r="BK183" s="226"/>
      <c r="BL183" s="226"/>
      <c r="BM183" s="226"/>
      <c r="BN183" s="226"/>
      <c r="BO183" s="226"/>
      <c r="BP183" s="226"/>
      <c r="BQ183" s="226"/>
      <c r="BR183" s="226"/>
      <c r="BS183" s="226"/>
      <c r="BT183" s="226"/>
      <c r="BU183" s="226"/>
      <c r="BV183" s="226"/>
      <c r="BW183" s="226"/>
      <c r="BX183" s="226"/>
    </row>
    <row r="184" spans="3:76" hidden="1">
      <c r="C184" s="314" t="s">
        <v>357</v>
      </c>
      <c r="D184" s="315"/>
      <c r="E184" s="316">
        <f t="shared" ref="E184:G184" si="81">-(E8+E94)</f>
        <v>0</v>
      </c>
      <c r="F184" s="316">
        <f t="shared" si="81"/>
        <v>0</v>
      </c>
      <c r="G184" s="316">
        <f t="shared" si="81"/>
        <v>0</v>
      </c>
      <c r="H184" s="315">
        <f>-5341205.5</f>
        <v>-5341205.5</v>
      </c>
      <c r="I184" s="315">
        <v>0</v>
      </c>
      <c r="J184" s="315">
        <v>0</v>
      </c>
      <c r="K184" s="315">
        <v>0</v>
      </c>
      <c r="L184" s="315">
        <v>0</v>
      </c>
      <c r="M184" s="315">
        <v>0</v>
      </c>
      <c r="N184" s="315">
        <v>0</v>
      </c>
      <c r="O184" s="315">
        <v>0</v>
      </c>
      <c r="P184" s="315">
        <v>0</v>
      </c>
      <c r="Q184" s="315">
        <v>0</v>
      </c>
      <c r="R184" s="315">
        <v>0</v>
      </c>
      <c r="S184" s="315">
        <v>0</v>
      </c>
      <c r="T184" s="315">
        <f>5341205.5</f>
        <v>5341205.5</v>
      </c>
      <c r="U184" s="316">
        <f t="shared" ref="U184:Z184" si="82">-(U8+U94)</f>
        <v>0</v>
      </c>
      <c r="V184" s="316">
        <f t="shared" si="82"/>
        <v>0</v>
      </c>
      <c r="W184" s="316">
        <f t="shared" si="82"/>
        <v>0</v>
      </c>
      <c r="X184" s="316">
        <f t="shared" si="82"/>
        <v>0</v>
      </c>
      <c r="Y184" s="316">
        <f t="shared" si="82"/>
        <v>0</v>
      </c>
      <c r="Z184" s="316">
        <f t="shared" si="82"/>
        <v>0</v>
      </c>
      <c r="AA184" s="316"/>
      <c r="AB184" s="316">
        <f t="shared" ref="AB184:AE184" si="83">-(AB8+AB94)</f>
        <v>0</v>
      </c>
      <c r="AC184" s="316">
        <f t="shared" si="83"/>
        <v>0</v>
      </c>
      <c r="AD184" s="316">
        <f t="shared" si="83"/>
        <v>0</v>
      </c>
      <c r="AE184" s="316">
        <f t="shared" si="83"/>
        <v>0</v>
      </c>
      <c r="AF184" s="316"/>
      <c r="AG184" s="316"/>
      <c r="AH184" s="316"/>
      <c r="AI184" s="316"/>
      <c r="AJ184" s="316"/>
      <c r="AK184" s="316">
        <f t="shared" ref="AK184:BX184" si="84">-(AK8+AK94)</f>
        <v>0</v>
      </c>
      <c r="AL184" s="316">
        <f t="shared" si="84"/>
        <v>0</v>
      </c>
      <c r="AM184" s="316">
        <f t="shared" si="84"/>
        <v>0</v>
      </c>
      <c r="AN184" s="316">
        <f t="shared" si="84"/>
        <v>0</v>
      </c>
      <c r="AO184" s="316">
        <f t="shared" si="84"/>
        <v>0</v>
      </c>
      <c r="AP184" s="316">
        <f t="shared" si="84"/>
        <v>0</v>
      </c>
      <c r="AQ184" s="316">
        <f t="shared" si="84"/>
        <v>0</v>
      </c>
      <c r="AR184" s="316">
        <f t="shared" si="84"/>
        <v>0</v>
      </c>
      <c r="AS184" s="316">
        <f t="shared" si="84"/>
        <v>0</v>
      </c>
      <c r="AT184" s="316">
        <f t="shared" si="84"/>
        <v>0</v>
      </c>
      <c r="AU184" s="316">
        <f t="shared" si="84"/>
        <v>0</v>
      </c>
      <c r="AV184" s="316">
        <f t="shared" si="84"/>
        <v>0</v>
      </c>
      <c r="AW184" s="316">
        <f t="shared" si="84"/>
        <v>0</v>
      </c>
      <c r="AX184" s="316">
        <f t="shared" si="84"/>
        <v>0</v>
      </c>
      <c r="AY184" s="316">
        <f t="shared" si="84"/>
        <v>0</v>
      </c>
      <c r="AZ184" s="316">
        <f t="shared" si="84"/>
        <v>0</v>
      </c>
      <c r="BA184" s="316">
        <f t="shared" si="84"/>
        <v>0</v>
      </c>
      <c r="BB184" s="316">
        <f t="shared" si="84"/>
        <v>0</v>
      </c>
      <c r="BC184" s="316">
        <f t="shared" si="84"/>
        <v>0</v>
      </c>
      <c r="BD184" s="316">
        <f t="shared" si="84"/>
        <v>0</v>
      </c>
      <c r="BE184" s="316">
        <f t="shared" si="84"/>
        <v>0</v>
      </c>
      <c r="BF184" s="316">
        <f t="shared" si="84"/>
        <v>0</v>
      </c>
      <c r="BG184" s="316">
        <f t="shared" si="84"/>
        <v>0</v>
      </c>
      <c r="BH184" s="316">
        <f t="shared" si="84"/>
        <v>0</v>
      </c>
      <c r="BI184" s="316">
        <f t="shared" si="84"/>
        <v>0</v>
      </c>
      <c r="BJ184" s="316">
        <f t="shared" si="84"/>
        <v>0</v>
      </c>
      <c r="BK184" s="316">
        <f t="shared" si="84"/>
        <v>0</v>
      </c>
      <c r="BL184" s="316">
        <f t="shared" si="84"/>
        <v>0</v>
      </c>
      <c r="BM184" s="316">
        <f t="shared" si="84"/>
        <v>0</v>
      </c>
      <c r="BN184" s="316">
        <f t="shared" si="84"/>
        <v>0</v>
      </c>
      <c r="BO184" s="316">
        <f t="shared" si="84"/>
        <v>0</v>
      </c>
      <c r="BP184" s="316">
        <f t="shared" si="84"/>
        <v>0</v>
      </c>
      <c r="BQ184" s="316">
        <f t="shared" si="84"/>
        <v>0</v>
      </c>
      <c r="BR184" s="316">
        <f t="shared" si="84"/>
        <v>0</v>
      </c>
      <c r="BS184" s="316">
        <f t="shared" si="84"/>
        <v>0</v>
      </c>
      <c r="BT184" s="316">
        <f t="shared" si="84"/>
        <v>0</v>
      </c>
      <c r="BU184" s="316">
        <f t="shared" si="84"/>
        <v>0</v>
      </c>
      <c r="BV184" s="316">
        <f t="shared" si="84"/>
        <v>0</v>
      </c>
      <c r="BW184" s="316">
        <f t="shared" si="84"/>
        <v>0</v>
      </c>
      <c r="BX184" s="316">
        <f t="shared" si="84"/>
        <v>0</v>
      </c>
    </row>
    <row r="185" spans="3:76" hidden="1">
      <c r="C185" s="314" t="s">
        <v>353</v>
      </c>
      <c r="D185" s="323"/>
      <c r="E185" s="315"/>
      <c r="F185" s="315"/>
      <c r="G185" s="315"/>
      <c r="H185" s="315"/>
      <c r="I185" s="315"/>
      <c r="J185" s="315"/>
      <c r="K185" s="315"/>
      <c r="L185" s="315"/>
      <c r="M185" s="315"/>
      <c r="N185" s="315"/>
      <c r="O185" s="315"/>
      <c r="P185" s="315"/>
      <c r="Q185" s="315"/>
      <c r="R185" s="315"/>
      <c r="S185" s="315"/>
      <c r="T185" s="315"/>
      <c r="U185" s="315"/>
      <c r="V185" s="315"/>
      <c r="W185" s="315"/>
      <c r="X185" s="315"/>
      <c r="Y185" s="315"/>
      <c r="Z185" s="315"/>
      <c r="AA185" s="315"/>
      <c r="AB185" s="315"/>
      <c r="AC185" s="315"/>
      <c r="AD185" s="315"/>
      <c r="AE185" s="315"/>
      <c r="AF185" s="315"/>
      <c r="AG185" s="315"/>
      <c r="AH185" s="315"/>
      <c r="AI185" s="315"/>
      <c r="AJ185" s="315"/>
      <c r="AK185" s="315"/>
      <c r="AL185" s="315"/>
      <c r="AM185" s="315"/>
      <c r="AN185" s="315"/>
      <c r="AO185" s="315"/>
      <c r="AP185" s="315"/>
      <c r="AQ185" s="315"/>
      <c r="AR185" s="315"/>
      <c r="AS185" s="315"/>
      <c r="AT185" s="315"/>
      <c r="AU185" s="315"/>
      <c r="AV185" s="315"/>
      <c r="AW185" s="315"/>
      <c r="AX185" s="315"/>
      <c r="AY185" s="315"/>
      <c r="AZ185" s="315"/>
      <c r="BA185" s="315"/>
      <c r="BB185" s="315"/>
      <c r="BC185" s="316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</row>
    <row r="186" spans="3:76" hidden="1">
      <c r="C186" s="314" t="s">
        <v>343</v>
      </c>
      <c r="D186" s="323"/>
      <c r="E186" s="315">
        <f t="shared" ref="E186:G186" si="85">-E59</f>
        <v>0</v>
      </c>
      <c r="F186" s="315">
        <f t="shared" si="85"/>
        <v>0</v>
      </c>
      <c r="G186" s="315">
        <f t="shared" si="85"/>
        <v>0</v>
      </c>
      <c r="H186" s="315">
        <f t="shared" ref="H186:T186" si="86">-H74</f>
        <v>0</v>
      </c>
      <c r="I186" s="315">
        <f t="shared" si="86"/>
        <v>0</v>
      </c>
      <c r="J186" s="315">
        <f t="shared" si="86"/>
        <v>0</v>
      </c>
      <c r="K186" s="315">
        <f t="shared" si="86"/>
        <v>0</v>
      </c>
      <c r="L186" s="315">
        <f t="shared" si="86"/>
        <v>0</v>
      </c>
      <c r="M186" s="315">
        <f t="shared" si="86"/>
        <v>0</v>
      </c>
      <c r="N186" s="315">
        <f t="shared" si="86"/>
        <v>0</v>
      </c>
      <c r="O186" s="315">
        <f t="shared" si="86"/>
        <v>0</v>
      </c>
      <c r="P186" s="315">
        <f t="shared" si="86"/>
        <v>0</v>
      </c>
      <c r="Q186" s="315">
        <f t="shared" si="86"/>
        <v>0</v>
      </c>
      <c r="R186" s="315">
        <f t="shared" si="86"/>
        <v>0</v>
      </c>
      <c r="S186" s="315">
        <f t="shared" si="86"/>
        <v>0</v>
      </c>
      <c r="T186" s="315">
        <f t="shared" si="86"/>
        <v>0</v>
      </c>
      <c r="U186" s="315">
        <f t="shared" ref="U186:Z186" si="87">-U59</f>
        <v>0</v>
      </c>
      <c r="V186" s="315">
        <f t="shared" si="87"/>
        <v>0</v>
      </c>
      <c r="W186" s="315">
        <f t="shared" si="87"/>
        <v>0</v>
      </c>
      <c r="X186" s="315">
        <f t="shared" si="87"/>
        <v>0</v>
      </c>
      <c r="Y186" s="315">
        <f t="shared" si="87"/>
        <v>0</v>
      </c>
      <c r="Z186" s="315">
        <f t="shared" si="87"/>
        <v>0</v>
      </c>
      <c r="AA186" s="315"/>
      <c r="AB186" s="315">
        <f t="shared" ref="AB186:AE186" si="88">-AB59</f>
        <v>0</v>
      </c>
      <c r="AC186" s="315">
        <f t="shared" si="88"/>
        <v>0</v>
      </c>
      <c r="AD186" s="315">
        <f t="shared" si="88"/>
        <v>0</v>
      </c>
      <c r="AE186" s="315">
        <f t="shared" si="88"/>
        <v>0</v>
      </c>
      <c r="AF186" s="315"/>
      <c r="AG186" s="315"/>
      <c r="AH186" s="315"/>
      <c r="AI186" s="315"/>
      <c r="AJ186" s="315"/>
      <c r="AK186" s="315">
        <f t="shared" ref="AK186:BX186" si="89">-AK59</f>
        <v>0</v>
      </c>
      <c r="AL186" s="315">
        <f t="shared" si="89"/>
        <v>0</v>
      </c>
      <c r="AM186" s="315">
        <f t="shared" si="89"/>
        <v>0</v>
      </c>
      <c r="AN186" s="315">
        <f t="shared" si="89"/>
        <v>0</v>
      </c>
      <c r="AO186" s="315">
        <f t="shared" si="89"/>
        <v>0</v>
      </c>
      <c r="AP186" s="315">
        <f t="shared" si="89"/>
        <v>0</v>
      </c>
      <c r="AQ186" s="315">
        <f t="shared" si="89"/>
        <v>0</v>
      </c>
      <c r="AR186" s="315">
        <f t="shared" si="89"/>
        <v>0</v>
      </c>
      <c r="AS186" s="315">
        <f t="shared" si="89"/>
        <v>0</v>
      </c>
      <c r="AT186" s="315">
        <f t="shared" si="89"/>
        <v>0</v>
      </c>
      <c r="AU186" s="315">
        <f t="shared" si="89"/>
        <v>0</v>
      </c>
      <c r="AV186" s="315">
        <f t="shared" si="89"/>
        <v>0</v>
      </c>
      <c r="AW186" s="315">
        <f t="shared" si="89"/>
        <v>0</v>
      </c>
      <c r="AX186" s="315">
        <f t="shared" si="89"/>
        <v>0</v>
      </c>
      <c r="AY186" s="315">
        <f t="shared" si="89"/>
        <v>0</v>
      </c>
      <c r="AZ186" s="315">
        <f t="shared" si="89"/>
        <v>0</v>
      </c>
      <c r="BA186" s="315">
        <f t="shared" si="89"/>
        <v>0</v>
      </c>
      <c r="BB186" s="315">
        <f t="shared" si="89"/>
        <v>0</v>
      </c>
      <c r="BC186" s="315">
        <f t="shared" si="89"/>
        <v>0</v>
      </c>
      <c r="BD186" s="315">
        <f t="shared" si="89"/>
        <v>0</v>
      </c>
      <c r="BE186" s="315">
        <f t="shared" si="89"/>
        <v>0</v>
      </c>
      <c r="BF186" s="315">
        <f t="shared" si="89"/>
        <v>0</v>
      </c>
      <c r="BG186" s="315">
        <f t="shared" si="89"/>
        <v>0</v>
      </c>
      <c r="BH186" s="315">
        <f t="shared" si="89"/>
        <v>0</v>
      </c>
      <c r="BI186" s="315">
        <f t="shared" si="89"/>
        <v>0</v>
      </c>
      <c r="BJ186" s="315">
        <f t="shared" si="89"/>
        <v>0</v>
      </c>
      <c r="BK186" s="315">
        <f t="shared" si="89"/>
        <v>0</v>
      </c>
      <c r="BL186" s="315">
        <f t="shared" si="89"/>
        <v>0</v>
      </c>
      <c r="BM186" s="315">
        <f t="shared" si="89"/>
        <v>0</v>
      </c>
      <c r="BN186" s="315">
        <f t="shared" si="89"/>
        <v>0</v>
      </c>
      <c r="BO186" s="315">
        <f t="shared" si="89"/>
        <v>0</v>
      </c>
      <c r="BP186" s="315">
        <f t="shared" si="89"/>
        <v>0</v>
      </c>
      <c r="BQ186" s="315">
        <f t="shared" si="89"/>
        <v>0</v>
      </c>
      <c r="BR186" s="315">
        <f t="shared" si="89"/>
        <v>0</v>
      </c>
      <c r="BS186" s="315">
        <f t="shared" si="89"/>
        <v>0</v>
      </c>
      <c r="BT186" s="315">
        <f t="shared" si="89"/>
        <v>0</v>
      </c>
      <c r="BU186" s="315">
        <f t="shared" si="89"/>
        <v>0</v>
      </c>
      <c r="BV186" s="315">
        <f t="shared" si="89"/>
        <v>0</v>
      </c>
      <c r="BW186" s="315">
        <f t="shared" si="89"/>
        <v>0</v>
      </c>
      <c r="BX186" s="315">
        <f t="shared" si="89"/>
        <v>0</v>
      </c>
    </row>
    <row r="187" spans="3:76" hidden="1">
      <c r="C187" s="314" t="s">
        <v>344</v>
      </c>
      <c r="D187" s="323"/>
      <c r="E187" s="315"/>
      <c r="F187" s="315"/>
      <c r="G187" s="315"/>
      <c r="H187" s="315"/>
      <c r="I187" s="315"/>
      <c r="J187" s="315"/>
      <c r="K187" s="315"/>
      <c r="L187" s="315"/>
      <c r="M187" s="315"/>
      <c r="N187" s="315"/>
      <c r="O187" s="315"/>
      <c r="P187" s="315"/>
      <c r="Q187" s="315"/>
      <c r="R187" s="315"/>
      <c r="S187" s="315"/>
      <c r="T187" s="315">
        <v>2750000</v>
      </c>
      <c r="U187" s="315"/>
      <c r="V187" s="315"/>
      <c r="W187" s="315"/>
      <c r="X187" s="315"/>
      <c r="Y187" s="315"/>
      <c r="Z187" s="315"/>
      <c r="AA187" s="315"/>
      <c r="AB187" s="315"/>
      <c r="AC187" s="315"/>
      <c r="AD187" s="315"/>
      <c r="AE187" s="315"/>
      <c r="AF187" s="315"/>
      <c r="AG187" s="315"/>
      <c r="AH187" s="315"/>
      <c r="AI187" s="315"/>
      <c r="AJ187" s="315"/>
      <c r="AK187" s="315"/>
      <c r="AL187" s="315"/>
      <c r="AM187" s="315"/>
      <c r="AN187" s="315"/>
      <c r="AO187" s="315"/>
      <c r="AP187" s="315"/>
      <c r="AQ187" s="315"/>
      <c r="AR187" s="315"/>
      <c r="AS187" s="315"/>
      <c r="AT187" s="315"/>
      <c r="AU187" s="315"/>
      <c r="AV187" s="315"/>
      <c r="AW187" s="315"/>
      <c r="AX187" s="315"/>
      <c r="AY187" s="315"/>
      <c r="AZ187" s="315"/>
      <c r="BA187" s="315"/>
      <c r="BB187" s="315"/>
      <c r="BC187" s="316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>
        <f>IF(D111&gt;0.25,(BX101-BX114)*D188,BX101*D188)</f>
        <v>0</v>
      </c>
    </row>
    <row r="188" spans="3:76" hidden="1">
      <c r="C188" s="317" t="s">
        <v>345</v>
      </c>
      <c r="D188" s="323">
        <v>0</v>
      </c>
      <c r="E188" s="315"/>
      <c r="F188" s="315"/>
      <c r="G188" s="315"/>
      <c r="H188" s="246"/>
      <c r="I188" s="246"/>
      <c r="J188" s="246"/>
      <c r="K188" s="246"/>
      <c r="L188" s="246"/>
      <c r="M188" s="246"/>
      <c r="N188" s="246"/>
      <c r="O188" s="246"/>
      <c r="P188" s="246"/>
      <c r="Q188" s="246"/>
      <c r="R188" s="246"/>
      <c r="S188" s="246"/>
      <c r="T188" s="246"/>
      <c r="U188" s="315"/>
      <c r="V188" s="315"/>
      <c r="W188" s="315"/>
      <c r="X188" s="315"/>
      <c r="Y188" s="315"/>
      <c r="Z188" s="315"/>
      <c r="AA188" s="315"/>
      <c r="AB188" s="315"/>
      <c r="AC188" s="315"/>
      <c r="AD188" s="315"/>
      <c r="AE188" s="315"/>
      <c r="AF188" s="315"/>
      <c r="AG188" s="315"/>
      <c r="AH188" s="315"/>
      <c r="AI188" s="315"/>
      <c r="AJ188" s="315"/>
      <c r="AK188" s="315"/>
      <c r="AL188" s="315"/>
      <c r="AM188" s="315"/>
      <c r="AN188" s="315"/>
      <c r="AO188" s="315"/>
      <c r="AP188" s="315"/>
      <c r="AQ188" s="315"/>
      <c r="AR188" s="315"/>
      <c r="AS188" s="315"/>
      <c r="AT188" s="315"/>
      <c r="AU188" s="315"/>
      <c r="AV188" s="315"/>
      <c r="AW188" s="315"/>
      <c r="AX188" s="315"/>
      <c r="AY188" s="315"/>
      <c r="AZ188" s="315"/>
      <c r="BA188" s="315"/>
      <c r="BB188" s="315"/>
      <c r="BC188" s="316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</row>
    <row r="189" spans="3:76" hidden="1">
      <c r="C189" s="314" t="s">
        <v>346</v>
      </c>
      <c r="D189" s="315"/>
      <c r="E189" s="325">
        <f t="shared" ref="E189:Z189" si="90">E184+E185+E186+E187+E188</f>
        <v>0</v>
      </c>
      <c r="F189" s="325">
        <f t="shared" si="90"/>
        <v>0</v>
      </c>
      <c r="G189" s="325">
        <f t="shared" si="90"/>
        <v>0</v>
      </c>
      <c r="H189" s="325">
        <f t="shared" si="90"/>
        <v>-5341205.5</v>
      </c>
      <c r="I189" s="325">
        <f t="shared" si="90"/>
        <v>0</v>
      </c>
      <c r="J189" s="325">
        <f t="shared" si="90"/>
        <v>0</v>
      </c>
      <c r="K189" s="325">
        <f t="shared" si="90"/>
        <v>0</v>
      </c>
      <c r="L189" s="325">
        <f t="shared" si="90"/>
        <v>0</v>
      </c>
      <c r="M189" s="325">
        <f t="shared" si="90"/>
        <v>0</v>
      </c>
      <c r="N189" s="325">
        <f t="shared" si="90"/>
        <v>0</v>
      </c>
      <c r="O189" s="325">
        <f t="shared" si="90"/>
        <v>0</v>
      </c>
      <c r="P189" s="325">
        <f t="shared" si="90"/>
        <v>0</v>
      </c>
      <c r="Q189" s="325">
        <f t="shared" si="90"/>
        <v>0</v>
      </c>
      <c r="R189" s="325">
        <f t="shared" si="90"/>
        <v>0</v>
      </c>
      <c r="S189" s="325">
        <f t="shared" si="90"/>
        <v>0</v>
      </c>
      <c r="T189" s="325">
        <f t="shared" si="90"/>
        <v>8091205.5</v>
      </c>
      <c r="U189" s="325">
        <f t="shared" si="90"/>
        <v>0</v>
      </c>
      <c r="V189" s="325">
        <f t="shared" si="90"/>
        <v>0</v>
      </c>
      <c r="W189" s="325">
        <f t="shared" si="90"/>
        <v>0</v>
      </c>
      <c r="X189" s="325">
        <f t="shared" si="90"/>
        <v>0</v>
      </c>
      <c r="Y189" s="325">
        <f t="shared" si="90"/>
        <v>0</v>
      </c>
      <c r="Z189" s="325">
        <f t="shared" si="90"/>
        <v>0</v>
      </c>
      <c r="AA189" s="325"/>
      <c r="AB189" s="325">
        <f t="shared" ref="AB189:AE189" si="91">AB184+AB185+AB186+AB187+AB188</f>
        <v>0</v>
      </c>
      <c r="AC189" s="325">
        <f t="shared" si="91"/>
        <v>0</v>
      </c>
      <c r="AD189" s="325">
        <f t="shared" si="91"/>
        <v>0</v>
      </c>
      <c r="AE189" s="325">
        <f t="shared" si="91"/>
        <v>0</v>
      </c>
      <c r="AF189" s="325"/>
      <c r="AG189" s="325"/>
      <c r="AH189" s="325"/>
      <c r="AI189" s="325"/>
      <c r="AJ189" s="325"/>
      <c r="AK189" s="325">
        <f t="shared" ref="AK189:BX189" si="92">AK184+AK185+AK186+AK187+AK188</f>
        <v>0</v>
      </c>
      <c r="AL189" s="325">
        <f t="shared" si="92"/>
        <v>0</v>
      </c>
      <c r="AM189" s="325">
        <f t="shared" si="92"/>
        <v>0</v>
      </c>
      <c r="AN189" s="325">
        <f t="shared" si="92"/>
        <v>0</v>
      </c>
      <c r="AO189" s="325">
        <f t="shared" si="92"/>
        <v>0</v>
      </c>
      <c r="AP189" s="325">
        <f t="shared" si="92"/>
        <v>0</v>
      </c>
      <c r="AQ189" s="325">
        <f t="shared" si="92"/>
        <v>0</v>
      </c>
      <c r="AR189" s="325">
        <f t="shared" si="92"/>
        <v>0</v>
      </c>
      <c r="AS189" s="325">
        <f t="shared" si="92"/>
        <v>0</v>
      </c>
      <c r="AT189" s="325">
        <f t="shared" si="92"/>
        <v>0</v>
      </c>
      <c r="AU189" s="325">
        <f t="shared" si="92"/>
        <v>0</v>
      </c>
      <c r="AV189" s="325">
        <f t="shared" si="92"/>
        <v>0</v>
      </c>
      <c r="AW189" s="325">
        <f t="shared" si="92"/>
        <v>0</v>
      </c>
      <c r="AX189" s="325">
        <f t="shared" si="92"/>
        <v>0</v>
      </c>
      <c r="AY189" s="325">
        <f t="shared" si="92"/>
        <v>0</v>
      </c>
      <c r="AZ189" s="325">
        <f t="shared" si="92"/>
        <v>0</v>
      </c>
      <c r="BA189" s="325">
        <f t="shared" si="92"/>
        <v>0</v>
      </c>
      <c r="BB189" s="325">
        <f t="shared" si="92"/>
        <v>0</v>
      </c>
      <c r="BC189" s="325">
        <f t="shared" si="92"/>
        <v>0</v>
      </c>
      <c r="BD189" s="325">
        <f t="shared" si="92"/>
        <v>0</v>
      </c>
      <c r="BE189" s="325">
        <f t="shared" si="92"/>
        <v>0</v>
      </c>
      <c r="BF189" s="325">
        <f t="shared" si="92"/>
        <v>0</v>
      </c>
      <c r="BG189" s="325">
        <f t="shared" si="92"/>
        <v>0</v>
      </c>
      <c r="BH189" s="325">
        <f t="shared" si="92"/>
        <v>0</v>
      </c>
      <c r="BI189" s="325">
        <f t="shared" si="92"/>
        <v>0</v>
      </c>
      <c r="BJ189" s="325">
        <f t="shared" si="92"/>
        <v>0</v>
      </c>
      <c r="BK189" s="325">
        <f t="shared" si="92"/>
        <v>0</v>
      </c>
      <c r="BL189" s="325">
        <f t="shared" si="92"/>
        <v>0</v>
      </c>
      <c r="BM189" s="325">
        <f t="shared" si="92"/>
        <v>0</v>
      </c>
      <c r="BN189" s="325">
        <f t="shared" si="92"/>
        <v>0</v>
      </c>
      <c r="BO189" s="325">
        <f t="shared" si="92"/>
        <v>0</v>
      </c>
      <c r="BP189" s="325">
        <f t="shared" si="92"/>
        <v>0</v>
      </c>
      <c r="BQ189" s="325">
        <f t="shared" si="92"/>
        <v>0</v>
      </c>
      <c r="BR189" s="325">
        <f t="shared" si="92"/>
        <v>0</v>
      </c>
      <c r="BS189" s="325">
        <f t="shared" si="92"/>
        <v>0</v>
      </c>
      <c r="BT189" s="325">
        <f t="shared" si="92"/>
        <v>0</v>
      </c>
      <c r="BU189" s="325">
        <f t="shared" si="92"/>
        <v>0</v>
      </c>
      <c r="BV189" s="325">
        <f t="shared" si="92"/>
        <v>0</v>
      </c>
      <c r="BW189" s="325">
        <f t="shared" si="92"/>
        <v>0</v>
      </c>
      <c r="BX189" s="325">
        <f t="shared" si="92"/>
        <v>0</v>
      </c>
    </row>
    <row r="190" spans="3:76" hidden="1">
      <c r="C190" s="318"/>
      <c r="D190" s="326" t="s">
        <v>354</v>
      </c>
      <c r="E190" s="330">
        <f>E189</f>
        <v>0</v>
      </c>
      <c r="F190" s="330">
        <f t="shared" ref="F190:Z190" si="93">E190+F189</f>
        <v>0</v>
      </c>
      <c r="G190" s="330">
        <f t="shared" si="93"/>
        <v>0</v>
      </c>
      <c r="H190" s="330">
        <f t="shared" si="93"/>
        <v>-5341205.5</v>
      </c>
      <c r="I190" s="330">
        <f t="shared" si="93"/>
        <v>-5341205.5</v>
      </c>
      <c r="J190" s="330">
        <f t="shared" si="93"/>
        <v>-5341205.5</v>
      </c>
      <c r="K190" s="330">
        <f t="shared" si="93"/>
        <v>-5341205.5</v>
      </c>
      <c r="L190" s="330">
        <f t="shared" si="93"/>
        <v>-5341205.5</v>
      </c>
      <c r="M190" s="330">
        <f t="shared" si="93"/>
        <v>-5341205.5</v>
      </c>
      <c r="N190" s="330">
        <f t="shared" si="93"/>
        <v>-5341205.5</v>
      </c>
      <c r="O190" s="330">
        <f t="shared" si="93"/>
        <v>-5341205.5</v>
      </c>
      <c r="P190" s="330">
        <f t="shared" si="93"/>
        <v>-5341205.5</v>
      </c>
      <c r="Q190" s="330">
        <f t="shared" si="93"/>
        <v>-5341205.5</v>
      </c>
      <c r="R190" s="330">
        <f t="shared" si="93"/>
        <v>-5341205.5</v>
      </c>
      <c r="S190" s="330">
        <f t="shared" si="93"/>
        <v>-5341205.5</v>
      </c>
      <c r="T190" s="330">
        <f t="shared" si="93"/>
        <v>2750000</v>
      </c>
      <c r="U190" s="330">
        <f t="shared" si="93"/>
        <v>2750000</v>
      </c>
      <c r="V190" s="331">
        <f t="shared" si="93"/>
        <v>2750000</v>
      </c>
      <c r="W190" s="331">
        <f t="shared" si="93"/>
        <v>2750000</v>
      </c>
      <c r="X190" s="331">
        <f t="shared" si="93"/>
        <v>2750000</v>
      </c>
      <c r="Y190" s="331">
        <f t="shared" si="93"/>
        <v>2750000</v>
      </c>
      <c r="Z190" s="331">
        <f t="shared" si="93"/>
        <v>2750000</v>
      </c>
      <c r="AA190" s="331"/>
      <c r="AB190" s="331">
        <f t="shared" ref="AB190:AE190" si="94">AA190+AB189</f>
        <v>0</v>
      </c>
      <c r="AC190" s="331">
        <f t="shared" si="94"/>
        <v>0</v>
      </c>
      <c r="AD190" s="331">
        <f t="shared" si="94"/>
        <v>0</v>
      </c>
      <c r="AE190" s="331">
        <f t="shared" si="94"/>
        <v>0</v>
      </c>
      <c r="AF190" s="331"/>
      <c r="AG190" s="331"/>
      <c r="AH190" s="331"/>
      <c r="AI190" s="331"/>
      <c r="AJ190" s="331"/>
      <c r="AK190" s="331">
        <f t="shared" ref="AK190:BX190" si="95">AJ190+AK189</f>
        <v>0</v>
      </c>
      <c r="AL190" s="331">
        <f t="shared" si="95"/>
        <v>0</v>
      </c>
      <c r="AM190" s="331">
        <f t="shared" si="95"/>
        <v>0</v>
      </c>
      <c r="AN190" s="331">
        <f t="shared" si="95"/>
        <v>0</v>
      </c>
      <c r="AO190" s="331">
        <f t="shared" si="95"/>
        <v>0</v>
      </c>
      <c r="AP190" s="331">
        <f t="shared" si="95"/>
        <v>0</v>
      </c>
      <c r="AQ190" s="331">
        <f t="shared" si="95"/>
        <v>0</v>
      </c>
      <c r="AR190" s="331">
        <f t="shared" si="95"/>
        <v>0</v>
      </c>
      <c r="AS190" s="331">
        <f t="shared" si="95"/>
        <v>0</v>
      </c>
      <c r="AT190" s="331">
        <f t="shared" si="95"/>
        <v>0</v>
      </c>
      <c r="AU190" s="331">
        <f t="shared" si="95"/>
        <v>0</v>
      </c>
      <c r="AV190" s="331">
        <f t="shared" si="95"/>
        <v>0</v>
      </c>
      <c r="AW190" s="331">
        <f t="shared" si="95"/>
        <v>0</v>
      </c>
      <c r="AX190" s="331">
        <f t="shared" si="95"/>
        <v>0</v>
      </c>
      <c r="AY190" s="331">
        <f t="shared" si="95"/>
        <v>0</v>
      </c>
      <c r="AZ190" s="331">
        <f t="shared" si="95"/>
        <v>0</v>
      </c>
      <c r="BA190" s="331">
        <f t="shared" si="95"/>
        <v>0</v>
      </c>
      <c r="BB190" s="331">
        <f t="shared" si="95"/>
        <v>0</v>
      </c>
      <c r="BC190" s="330">
        <f t="shared" si="95"/>
        <v>0</v>
      </c>
      <c r="BD190" s="330">
        <f t="shared" si="95"/>
        <v>0</v>
      </c>
      <c r="BE190" s="330">
        <f t="shared" si="95"/>
        <v>0</v>
      </c>
      <c r="BF190" s="330">
        <f t="shared" si="95"/>
        <v>0</v>
      </c>
      <c r="BG190" s="330">
        <f t="shared" si="95"/>
        <v>0</v>
      </c>
      <c r="BH190" s="330">
        <f t="shared" si="95"/>
        <v>0</v>
      </c>
      <c r="BI190" s="330">
        <f t="shared" si="95"/>
        <v>0</v>
      </c>
      <c r="BJ190" s="330">
        <f t="shared" si="95"/>
        <v>0</v>
      </c>
      <c r="BK190" s="330">
        <f t="shared" si="95"/>
        <v>0</v>
      </c>
      <c r="BL190" s="330">
        <f t="shared" si="95"/>
        <v>0</v>
      </c>
      <c r="BM190" s="330">
        <f t="shared" si="95"/>
        <v>0</v>
      </c>
      <c r="BN190" s="330">
        <f t="shared" si="95"/>
        <v>0</v>
      </c>
      <c r="BO190" s="330">
        <f t="shared" si="95"/>
        <v>0</v>
      </c>
      <c r="BP190" s="330">
        <f t="shared" si="95"/>
        <v>0</v>
      </c>
      <c r="BQ190" s="330">
        <f t="shared" si="95"/>
        <v>0</v>
      </c>
      <c r="BR190" s="330">
        <f t="shared" si="95"/>
        <v>0</v>
      </c>
      <c r="BS190" s="330">
        <f t="shared" si="95"/>
        <v>0</v>
      </c>
      <c r="BT190" s="330">
        <f t="shared" si="95"/>
        <v>0</v>
      </c>
      <c r="BU190" s="330">
        <f t="shared" si="95"/>
        <v>0</v>
      </c>
      <c r="BV190" s="330">
        <f t="shared" si="95"/>
        <v>0</v>
      </c>
      <c r="BW190" s="330">
        <f t="shared" si="95"/>
        <v>0</v>
      </c>
      <c r="BX190" s="330">
        <f t="shared" si="95"/>
        <v>0</v>
      </c>
    </row>
    <row r="191" spans="3:76" hidden="1">
      <c r="C191" s="317" t="s">
        <v>339</v>
      </c>
      <c r="D191" s="326">
        <f>IRR(E189:BX189)*12</f>
        <v>0.42259732866030397</v>
      </c>
      <c r="E191" s="226"/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6"/>
      <c r="AA191" s="226"/>
      <c r="AB191" s="226"/>
      <c r="AC191" s="226"/>
      <c r="AD191" s="226"/>
      <c r="AE191" s="226"/>
      <c r="AF191" s="226"/>
      <c r="AG191" s="226"/>
      <c r="AH191" s="226"/>
      <c r="AI191" s="226"/>
      <c r="AJ191" s="226"/>
      <c r="AK191" s="226"/>
      <c r="AL191" s="226"/>
      <c r="AM191" s="226"/>
      <c r="AN191" s="226"/>
      <c r="AO191" s="226"/>
      <c r="AP191" s="226"/>
      <c r="AQ191" s="226"/>
      <c r="AR191" s="226"/>
      <c r="AS191" s="226"/>
      <c r="AT191" s="226"/>
      <c r="AU191" s="226"/>
      <c r="AV191" s="226"/>
      <c r="AW191" s="226"/>
      <c r="AX191" s="226"/>
      <c r="AY191" s="226"/>
      <c r="AZ191" s="226"/>
      <c r="BA191" s="226"/>
      <c r="BB191" s="226"/>
      <c r="BC191" s="226"/>
      <c r="BD191" s="226"/>
      <c r="BE191" s="226"/>
      <c r="BF191" s="226"/>
      <c r="BG191" s="226"/>
      <c r="BH191" s="226"/>
      <c r="BI191" s="226"/>
      <c r="BJ191" s="226"/>
      <c r="BK191" s="226"/>
      <c r="BL191" s="226"/>
      <c r="BM191" s="226"/>
      <c r="BN191" s="226"/>
      <c r="BO191" s="226"/>
      <c r="BP191" s="226"/>
      <c r="BQ191" s="226"/>
      <c r="BR191" s="226"/>
      <c r="BS191" s="226"/>
      <c r="BT191" s="226"/>
      <c r="BU191" s="226"/>
      <c r="BV191" s="226"/>
      <c r="BW191" s="226"/>
      <c r="BX191" s="226"/>
    </row>
    <row r="192" spans="3:76" hidden="1">
      <c r="C192" s="327" t="s">
        <v>347</v>
      </c>
      <c r="D192" s="328">
        <f>-MIN(M190:BL190)-D193</f>
        <v>5341205.5</v>
      </c>
      <c r="E192" s="226"/>
      <c r="F192" s="226"/>
      <c r="G192" s="226"/>
      <c r="H192" s="226"/>
      <c r="I192" s="226"/>
      <c r="J192" s="226"/>
      <c r="K192" s="226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6"/>
      <c r="AA192" s="226"/>
      <c r="AB192" s="226"/>
      <c r="AC192" s="226"/>
      <c r="AD192" s="226"/>
      <c r="AE192" s="226"/>
      <c r="AF192" s="226"/>
      <c r="AG192" s="226"/>
      <c r="AH192" s="226"/>
      <c r="AI192" s="226"/>
      <c r="AJ192" s="226"/>
      <c r="AK192" s="226"/>
      <c r="AL192" s="226"/>
      <c r="AM192" s="226"/>
      <c r="AN192" s="226"/>
      <c r="AO192" s="226"/>
      <c r="AP192" s="226"/>
      <c r="AQ192" s="226"/>
      <c r="AR192" s="226"/>
      <c r="AS192" s="226"/>
      <c r="AT192" s="226"/>
      <c r="AU192" s="226"/>
      <c r="AV192" s="226"/>
      <c r="AW192" s="226"/>
      <c r="AX192" s="226"/>
      <c r="AY192" s="226"/>
      <c r="AZ192" s="226"/>
      <c r="BA192" s="226"/>
      <c r="BB192" s="226"/>
      <c r="BC192" s="226"/>
      <c r="BD192" s="226"/>
      <c r="BE192" s="226"/>
      <c r="BF192" s="226"/>
      <c r="BG192" s="226"/>
      <c r="BH192" s="226"/>
      <c r="BI192" s="226"/>
      <c r="BJ192" s="226"/>
      <c r="BK192" s="226"/>
      <c r="BL192" s="226"/>
      <c r="BM192" s="226"/>
      <c r="BN192" s="226"/>
      <c r="BO192" s="226"/>
      <c r="BP192" s="226"/>
      <c r="BQ192" s="226"/>
      <c r="BR192" s="226"/>
      <c r="BS192" s="226"/>
      <c r="BT192" s="226"/>
      <c r="BU192" s="226"/>
      <c r="BV192" s="226"/>
      <c r="BW192" s="226"/>
      <c r="BX192" s="226"/>
    </row>
    <row r="193" spans="3:26" hidden="1">
      <c r="C193" s="327" t="s">
        <v>348</v>
      </c>
      <c r="D193" s="328">
        <f>-SUM(M188:BB188)</f>
        <v>0</v>
      </c>
      <c r="E193" s="226"/>
      <c r="F193" s="226"/>
      <c r="G193" s="226"/>
      <c r="H193" s="226"/>
      <c r="I193" s="226"/>
      <c r="J193" s="226"/>
      <c r="K193" s="226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6"/>
    </row>
    <row r="194" spans="3:26" hidden="1">
      <c r="C194" s="317" t="s">
        <v>349</v>
      </c>
      <c r="D194" s="329">
        <f>D193+D192</f>
        <v>5341205.5</v>
      </c>
      <c r="E194" s="226"/>
      <c r="F194" s="226"/>
      <c r="G194" s="226"/>
      <c r="H194" s="226"/>
      <c r="I194" s="226"/>
      <c r="J194" s="226"/>
      <c r="K194" s="226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6"/>
    </row>
    <row r="195" spans="3:26" hidden="1">
      <c r="C195" s="317" t="s">
        <v>350</v>
      </c>
      <c r="D195" s="329">
        <f>BX186+BX187</f>
        <v>0</v>
      </c>
      <c r="E195" s="226"/>
      <c r="F195" s="226"/>
      <c r="G195" s="226"/>
      <c r="H195" s="226"/>
      <c r="I195" s="226"/>
      <c r="J195" s="226"/>
      <c r="K195" s="226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6"/>
    </row>
    <row r="196" spans="3:26" hidden="1">
      <c r="C196" s="317" t="s">
        <v>351</v>
      </c>
      <c r="D196" s="326">
        <f>T187/T184</f>
        <v>0.51486504310684167</v>
      </c>
      <c r="E196" s="226"/>
      <c r="F196" s="226"/>
      <c r="G196" s="226"/>
      <c r="H196" s="226"/>
      <c r="I196" s="226"/>
      <c r="J196" s="226"/>
      <c r="K196" s="226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6"/>
    </row>
    <row r="197" spans="3:26" hidden="1">
      <c r="C197" s="226"/>
      <c r="D197" s="226"/>
      <c r="E197" s="226"/>
      <c r="F197" s="226"/>
      <c r="G197" s="226"/>
      <c r="H197" s="226"/>
      <c r="I197" s="226"/>
      <c r="J197" s="226"/>
      <c r="K197" s="226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6"/>
    </row>
    <row r="198" spans="3:26" ht="14" hidden="1"/>
    <row r="199" spans="3:26" ht="14" hidden="1"/>
    <row r="200" spans="3:26" ht="14" hidden="1"/>
    <row r="201" spans="3:26" ht="14" hidden="1"/>
    <row r="202" spans="3:26" ht="14" hidden="1"/>
    <row r="203" spans="3:26" hidden="1">
      <c r="S203" s="332">
        <v>700000</v>
      </c>
      <c r="T203" s="333">
        <v>1000000</v>
      </c>
      <c r="U203" s="332">
        <v>5300000</v>
      </c>
      <c r="V203" s="332">
        <v>4750000</v>
      </c>
      <c r="W203" s="332">
        <v>1250000</v>
      </c>
    </row>
    <row r="204" spans="3:26" ht="14" hidden="1"/>
    <row r="205" spans="3:26" ht="14" hidden="1">
      <c r="S205" s="25">
        <f t="shared" ref="S205:W205" si="96">S203*0.8</f>
        <v>560000</v>
      </c>
      <c r="T205" s="25">
        <f t="shared" si="96"/>
        <v>800000</v>
      </c>
      <c r="U205" s="25">
        <f t="shared" si="96"/>
        <v>4240000</v>
      </c>
      <c r="V205" s="25">
        <f t="shared" si="96"/>
        <v>3800000</v>
      </c>
      <c r="W205" s="25">
        <f t="shared" si="96"/>
        <v>1000000</v>
      </c>
    </row>
  </sheetData>
  <mergeCells count="29">
    <mergeCell ref="S129:T129"/>
    <mergeCell ref="B2:C4"/>
    <mergeCell ref="B5:B8"/>
    <mergeCell ref="B9:B11"/>
    <mergeCell ref="B12:B15"/>
    <mergeCell ref="B16:C16"/>
    <mergeCell ref="B17:B97"/>
    <mergeCell ref="B98:C98"/>
    <mergeCell ref="B100:C100"/>
    <mergeCell ref="B101:C101"/>
    <mergeCell ref="D111:E111"/>
    <mergeCell ref="D114:BW114"/>
    <mergeCell ref="S128:T128"/>
    <mergeCell ref="BM2:BX2"/>
    <mergeCell ref="E2:P2"/>
    <mergeCell ref="Q2:AB2"/>
    <mergeCell ref="BY90:BZ90"/>
    <mergeCell ref="BZ91:BZ97"/>
    <mergeCell ref="BY98:BZ98"/>
    <mergeCell ref="BY100:BZ100"/>
    <mergeCell ref="BZ5:BZ8"/>
    <mergeCell ref="BZ9:BZ11"/>
    <mergeCell ref="BY16:BZ16"/>
    <mergeCell ref="BZ17:BZ89"/>
    <mergeCell ref="AC2:AN2"/>
    <mergeCell ref="AO2:AZ2"/>
    <mergeCell ref="BA2:BL2"/>
    <mergeCell ref="BY2:BZ4"/>
    <mergeCell ref="BZ12:BZ15"/>
  </mergeCells>
  <conditionalFormatting sqref="E17:BX17 E23:BX23 E26:BX26 E34:BX34 E37:BX37 E49:BX49 E55:BX55 E63:BX63 E87:BX87 E90:BX90">
    <cfRule type="cellIs" dxfId="35" priority="3" operator="equal">
      <formula>0</formula>
    </cfRule>
  </conditionalFormatting>
  <conditionalFormatting sqref="E120 BT120:BX120 E122 BT122:BX122 E136 F136:BX139 E138 E154:BX154 E168 M168:BX168 F168:L171 E170 M170:BX170 M184:T184 H184:L187 E186:G186 M186:BX186 F119:BS122">
    <cfRule type="cellIs" dxfId="34" priority="4" operator="equal">
      <formula>0</formula>
    </cfRule>
  </conditionalFormatting>
  <conditionalFormatting sqref="AB103:AB104">
    <cfRule type="containsText" dxfId="33" priority="1" operator="containsText" text="OK">
      <formula>NOT(ISERROR(SEARCH(("OK"),(AB103))))</formula>
    </cfRule>
    <cfRule type="containsText" dxfId="32" priority="2" operator="containsText" text="FALSE">
      <formula>NOT(ISERROR(SEARCH(("FALSE"),(AB103))))</formula>
    </cfRule>
  </conditionalFormatting>
  <pageMargins left="0" right="0" top="0" bottom="0" header="0" footer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2:T79"/>
  <sheetViews>
    <sheetView topLeftCell="A18" workbookViewId="0">
      <selection activeCell="J32" sqref="J32"/>
    </sheetView>
  </sheetViews>
  <sheetFormatPr baseColWidth="10" defaultColWidth="12.6640625" defaultRowHeight="15" customHeight="1"/>
  <cols>
    <col min="12" max="20" width="12.6640625" hidden="1"/>
  </cols>
  <sheetData>
    <row r="2" spans="2:20" ht="14">
      <c r="B2" s="816" t="s">
        <v>359</v>
      </c>
      <c r="C2" s="772"/>
      <c r="D2" s="772"/>
      <c r="E2" s="772"/>
      <c r="G2" s="816" t="s">
        <v>360</v>
      </c>
      <c r="H2" s="772"/>
      <c r="I2" s="772"/>
      <c r="J2" s="772"/>
      <c r="L2" s="816" t="s">
        <v>361</v>
      </c>
      <c r="M2" s="772"/>
      <c r="N2" s="772"/>
      <c r="O2" s="772"/>
      <c r="Q2" s="816" t="s">
        <v>362</v>
      </c>
      <c r="R2" s="772"/>
      <c r="S2" s="772"/>
      <c r="T2" s="772"/>
    </row>
    <row r="3" spans="2:20" ht="15" customHeight="1">
      <c r="B3" s="772"/>
      <c r="C3" s="772"/>
      <c r="D3" s="772"/>
      <c r="E3" s="772"/>
      <c r="G3" s="772"/>
      <c r="H3" s="772"/>
      <c r="I3" s="772"/>
      <c r="J3" s="772"/>
      <c r="L3" s="772"/>
      <c r="M3" s="772"/>
      <c r="N3" s="772"/>
      <c r="O3" s="772"/>
      <c r="Q3" s="772"/>
      <c r="R3" s="772"/>
      <c r="S3" s="772"/>
      <c r="T3" s="772"/>
    </row>
    <row r="7" spans="2:20" ht="14">
      <c r="B7" s="340" t="s">
        <v>363</v>
      </c>
      <c r="C7" s="341" t="s">
        <v>364</v>
      </c>
      <c r="D7" s="342" t="s">
        <v>326</v>
      </c>
      <c r="E7" s="343" t="s">
        <v>365</v>
      </c>
      <c r="G7" s="340" t="s">
        <v>363</v>
      </c>
      <c r="H7" s="341" t="s">
        <v>364</v>
      </c>
      <c r="I7" s="342" t="s">
        <v>326</v>
      </c>
      <c r="J7" s="343" t="s">
        <v>365</v>
      </c>
      <c r="L7" s="340" t="s">
        <v>363</v>
      </c>
      <c r="M7" s="341" t="s">
        <v>364</v>
      </c>
      <c r="N7" s="342" t="s">
        <v>326</v>
      </c>
      <c r="O7" s="343" t="s">
        <v>365</v>
      </c>
      <c r="Q7" s="340" t="s">
        <v>363</v>
      </c>
      <c r="R7" s="341" t="s">
        <v>364</v>
      </c>
      <c r="S7" s="342" t="s">
        <v>326</v>
      </c>
      <c r="T7" s="343" t="s">
        <v>365</v>
      </c>
    </row>
    <row r="8" spans="2:20" ht="14">
      <c r="B8" s="344">
        <v>45292</v>
      </c>
      <c r="C8" s="345">
        <f t="array" ref="C8:C79">TRANSPOSE('Cash-flow PLAN'!E110:BX110)</f>
        <v>0</v>
      </c>
      <c r="D8" s="346">
        <f>0-C8</f>
        <v>0</v>
      </c>
      <c r="E8" s="347">
        <f>D8*'Cash-flow PLAN'!$D$54/12</f>
        <v>0</v>
      </c>
      <c r="G8" s="344">
        <v>45292</v>
      </c>
      <c r="H8" s="348">
        <f t="array" ref="H8:H79">TRANSPOSE('Cash-flow'!E118:BX118)</f>
        <v>0</v>
      </c>
      <c r="I8" s="346">
        <f>0-H8</f>
        <v>0</v>
      </c>
      <c r="J8" s="347">
        <f>I8*'Cash-flow PLAN'!$D$55/12</f>
        <v>0</v>
      </c>
      <c r="L8" s="344">
        <v>45292</v>
      </c>
      <c r="M8" s="348">
        <f t="array" ref="M8:M79">TRANSPOSE('Cash-flow PLAN'!E142:BX142)</f>
        <v>0</v>
      </c>
      <c r="N8" s="346">
        <f>0-M8</f>
        <v>0</v>
      </c>
      <c r="O8" s="347">
        <f>N8*'Cash-flow PLAN'!$D$56/12</f>
        <v>0</v>
      </c>
      <c r="Q8" s="344">
        <v>45292</v>
      </c>
      <c r="R8" s="345">
        <f t="array" ref="R8:R79">TRANSPOSE('Cash-flow PLAN'!E159:BX159)</f>
        <v>0</v>
      </c>
      <c r="S8" s="346">
        <f>0-R8</f>
        <v>0</v>
      </c>
      <c r="T8" s="347">
        <f>S8*'Cash-flow PLAN'!$D$57/12</f>
        <v>0</v>
      </c>
    </row>
    <row r="9" spans="2:20" ht="14">
      <c r="B9" s="349">
        <v>45323</v>
      </c>
      <c r="C9" s="345">
        <v>0</v>
      </c>
      <c r="D9" s="346">
        <f t="shared" ref="D9:D78" si="0">D8-C9</f>
        <v>0</v>
      </c>
      <c r="E9" s="347">
        <f>D9*'Cash-flow PLAN'!$D$54/12</f>
        <v>0</v>
      </c>
      <c r="G9" s="349">
        <v>45323</v>
      </c>
      <c r="H9" s="345">
        <v>0</v>
      </c>
      <c r="I9" s="346">
        <f t="shared" ref="I9:I78" si="1">I8-H9</f>
        <v>0</v>
      </c>
      <c r="J9" s="347">
        <f>I9*'Cash-flow PLAN'!$D$55/12</f>
        <v>0</v>
      </c>
      <c r="L9" s="349">
        <v>45323</v>
      </c>
      <c r="M9" s="345">
        <v>0</v>
      </c>
      <c r="N9" s="346">
        <f t="shared" ref="N9:N78" si="2">N8-M9</f>
        <v>0</v>
      </c>
      <c r="O9" s="347">
        <f>N9*'Cash-flow PLAN'!$D$56/12</f>
        <v>0</v>
      </c>
      <c r="Q9" s="349">
        <v>45323</v>
      </c>
      <c r="R9" s="345">
        <v>0</v>
      </c>
      <c r="S9" s="346">
        <f t="shared" ref="S9:S78" si="3">S8-R9</f>
        <v>0</v>
      </c>
      <c r="T9" s="347">
        <f>S9*'Cash-flow PLAN'!$D$57/12</f>
        <v>0</v>
      </c>
    </row>
    <row r="10" spans="2:20" ht="14">
      <c r="B10" s="349">
        <v>45352</v>
      </c>
      <c r="C10" s="345">
        <v>0</v>
      </c>
      <c r="D10" s="346">
        <f t="shared" si="0"/>
        <v>0</v>
      </c>
      <c r="E10" s="347">
        <f>D10*'Cash-flow PLAN'!$D$54/12</f>
        <v>0</v>
      </c>
      <c r="G10" s="349">
        <v>45352</v>
      </c>
      <c r="H10" s="345">
        <v>0</v>
      </c>
      <c r="I10" s="346">
        <f t="shared" si="1"/>
        <v>0</v>
      </c>
      <c r="J10" s="347">
        <f>I10*'Cash-flow PLAN'!$D$55/12</f>
        <v>0</v>
      </c>
      <c r="L10" s="349">
        <v>45352</v>
      </c>
      <c r="M10" s="345">
        <v>0</v>
      </c>
      <c r="N10" s="346">
        <f t="shared" si="2"/>
        <v>0</v>
      </c>
      <c r="O10" s="347">
        <f>N10*'Cash-flow PLAN'!$D$56/12</f>
        <v>0</v>
      </c>
      <c r="Q10" s="349">
        <v>45352</v>
      </c>
      <c r="R10" s="345">
        <v>0</v>
      </c>
      <c r="S10" s="346">
        <f t="shared" si="3"/>
        <v>0</v>
      </c>
      <c r="T10" s="347">
        <f>S10*'Cash-flow PLAN'!$D$57/12</f>
        <v>0</v>
      </c>
    </row>
    <row r="11" spans="2:20" ht="14">
      <c r="B11" s="349">
        <v>45383</v>
      </c>
      <c r="C11" s="345">
        <v>-16365002</v>
      </c>
      <c r="D11" s="346">
        <f t="shared" si="0"/>
        <v>16365002</v>
      </c>
      <c r="E11" s="347">
        <f>D11*'Cash-flow PLAN'!$D$54/12</f>
        <v>143193.76749999999</v>
      </c>
      <c r="G11" s="349">
        <v>45383</v>
      </c>
      <c r="H11" s="345">
        <v>0</v>
      </c>
      <c r="I11" s="346">
        <f t="shared" si="1"/>
        <v>0</v>
      </c>
      <c r="J11" s="347">
        <f>I11*'Cash-flow PLAN'!$D$55/12</f>
        <v>0</v>
      </c>
      <c r="L11" s="349">
        <v>45383</v>
      </c>
      <c r="M11" s="345">
        <v>-10682501</v>
      </c>
      <c r="N11" s="346">
        <f t="shared" si="2"/>
        <v>10682501</v>
      </c>
      <c r="O11" s="347">
        <f>N11*'Cash-flow PLAN'!$D$56/12</f>
        <v>93471.883749999994</v>
      </c>
      <c r="Q11" s="349">
        <v>45383</v>
      </c>
      <c r="R11" s="345">
        <v>0</v>
      </c>
      <c r="S11" s="346">
        <f t="shared" si="3"/>
        <v>0</v>
      </c>
      <c r="T11" s="347">
        <f>S11*'Cash-flow PLAN'!$D$57/12</f>
        <v>0</v>
      </c>
    </row>
    <row r="12" spans="2:20" ht="14">
      <c r="B12" s="349">
        <v>45413</v>
      </c>
      <c r="C12" s="345">
        <v>-1000000</v>
      </c>
      <c r="D12" s="346">
        <f t="shared" si="0"/>
        <v>17365002</v>
      </c>
      <c r="E12" s="347">
        <f>D12*'Cash-flow PLAN'!$D$54/12</f>
        <v>151943.76749999999</v>
      </c>
      <c r="G12" s="349">
        <v>45413</v>
      </c>
      <c r="H12" s="345">
        <v>0</v>
      </c>
      <c r="I12" s="346">
        <f t="shared" si="1"/>
        <v>0</v>
      </c>
      <c r="J12" s="347">
        <f>I12*'Cash-flow PLAN'!$D$55/12</f>
        <v>0</v>
      </c>
      <c r="L12" s="349">
        <v>45413</v>
      </c>
      <c r="M12" s="345">
        <v>0</v>
      </c>
      <c r="N12" s="346">
        <f t="shared" si="2"/>
        <v>10682501</v>
      </c>
      <c r="O12" s="347">
        <f>N12*'Cash-flow PLAN'!$D$56/12</f>
        <v>93471.883749999994</v>
      </c>
      <c r="Q12" s="349">
        <v>45413</v>
      </c>
      <c r="R12" s="345">
        <v>0</v>
      </c>
      <c r="S12" s="346">
        <f t="shared" si="3"/>
        <v>0</v>
      </c>
      <c r="T12" s="347">
        <f>S12*'Cash-flow PLAN'!$D$57/12</f>
        <v>0</v>
      </c>
    </row>
    <row r="13" spans="2:20" ht="14">
      <c r="B13" s="350">
        <v>45444</v>
      </c>
      <c r="C13" s="345">
        <v>0</v>
      </c>
      <c r="D13" s="346">
        <f t="shared" si="0"/>
        <v>17365002</v>
      </c>
      <c r="E13" s="347">
        <f>D13*'Cash-flow PLAN'!$D$54/12</f>
        <v>151943.76749999999</v>
      </c>
      <c r="G13" s="350">
        <v>45444</v>
      </c>
      <c r="H13" s="345">
        <v>0</v>
      </c>
      <c r="I13" s="346">
        <f t="shared" si="1"/>
        <v>0</v>
      </c>
      <c r="J13" s="347">
        <f>I13*'Cash-flow PLAN'!$D$55/12</f>
        <v>0</v>
      </c>
      <c r="L13" s="350">
        <v>45444</v>
      </c>
      <c r="M13" s="345">
        <v>0</v>
      </c>
      <c r="N13" s="346">
        <f t="shared" si="2"/>
        <v>10682501</v>
      </c>
      <c r="O13" s="347">
        <f>N13*'Cash-flow PLAN'!$D$56/12</f>
        <v>93471.883749999994</v>
      </c>
      <c r="Q13" s="350">
        <v>45444</v>
      </c>
      <c r="R13" s="345">
        <v>0</v>
      </c>
      <c r="S13" s="346">
        <f t="shared" si="3"/>
        <v>0</v>
      </c>
      <c r="T13" s="347">
        <f>S13*'Cash-flow PLAN'!$D$57/12</f>
        <v>0</v>
      </c>
    </row>
    <row r="14" spans="2:20" ht="14">
      <c r="B14" s="349">
        <v>45474</v>
      </c>
      <c r="C14" s="345">
        <v>0</v>
      </c>
      <c r="D14" s="346">
        <f t="shared" si="0"/>
        <v>17365002</v>
      </c>
      <c r="E14" s="347">
        <f>D14*'Cash-flow PLAN'!$D$54/12</f>
        <v>151943.76749999999</v>
      </c>
      <c r="G14" s="349">
        <v>45474</v>
      </c>
      <c r="H14" s="345">
        <v>-885000</v>
      </c>
      <c r="I14" s="346">
        <f t="shared" si="1"/>
        <v>885000</v>
      </c>
      <c r="J14" s="347">
        <f>I14*'Cash-flow'!$D$57/12</f>
        <v>8112.5</v>
      </c>
      <c r="L14" s="349">
        <v>45474</v>
      </c>
      <c r="M14" s="345">
        <v>0</v>
      </c>
      <c r="N14" s="346">
        <f t="shared" si="2"/>
        <v>10682501</v>
      </c>
      <c r="O14" s="347">
        <f>N14*'Cash-flow PLAN'!$D$56/12</f>
        <v>93471.883749999994</v>
      </c>
      <c r="Q14" s="349">
        <v>45474</v>
      </c>
      <c r="R14" s="345">
        <v>0</v>
      </c>
      <c r="S14" s="346">
        <f t="shared" si="3"/>
        <v>0</v>
      </c>
      <c r="T14" s="347">
        <f>S14*'Cash-flow PLAN'!$D$57/12</f>
        <v>0</v>
      </c>
    </row>
    <row r="15" spans="2:20" ht="14">
      <c r="B15" s="349">
        <v>45505</v>
      </c>
      <c r="C15" s="345">
        <v>0</v>
      </c>
      <c r="D15" s="346">
        <f t="shared" si="0"/>
        <v>17365002</v>
      </c>
      <c r="E15" s="347">
        <f>D15*'Cash-flow PLAN'!$D$54/12</f>
        <v>151943.76749999999</v>
      </c>
      <c r="G15" s="349">
        <v>45505</v>
      </c>
      <c r="H15" s="345">
        <v>-1940000</v>
      </c>
      <c r="I15" s="346">
        <f t="shared" si="1"/>
        <v>2825000</v>
      </c>
      <c r="J15" s="347">
        <f>I15*'Cash-flow'!$D$57/12</f>
        <v>25895.833333333332</v>
      </c>
      <c r="L15" s="349">
        <v>45505</v>
      </c>
      <c r="M15" s="345">
        <v>0</v>
      </c>
      <c r="N15" s="346">
        <f t="shared" si="2"/>
        <v>10682501</v>
      </c>
      <c r="O15" s="347">
        <f>N15*'Cash-flow PLAN'!$D$56/12</f>
        <v>93471.883749999994</v>
      </c>
      <c r="Q15" s="349">
        <v>45505</v>
      </c>
      <c r="R15" s="345">
        <v>0</v>
      </c>
      <c r="S15" s="346">
        <f t="shared" si="3"/>
        <v>0</v>
      </c>
      <c r="T15" s="347">
        <f>S15*'Cash-flow PLAN'!$D$57/12</f>
        <v>0</v>
      </c>
    </row>
    <row r="16" spans="2:20" ht="14">
      <c r="B16" s="349">
        <v>45536</v>
      </c>
      <c r="C16" s="345">
        <v>0</v>
      </c>
      <c r="D16" s="346">
        <f t="shared" si="0"/>
        <v>17365002</v>
      </c>
      <c r="E16" s="347">
        <f>D16*'Cash-flow PLAN'!$D$54/12</f>
        <v>151943.76749999999</v>
      </c>
      <c r="G16" s="349">
        <v>45536</v>
      </c>
      <c r="H16" s="345">
        <v>-4260000</v>
      </c>
      <c r="I16" s="346">
        <f t="shared" si="1"/>
        <v>7085000</v>
      </c>
      <c r="J16" s="347">
        <f>I16*'Cash-flow'!$D$57/12</f>
        <v>64945.833333333336</v>
      </c>
      <c r="L16" s="349">
        <v>45536</v>
      </c>
      <c r="M16" s="345">
        <v>0</v>
      </c>
      <c r="N16" s="346">
        <f t="shared" si="2"/>
        <v>10682501</v>
      </c>
      <c r="O16" s="347">
        <f>N16*'Cash-flow PLAN'!$D$56/12</f>
        <v>93471.883749999994</v>
      </c>
      <c r="Q16" s="349">
        <v>45536</v>
      </c>
      <c r="R16" s="345">
        <v>0</v>
      </c>
      <c r="S16" s="346">
        <f t="shared" si="3"/>
        <v>0</v>
      </c>
      <c r="T16" s="347">
        <f>S16*'Cash-flow PLAN'!$D$57/12</f>
        <v>0</v>
      </c>
    </row>
    <row r="17" spans="2:20" ht="14">
      <c r="B17" s="349">
        <v>45566</v>
      </c>
      <c r="C17" s="345">
        <v>0</v>
      </c>
      <c r="D17" s="346">
        <f t="shared" si="0"/>
        <v>17365002</v>
      </c>
      <c r="E17" s="347">
        <f>D17*'Cash-flow PLAN'!$D$54/12</f>
        <v>151943.76749999999</v>
      </c>
      <c r="G17" s="349">
        <v>45566</v>
      </c>
      <c r="H17" s="345">
        <v>0</v>
      </c>
      <c r="I17" s="346">
        <f t="shared" si="1"/>
        <v>7085000</v>
      </c>
      <c r="J17" s="347">
        <f>I17*'Cash-flow'!$D$57/12</f>
        <v>64945.833333333336</v>
      </c>
      <c r="L17" s="349">
        <v>45566</v>
      </c>
      <c r="M17" s="345">
        <v>0</v>
      </c>
      <c r="N17" s="346">
        <f t="shared" si="2"/>
        <v>10682501</v>
      </c>
      <c r="O17" s="347">
        <f>N17*'Cash-flow PLAN'!$D$56/12</f>
        <v>93471.883749999994</v>
      </c>
      <c r="Q17" s="349">
        <v>45566</v>
      </c>
      <c r="R17" s="345">
        <v>0</v>
      </c>
      <c r="S17" s="346">
        <f t="shared" si="3"/>
        <v>0</v>
      </c>
      <c r="T17" s="347">
        <f>S17*'Cash-flow PLAN'!$D$57/12</f>
        <v>0</v>
      </c>
    </row>
    <row r="18" spans="2:20" ht="14">
      <c r="B18" s="349">
        <v>45597</v>
      </c>
      <c r="C18" s="345">
        <v>-3000000</v>
      </c>
      <c r="D18" s="346">
        <f t="shared" si="0"/>
        <v>20365002</v>
      </c>
      <c r="E18" s="347">
        <f>D18*'Cash-flow PLAN'!$D$54/12</f>
        <v>178193.76749999999</v>
      </c>
      <c r="G18" s="349">
        <v>45597</v>
      </c>
      <c r="H18" s="345">
        <v>-320000</v>
      </c>
      <c r="I18" s="346">
        <f t="shared" si="1"/>
        <v>7405000</v>
      </c>
      <c r="J18" s="347">
        <f>I18*'Cash-flow'!$D$57/12</f>
        <v>67879.166666666672</v>
      </c>
      <c r="L18" s="349">
        <v>45597</v>
      </c>
      <c r="M18" s="345">
        <v>0</v>
      </c>
      <c r="N18" s="346">
        <f t="shared" si="2"/>
        <v>10682501</v>
      </c>
      <c r="O18" s="347">
        <f>N18*'Cash-flow PLAN'!$D$56/12</f>
        <v>93471.883749999994</v>
      </c>
      <c r="Q18" s="349">
        <v>45597</v>
      </c>
      <c r="R18" s="345">
        <v>0</v>
      </c>
      <c r="S18" s="346">
        <f t="shared" si="3"/>
        <v>0</v>
      </c>
      <c r="T18" s="347">
        <f>S18*'Cash-flow PLAN'!$D$57/12</f>
        <v>0</v>
      </c>
    </row>
    <row r="19" spans="2:20" ht="14">
      <c r="B19" s="349">
        <v>45627</v>
      </c>
      <c r="C19" s="345">
        <v>-2100000</v>
      </c>
      <c r="D19" s="346">
        <f t="shared" si="0"/>
        <v>22465002</v>
      </c>
      <c r="E19" s="347">
        <f>D19*'Cash-flow PLAN'!$D$54/12</f>
        <v>196568.76749999999</v>
      </c>
      <c r="G19" s="349">
        <v>45627</v>
      </c>
      <c r="H19" s="345">
        <v>-320000</v>
      </c>
      <c r="I19" s="346">
        <f t="shared" si="1"/>
        <v>7725000</v>
      </c>
      <c r="J19" s="347">
        <f>I19*'Cash-flow'!$D$57/12</f>
        <v>70812.5</v>
      </c>
      <c r="L19" s="349">
        <v>45627</v>
      </c>
      <c r="M19" s="345">
        <v>0</v>
      </c>
      <c r="N19" s="346">
        <f t="shared" si="2"/>
        <v>10682501</v>
      </c>
      <c r="O19" s="347">
        <f>N19*'Cash-flow PLAN'!$D$56/12</f>
        <v>93471.883749999994</v>
      </c>
      <c r="Q19" s="349">
        <v>45627</v>
      </c>
      <c r="R19" s="345">
        <v>0</v>
      </c>
      <c r="S19" s="346">
        <f t="shared" si="3"/>
        <v>0</v>
      </c>
      <c r="T19" s="347">
        <f>S19*'Cash-flow PLAN'!$D$57/12</f>
        <v>0</v>
      </c>
    </row>
    <row r="20" spans="2:20" ht="14">
      <c r="B20" s="344">
        <v>45658</v>
      </c>
      <c r="C20" s="345">
        <v>0</v>
      </c>
      <c r="D20" s="346">
        <f t="shared" si="0"/>
        <v>22465002</v>
      </c>
      <c r="E20" s="347">
        <f>D20*'Cash-flow PLAN'!$D$54/12</f>
        <v>196568.76749999999</v>
      </c>
      <c r="G20" s="344">
        <v>45658</v>
      </c>
      <c r="H20" s="345">
        <v>0</v>
      </c>
      <c r="I20" s="346">
        <f t="shared" si="1"/>
        <v>7725000</v>
      </c>
      <c r="J20" s="347">
        <f>I20*'Cash-flow'!$D$57/12</f>
        <v>70812.5</v>
      </c>
      <c r="L20" s="344">
        <v>45658</v>
      </c>
      <c r="M20" s="345">
        <v>0</v>
      </c>
      <c r="N20" s="346">
        <f t="shared" si="2"/>
        <v>10682501</v>
      </c>
      <c r="O20" s="347">
        <f>N20*'Cash-flow PLAN'!$D$56/12</f>
        <v>93471.883749999994</v>
      </c>
      <c r="Q20" s="344">
        <v>45658</v>
      </c>
      <c r="R20" s="345">
        <v>0</v>
      </c>
      <c r="S20" s="346">
        <f t="shared" si="3"/>
        <v>0</v>
      </c>
      <c r="T20" s="347">
        <f>S20*'Cash-flow PLAN'!$D$57/12</f>
        <v>0</v>
      </c>
    </row>
    <row r="21" spans="2:20" ht="14">
      <c r="B21" s="349">
        <v>45689</v>
      </c>
      <c r="C21" s="345">
        <v>0</v>
      </c>
      <c r="D21" s="346">
        <f t="shared" si="0"/>
        <v>22465002</v>
      </c>
      <c r="E21" s="347">
        <f>D21*'Cash-flow PLAN'!$D$54/12</f>
        <v>196568.76749999999</v>
      </c>
      <c r="G21" s="349">
        <v>45689</v>
      </c>
      <c r="H21" s="345">
        <v>-670000</v>
      </c>
      <c r="I21" s="346">
        <f t="shared" si="1"/>
        <v>8395000</v>
      </c>
      <c r="J21" s="347">
        <f>I21*'Cash-flow'!$D$57/12</f>
        <v>76954.166666666672</v>
      </c>
      <c r="L21" s="349">
        <v>45689</v>
      </c>
      <c r="M21" s="345">
        <v>0</v>
      </c>
      <c r="N21" s="346">
        <f t="shared" si="2"/>
        <v>10682501</v>
      </c>
      <c r="O21" s="347">
        <f>N21*'Cash-flow PLAN'!$D$56/12</f>
        <v>93471.883749999994</v>
      </c>
      <c r="Q21" s="349">
        <v>45689</v>
      </c>
      <c r="R21" s="345">
        <v>0</v>
      </c>
      <c r="S21" s="346">
        <f t="shared" si="3"/>
        <v>0</v>
      </c>
      <c r="T21" s="347">
        <f>S21*'Cash-flow PLAN'!$D$57/12</f>
        <v>0</v>
      </c>
    </row>
    <row r="22" spans="2:20" ht="14">
      <c r="B22" s="349">
        <v>45717</v>
      </c>
      <c r="C22" s="345">
        <v>0</v>
      </c>
      <c r="D22" s="346">
        <f t="shared" si="0"/>
        <v>22465002</v>
      </c>
      <c r="E22" s="347">
        <f>D22*'Cash-flow PLAN'!$D$54/12</f>
        <v>196568.76749999999</v>
      </c>
      <c r="G22" s="349">
        <v>45717</v>
      </c>
      <c r="H22" s="345">
        <v>0</v>
      </c>
      <c r="I22" s="346">
        <f t="shared" si="1"/>
        <v>8395000</v>
      </c>
      <c r="J22" s="347">
        <f>I22*'Cash-flow'!$D$57/12</f>
        <v>76954.166666666672</v>
      </c>
      <c r="L22" s="349">
        <v>45717</v>
      </c>
      <c r="M22" s="345">
        <v>0</v>
      </c>
      <c r="N22" s="346">
        <f t="shared" si="2"/>
        <v>10682501</v>
      </c>
      <c r="O22" s="347">
        <f>N22*'Cash-flow PLAN'!$D$56/12</f>
        <v>93471.883749999994</v>
      </c>
      <c r="Q22" s="349">
        <v>45717</v>
      </c>
      <c r="R22" s="345">
        <v>0</v>
      </c>
      <c r="S22" s="346">
        <f t="shared" si="3"/>
        <v>0</v>
      </c>
      <c r="T22" s="347">
        <f>S22*'Cash-flow PLAN'!$D$57/12</f>
        <v>0</v>
      </c>
    </row>
    <row r="23" spans="2:20" ht="14">
      <c r="B23" s="349">
        <v>45748</v>
      </c>
      <c r="C23" s="345">
        <v>22465002</v>
      </c>
      <c r="D23" s="346">
        <f t="shared" si="0"/>
        <v>0</v>
      </c>
      <c r="E23" s="347">
        <f>D23*'Cash-flow PLAN'!$D$54/12</f>
        <v>0</v>
      </c>
      <c r="G23" s="349">
        <v>45748</v>
      </c>
      <c r="H23" s="345">
        <v>0</v>
      </c>
      <c r="I23" s="346">
        <f t="shared" si="1"/>
        <v>8395000</v>
      </c>
      <c r="J23" s="347">
        <f>I23*'Cash-flow'!$D$57/12</f>
        <v>76954.166666666672</v>
      </c>
      <c r="L23" s="349">
        <v>45748</v>
      </c>
      <c r="M23" s="345">
        <v>10682501</v>
      </c>
      <c r="N23" s="346">
        <f t="shared" si="2"/>
        <v>0</v>
      </c>
      <c r="O23" s="347">
        <f>N23*'Cash-flow PLAN'!$D$56/12</f>
        <v>0</v>
      </c>
      <c r="Q23" s="349">
        <v>45748</v>
      </c>
      <c r="R23" s="345">
        <v>0</v>
      </c>
      <c r="S23" s="346">
        <f t="shared" si="3"/>
        <v>0</v>
      </c>
      <c r="T23" s="347">
        <f>S23*'Cash-flow PLAN'!$D$57/12</f>
        <v>0</v>
      </c>
    </row>
    <row r="24" spans="2:20" ht="14">
      <c r="B24" s="349">
        <v>45778</v>
      </c>
      <c r="C24" s="345">
        <v>0</v>
      </c>
      <c r="D24" s="346">
        <f t="shared" si="0"/>
        <v>0</v>
      </c>
      <c r="E24" s="347">
        <f>D24*'Cash-flow PLAN'!$D$54/12</f>
        <v>0</v>
      </c>
      <c r="G24" s="349">
        <v>45778</v>
      </c>
      <c r="H24" s="345">
        <v>0</v>
      </c>
      <c r="I24" s="346">
        <f t="shared" si="1"/>
        <v>8395000</v>
      </c>
      <c r="J24" s="347">
        <f>I24*'Cash-flow'!$D$57/12</f>
        <v>76954.166666666672</v>
      </c>
      <c r="L24" s="349">
        <v>45778</v>
      </c>
      <c r="M24" s="345">
        <v>0</v>
      </c>
      <c r="N24" s="346">
        <f t="shared" si="2"/>
        <v>0</v>
      </c>
      <c r="O24" s="347">
        <f>N24*'Cash-flow PLAN'!$D$56/12</f>
        <v>0</v>
      </c>
      <c r="Q24" s="349">
        <v>45778</v>
      </c>
      <c r="R24" s="345">
        <v>0</v>
      </c>
      <c r="S24" s="346">
        <f t="shared" si="3"/>
        <v>0</v>
      </c>
      <c r="T24" s="347">
        <f>S24*'Cash-flow PLAN'!$D$57/12</f>
        <v>0</v>
      </c>
    </row>
    <row r="25" spans="2:20" ht="14">
      <c r="B25" s="350">
        <v>45809</v>
      </c>
      <c r="C25" s="345">
        <v>0</v>
      </c>
      <c r="D25" s="346">
        <f t="shared" si="0"/>
        <v>0</v>
      </c>
      <c r="E25" s="347">
        <f>D25*'Cash-flow PLAN'!$D$54/12</f>
        <v>0</v>
      </c>
      <c r="G25" s="350">
        <v>45809</v>
      </c>
      <c r="H25" s="345">
        <v>-3090000</v>
      </c>
      <c r="I25" s="346">
        <f t="shared" si="1"/>
        <v>11485000</v>
      </c>
      <c r="J25" s="347">
        <f>I25*'Cash-flow'!$D$57/12</f>
        <v>105279.16666666667</v>
      </c>
      <c r="L25" s="350">
        <v>45809</v>
      </c>
      <c r="M25" s="345">
        <v>0</v>
      </c>
      <c r="N25" s="346">
        <f t="shared" si="2"/>
        <v>0</v>
      </c>
      <c r="O25" s="347">
        <f>N25*'Cash-flow PLAN'!$D$56/12</f>
        <v>0</v>
      </c>
      <c r="Q25" s="350">
        <v>45809</v>
      </c>
      <c r="R25" s="345">
        <v>0</v>
      </c>
      <c r="S25" s="346">
        <f t="shared" si="3"/>
        <v>0</v>
      </c>
      <c r="T25" s="347">
        <f>S25*'Cash-flow PLAN'!$D$57/12</f>
        <v>0</v>
      </c>
    </row>
    <row r="26" spans="2:20" ht="14">
      <c r="B26" s="349">
        <v>45839</v>
      </c>
      <c r="C26" s="345">
        <v>0</v>
      </c>
      <c r="D26" s="346">
        <f t="shared" si="0"/>
        <v>0</v>
      </c>
      <c r="E26" s="347">
        <f>D26*'Cash-flow PLAN'!$D$54/12</f>
        <v>0</v>
      </c>
      <c r="G26" s="349">
        <v>45839</v>
      </c>
      <c r="H26" s="345">
        <v>0</v>
      </c>
      <c r="I26" s="346">
        <f t="shared" si="1"/>
        <v>11485000</v>
      </c>
      <c r="J26" s="347">
        <f>I26*'Cash-flow'!$D$57/12</f>
        <v>105279.16666666667</v>
      </c>
      <c r="L26" s="349">
        <v>45839</v>
      </c>
      <c r="M26" s="345">
        <v>0</v>
      </c>
      <c r="N26" s="346">
        <f t="shared" si="2"/>
        <v>0</v>
      </c>
      <c r="O26" s="347">
        <f>N26*'Cash-flow PLAN'!$D$56/12</f>
        <v>0</v>
      </c>
      <c r="Q26" s="349">
        <v>45839</v>
      </c>
      <c r="R26" s="345">
        <v>0</v>
      </c>
      <c r="S26" s="346">
        <f t="shared" si="3"/>
        <v>0</v>
      </c>
      <c r="T26" s="347">
        <f>S26*'Cash-flow PLAN'!$D$57/12</f>
        <v>0</v>
      </c>
    </row>
    <row r="27" spans="2:20" ht="14">
      <c r="B27" s="349">
        <v>45870</v>
      </c>
      <c r="C27" s="345">
        <v>0</v>
      </c>
      <c r="D27" s="346">
        <f t="shared" si="0"/>
        <v>0</v>
      </c>
      <c r="E27" s="347">
        <f>D27*'Cash-flow PLAN'!$D$54/12</f>
        <v>0</v>
      </c>
      <c r="G27" s="349">
        <v>45870</v>
      </c>
      <c r="H27" s="345">
        <v>0</v>
      </c>
      <c r="I27" s="346">
        <f t="shared" si="1"/>
        <v>11485000</v>
      </c>
      <c r="J27" s="347">
        <f>I27*'Cash-flow'!$D$57/12</f>
        <v>105279.16666666667</v>
      </c>
      <c r="L27" s="349">
        <v>45870</v>
      </c>
      <c r="M27" s="345">
        <v>0</v>
      </c>
      <c r="N27" s="346">
        <f t="shared" si="2"/>
        <v>0</v>
      </c>
      <c r="O27" s="347">
        <f>N27*'Cash-flow PLAN'!$D$56/12</f>
        <v>0</v>
      </c>
      <c r="Q27" s="349">
        <v>45870</v>
      </c>
      <c r="R27" s="345">
        <v>0</v>
      </c>
      <c r="S27" s="346">
        <f t="shared" si="3"/>
        <v>0</v>
      </c>
      <c r="T27" s="347">
        <f>S27*'Cash-flow PLAN'!$D$57/12</f>
        <v>0</v>
      </c>
    </row>
    <row r="28" spans="2:20" ht="14">
      <c r="B28" s="349">
        <v>45901</v>
      </c>
      <c r="C28" s="345">
        <v>0</v>
      </c>
      <c r="D28" s="346">
        <f t="shared" si="0"/>
        <v>0</v>
      </c>
      <c r="E28" s="347">
        <f>D28*'Cash-flow PLAN'!$D$54/12</f>
        <v>0</v>
      </c>
      <c r="G28" s="349">
        <v>45901</v>
      </c>
      <c r="H28" s="345">
        <v>0</v>
      </c>
      <c r="I28" s="346">
        <f t="shared" si="1"/>
        <v>11485000</v>
      </c>
      <c r="J28" s="347">
        <f>I28*'Cash-flow'!$D$57/12</f>
        <v>105279.16666666667</v>
      </c>
      <c r="L28" s="349">
        <v>45901</v>
      </c>
      <c r="M28" s="345">
        <v>0</v>
      </c>
      <c r="N28" s="346">
        <f t="shared" si="2"/>
        <v>0</v>
      </c>
      <c r="O28" s="347">
        <f>N28*'Cash-flow PLAN'!$D$56/12</f>
        <v>0</v>
      </c>
      <c r="Q28" s="349">
        <v>45901</v>
      </c>
      <c r="R28" s="345">
        <v>0</v>
      </c>
      <c r="S28" s="346">
        <f t="shared" si="3"/>
        <v>0</v>
      </c>
      <c r="T28" s="347">
        <f>S28*'Cash-flow PLAN'!$D$57/12</f>
        <v>0</v>
      </c>
    </row>
    <row r="29" spans="2:20" ht="14">
      <c r="B29" s="349">
        <v>45931</v>
      </c>
      <c r="C29" s="345">
        <v>0</v>
      </c>
      <c r="D29" s="346">
        <f t="shared" si="0"/>
        <v>0</v>
      </c>
      <c r="E29" s="347">
        <f>D29*'Cash-flow PLAN'!$D$54/12</f>
        <v>0</v>
      </c>
      <c r="G29" s="349">
        <v>45931</v>
      </c>
      <c r="H29" s="345">
        <v>0</v>
      </c>
      <c r="I29" s="346">
        <f t="shared" si="1"/>
        <v>11485000</v>
      </c>
      <c r="J29" s="347">
        <f>I29*'Cash-flow'!$D$57/12</f>
        <v>105279.16666666667</v>
      </c>
      <c r="L29" s="349">
        <v>45931</v>
      </c>
      <c r="M29" s="345">
        <v>0</v>
      </c>
      <c r="N29" s="346">
        <f t="shared" si="2"/>
        <v>0</v>
      </c>
      <c r="O29" s="347">
        <f>N29*'Cash-flow PLAN'!$D$56/12</f>
        <v>0</v>
      </c>
      <c r="Q29" s="349">
        <v>45931</v>
      </c>
      <c r="R29" s="345">
        <v>0</v>
      </c>
      <c r="S29" s="346">
        <f t="shared" si="3"/>
        <v>0</v>
      </c>
      <c r="T29" s="347">
        <f>S29*'Cash-flow PLAN'!$D$57/12</f>
        <v>0</v>
      </c>
    </row>
    <row r="30" spans="2:20" ht="14">
      <c r="B30" s="349">
        <v>45962</v>
      </c>
      <c r="C30" s="345">
        <v>0</v>
      </c>
      <c r="D30" s="346">
        <f t="shared" si="0"/>
        <v>0</v>
      </c>
      <c r="E30" s="347">
        <f>D30*'Cash-flow PLAN'!$D$54/12</f>
        <v>0</v>
      </c>
      <c r="G30" s="349">
        <v>45962</v>
      </c>
      <c r="H30" s="345">
        <v>50000</v>
      </c>
      <c r="I30" s="346">
        <f t="shared" si="1"/>
        <v>11435000</v>
      </c>
      <c r="J30" s="347">
        <f>I30*'Cash-flow'!$D$57/12</f>
        <v>104820.83333333333</v>
      </c>
      <c r="L30" s="349">
        <v>45962</v>
      </c>
      <c r="M30" s="345">
        <v>0</v>
      </c>
      <c r="N30" s="346">
        <f t="shared" si="2"/>
        <v>0</v>
      </c>
      <c r="O30" s="347">
        <f>N30*'Cash-flow PLAN'!$D$56/12</f>
        <v>0</v>
      </c>
      <c r="Q30" s="349">
        <v>45962</v>
      </c>
      <c r="R30" s="345">
        <v>0</v>
      </c>
      <c r="S30" s="346">
        <f t="shared" si="3"/>
        <v>0</v>
      </c>
      <c r="T30" s="347">
        <f>S30*'Cash-flow PLAN'!$D$57/12</f>
        <v>0</v>
      </c>
    </row>
    <row r="31" spans="2:20" ht="14">
      <c r="B31" s="349">
        <v>45992</v>
      </c>
      <c r="C31" s="345">
        <v>0</v>
      </c>
      <c r="D31" s="346">
        <f t="shared" si="0"/>
        <v>0</v>
      </c>
      <c r="E31" s="347">
        <f>D31*'Cash-flow PLAN'!$D$54/12</f>
        <v>0</v>
      </c>
      <c r="G31" s="349">
        <v>45992</v>
      </c>
      <c r="H31" s="345">
        <v>20000</v>
      </c>
      <c r="I31" s="346">
        <f t="shared" si="1"/>
        <v>11415000</v>
      </c>
      <c r="J31" s="347">
        <f>I31*'Cash-flow'!$D$57/12</f>
        <v>104637.5</v>
      </c>
      <c r="L31" s="349">
        <v>45992</v>
      </c>
      <c r="M31" s="345">
        <v>0</v>
      </c>
      <c r="N31" s="346">
        <f t="shared" si="2"/>
        <v>0</v>
      </c>
      <c r="O31" s="347">
        <f>N31*'Cash-flow PLAN'!$D$56/12</f>
        <v>0</v>
      </c>
      <c r="Q31" s="349">
        <v>45992</v>
      </c>
      <c r="R31" s="345">
        <v>0</v>
      </c>
      <c r="S31" s="346">
        <f t="shared" si="3"/>
        <v>0</v>
      </c>
      <c r="T31" s="347">
        <f>S31*'Cash-flow PLAN'!$D$57/12</f>
        <v>0</v>
      </c>
    </row>
    <row r="32" spans="2:20" ht="14">
      <c r="B32" s="344">
        <v>46023</v>
      </c>
      <c r="C32" s="345">
        <v>0</v>
      </c>
      <c r="D32" s="346">
        <f t="shared" si="0"/>
        <v>0</v>
      </c>
      <c r="E32" s="347">
        <f>D32*'Cash-flow PLAN'!$D$54/12</f>
        <v>0</v>
      </c>
      <c r="G32" s="344">
        <v>46023</v>
      </c>
      <c r="H32" s="345">
        <v>0</v>
      </c>
      <c r="I32" s="346">
        <f t="shared" si="1"/>
        <v>11415000</v>
      </c>
      <c r="J32" s="347">
        <f>I32*'Cash-flow PLAN'!$D$55/12</f>
        <v>99881.25</v>
      </c>
      <c r="L32" s="344">
        <v>46023</v>
      </c>
      <c r="M32" s="345">
        <v>0</v>
      </c>
      <c r="N32" s="346">
        <f t="shared" si="2"/>
        <v>0</v>
      </c>
      <c r="O32" s="347">
        <f>N32*'Cash-flow PLAN'!$D$56/12</f>
        <v>0</v>
      </c>
      <c r="Q32" s="344">
        <v>46023</v>
      </c>
      <c r="R32" s="345">
        <v>0</v>
      </c>
      <c r="S32" s="346">
        <f t="shared" si="3"/>
        <v>0</v>
      </c>
      <c r="T32" s="347">
        <f>S32*'Cash-flow PLAN'!$D$57/12</f>
        <v>0</v>
      </c>
    </row>
    <row r="33" spans="2:20" ht="14">
      <c r="B33" s="349">
        <v>46054</v>
      </c>
      <c r="C33" s="345">
        <v>0</v>
      </c>
      <c r="D33" s="346">
        <f t="shared" si="0"/>
        <v>0</v>
      </c>
      <c r="E33" s="347">
        <f>D33*'Cash-flow PLAN'!$D$54/12</f>
        <v>0</v>
      </c>
      <c r="G33" s="349">
        <v>46054</v>
      </c>
      <c r="H33" s="345">
        <v>0</v>
      </c>
      <c r="I33" s="346">
        <f t="shared" si="1"/>
        <v>11415000</v>
      </c>
      <c r="J33" s="347">
        <f>I33*'Cash-flow PLAN'!$D$55/12</f>
        <v>99881.25</v>
      </c>
      <c r="L33" s="349">
        <v>46054</v>
      </c>
      <c r="M33" s="345">
        <v>0</v>
      </c>
      <c r="N33" s="346">
        <f t="shared" si="2"/>
        <v>0</v>
      </c>
      <c r="O33" s="347">
        <f>N33*'Cash-flow PLAN'!$D$56/12</f>
        <v>0</v>
      </c>
      <c r="Q33" s="349">
        <v>46054</v>
      </c>
      <c r="R33" s="345">
        <v>0</v>
      </c>
      <c r="S33" s="346">
        <f t="shared" si="3"/>
        <v>0</v>
      </c>
      <c r="T33" s="347">
        <f>S33*'Cash-flow PLAN'!$D$57/12</f>
        <v>0</v>
      </c>
    </row>
    <row r="34" spans="2:20" ht="14">
      <c r="B34" s="349">
        <v>46082</v>
      </c>
      <c r="C34" s="345">
        <v>0</v>
      </c>
      <c r="D34" s="346">
        <f t="shared" si="0"/>
        <v>0</v>
      </c>
      <c r="E34" s="347">
        <f>D34*'Cash-flow PLAN'!$D$54/12</f>
        <v>0</v>
      </c>
      <c r="G34" s="349">
        <v>46082</v>
      </c>
      <c r="H34" s="345">
        <v>10000</v>
      </c>
      <c r="I34" s="346">
        <f t="shared" si="1"/>
        <v>11405000</v>
      </c>
      <c r="J34" s="347">
        <f>I34*'Cash-flow PLAN'!$D$55/12</f>
        <v>99793.75</v>
      </c>
      <c r="L34" s="349">
        <v>46082</v>
      </c>
      <c r="M34" s="345">
        <v>0</v>
      </c>
      <c r="N34" s="346">
        <f t="shared" si="2"/>
        <v>0</v>
      </c>
      <c r="O34" s="347">
        <f>N34*'Cash-flow PLAN'!$D$56/12</f>
        <v>0</v>
      </c>
      <c r="Q34" s="349">
        <v>46082</v>
      </c>
      <c r="R34" s="345">
        <v>0</v>
      </c>
      <c r="S34" s="346">
        <f t="shared" si="3"/>
        <v>0</v>
      </c>
      <c r="T34" s="347">
        <f>S34*'Cash-flow PLAN'!$D$57/12</f>
        <v>0</v>
      </c>
    </row>
    <row r="35" spans="2:20" ht="14">
      <c r="B35" s="349">
        <v>46113</v>
      </c>
      <c r="C35" s="345">
        <v>0</v>
      </c>
      <c r="D35" s="346">
        <f t="shared" si="0"/>
        <v>0</v>
      </c>
      <c r="E35" s="347">
        <f>D35*'Cash-flow PLAN'!$D$54/12</f>
        <v>0</v>
      </c>
      <c r="G35" s="349">
        <v>46113</v>
      </c>
      <c r="H35" s="345">
        <v>0</v>
      </c>
      <c r="I35" s="346">
        <f t="shared" si="1"/>
        <v>11405000</v>
      </c>
      <c r="J35" s="347">
        <f>I35*'Cash-flow PLAN'!$D$55/12</f>
        <v>99793.75</v>
      </c>
      <c r="L35" s="349">
        <v>46113</v>
      </c>
      <c r="M35" s="345">
        <v>0</v>
      </c>
      <c r="N35" s="346">
        <f t="shared" si="2"/>
        <v>0</v>
      </c>
      <c r="O35" s="347">
        <f>N35*'Cash-flow PLAN'!$D$56/12</f>
        <v>0</v>
      </c>
      <c r="Q35" s="349">
        <v>46113</v>
      </c>
      <c r="R35" s="345">
        <v>0</v>
      </c>
      <c r="S35" s="346">
        <f t="shared" si="3"/>
        <v>0</v>
      </c>
      <c r="T35" s="347">
        <f>S35*'Cash-flow PLAN'!$D$57/12</f>
        <v>0</v>
      </c>
    </row>
    <row r="36" spans="2:20" ht="14">
      <c r="B36" s="349">
        <v>46143</v>
      </c>
      <c r="C36" s="345">
        <v>0</v>
      </c>
      <c r="D36" s="346">
        <f t="shared" si="0"/>
        <v>0</v>
      </c>
      <c r="E36" s="347">
        <f>D36*'Cash-flow PLAN'!$D$54/12</f>
        <v>0</v>
      </c>
      <c r="G36" s="349">
        <v>46143</v>
      </c>
      <c r="H36" s="345">
        <v>27770002</v>
      </c>
      <c r="I36" s="346">
        <f t="shared" si="1"/>
        <v>-16365002</v>
      </c>
      <c r="J36" s="347">
        <f>I36*'Cash-flow PLAN'!$D$55/12</f>
        <v>-143193.76749999999</v>
      </c>
      <c r="L36" s="349">
        <v>46143</v>
      </c>
      <c r="M36" s="345">
        <v>0</v>
      </c>
      <c r="N36" s="346">
        <f t="shared" si="2"/>
        <v>0</v>
      </c>
      <c r="O36" s="347">
        <f>N36*'Cash-flow PLAN'!$D$56/12</f>
        <v>0</v>
      </c>
      <c r="Q36" s="349">
        <v>46143</v>
      </c>
      <c r="R36" s="345">
        <v>0</v>
      </c>
      <c r="S36" s="346">
        <f t="shared" si="3"/>
        <v>0</v>
      </c>
      <c r="T36" s="347">
        <f>S36*'Cash-flow PLAN'!$D$57/12</f>
        <v>0</v>
      </c>
    </row>
    <row r="37" spans="2:20" ht="14">
      <c r="B37" s="350">
        <v>46174</v>
      </c>
      <c r="C37" s="345">
        <v>0</v>
      </c>
      <c r="D37" s="346">
        <f t="shared" si="0"/>
        <v>0</v>
      </c>
      <c r="E37" s="347">
        <f>D37*'Cash-flow PLAN'!$D$54/12</f>
        <v>0</v>
      </c>
      <c r="G37" s="350">
        <v>46174</v>
      </c>
      <c r="H37" s="345">
        <v>0</v>
      </c>
      <c r="I37" s="346">
        <f t="shared" si="1"/>
        <v>-16365002</v>
      </c>
      <c r="J37" s="347">
        <f>I37*'Cash-flow PLAN'!$D$55/12</f>
        <v>-143193.76749999999</v>
      </c>
      <c r="L37" s="350">
        <v>46174</v>
      </c>
      <c r="M37" s="345">
        <v>0</v>
      </c>
      <c r="N37" s="346">
        <f t="shared" si="2"/>
        <v>0</v>
      </c>
      <c r="O37" s="347">
        <f>N37*'Cash-flow PLAN'!$D$56/12</f>
        <v>0</v>
      </c>
      <c r="Q37" s="350">
        <v>46174</v>
      </c>
      <c r="R37" s="345">
        <v>0</v>
      </c>
      <c r="S37" s="346">
        <f t="shared" si="3"/>
        <v>0</v>
      </c>
      <c r="T37" s="347">
        <f>S37*'Cash-flow PLAN'!$D$57/12</f>
        <v>0</v>
      </c>
    </row>
    <row r="38" spans="2:20" ht="14">
      <c r="B38" s="349">
        <v>46204</v>
      </c>
      <c r="C38" s="345">
        <v>0</v>
      </c>
      <c r="D38" s="346">
        <f t="shared" si="0"/>
        <v>0</v>
      </c>
      <c r="E38" s="347">
        <f>D38*'Cash-flow PLAN'!$D$54/12</f>
        <v>0</v>
      </c>
      <c r="G38" s="349">
        <v>46204</v>
      </c>
      <c r="H38" s="345">
        <v>0</v>
      </c>
      <c r="I38" s="346">
        <f t="shared" si="1"/>
        <v>-16365002</v>
      </c>
      <c r="J38" s="347">
        <f>I38*'Cash-flow PLAN'!$D$55/12</f>
        <v>-143193.76749999999</v>
      </c>
      <c r="L38" s="349">
        <v>46204</v>
      </c>
      <c r="M38" s="345">
        <v>0</v>
      </c>
      <c r="N38" s="346">
        <f t="shared" si="2"/>
        <v>0</v>
      </c>
      <c r="O38" s="347">
        <f>N38*'Cash-flow PLAN'!$D$56/12</f>
        <v>0</v>
      </c>
      <c r="Q38" s="349">
        <v>46204</v>
      </c>
      <c r="R38" s="345">
        <v>0</v>
      </c>
      <c r="S38" s="346">
        <f t="shared" si="3"/>
        <v>0</v>
      </c>
      <c r="T38" s="347">
        <f>S38*'Cash-flow PLAN'!$D$57/12</f>
        <v>0</v>
      </c>
    </row>
    <row r="39" spans="2:20" ht="14">
      <c r="B39" s="349">
        <v>46235</v>
      </c>
      <c r="C39" s="345">
        <v>0</v>
      </c>
      <c r="D39" s="346">
        <f t="shared" si="0"/>
        <v>0</v>
      </c>
      <c r="E39" s="347">
        <f>D39*'Cash-flow PLAN'!$D$54/12</f>
        <v>0</v>
      </c>
      <c r="G39" s="349">
        <v>46235</v>
      </c>
      <c r="H39" s="345">
        <v>0</v>
      </c>
      <c r="I39" s="346">
        <f t="shared" si="1"/>
        <v>-16365002</v>
      </c>
      <c r="J39" s="347">
        <f>I39*'Cash-flow PLAN'!$D$55/12</f>
        <v>-143193.76749999999</v>
      </c>
      <c r="L39" s="349">
        <v>46235</v>
      </c>
      <c r="M39" s="345">
        <v>0</v>
      </c>
      <c r="N39" s="346">
        <f t="shared" si="2"/>
        <v>0</v>
      </c>
      <c r="O39" s="347">
        <f>N39*'Cash-flow PLAN'!$D$56/12</f>
        <v>0</v>
      </c>
      <c r="Q39" s="349">
        <v>46235</v>
      </c>
      <c r="R39" s="345">
        <v>0</v>
      </c>
      <c r="S39" s="346">
        <f t="shared" si="3"/>
        <v>0</v>
      </c>
      <c r="T39" s="347">
        <f>S39*'Cash-flow PLAN'!$D$57/12</f>
        <v>0</v>
      </c>
    </row>
    <row r="40" spans="2:20" ht="14">
      <c r="B40" s="349">
        <v>46266</v>
      </c>
      <c r="C40" s="345">
        <v>0</v>
      </c>
      <c r="D40" s="346">
        <f t="shared" si="0"/>
        <v>0</v>
      </c>
      <c r="E40" s="347">
        <f>D40*'Cash-flow PLAN'!$D$54/12</f>
        <v>0</v>
      </c>
      <c r="G40" s="349">
        <v>46266</v>
      </c>
      <c r="H40" s="345">
        <v>0</v>
      </c>
      <c r="I40" s="346">
        <f t="shared" si="1"/>
        <v>-16365002</v>
      </c>
      <c r="J40" s="347">
        <f>I40*'Cash-flow PLAN'!$D$55/12</f>
        <v>-143193.76749999999</v>
      </c>
      <c r="L40" s="349">
        <v>46266</v>
      </c>
      <c r="M40" s="345">
        <v>0</v>
      </c>
      <c r="N40" s="346">
        <f t="shared" si="2"/>
        <v>0</v>
      </c>
      <c r="O40" s="347">
        <f>N40*'Cash-flow PLAN'!$D$56/12</f>
        <v>0</v>
      </c>
      <c r="Q40" s="349">
        <v>46266</v>
      </c>
      <c r="R40" s="345">
        <v>0</v>
      </c>
      <c r="S40" s="346">
        <f t="shared" si="3"/>
        <v>0</v>
      </c>
      <c r="T40" s="347">
        <f>S40*'Cash-flow PLAN'!$D$57/12</f>
        <v>0</v>
      </c>
    </row>
    <row r="41" spans="2:20" ht="14">
      <c r="B41" s="349">
        <v>46296</v>
      </c>
      <c r="C41" s="345">
        <v>0</v>
      </c>
      <c r="D41" s="346">
        <f t="shared" si="0"/>
        <v>0</v>
      </c>
      <c r="E41" s="347">
        <f>D41*'Cash-flow PLAN'!$D$54/12</f>
        <v>0</v>
      </c>
      <c r="G41" s="349">
        <v>46296</v>
      </c>
      <c r="H41" s="345">
        <v>0</v>
      </c>
      <c r="I41" s="346">
        <f t="shared" si="1"/>
        <v>-16365002</v>
      </c>
      <c r="J41" s="347">
        <f>I41*'Cash-flow PLAN'!$D$55/12</f>
        <v>-143193.76749999999</v>
      </c>
      <c r="L41" s="349">
        <v>46296</v>
      </c>
      <c r="M41" s="345">
        <v>0</v>
      </c>
      <c r="N41" s="346">
        <f t="shared" si="2"/>
        <v>0</v>
      </c>
      <c r="O41" s="347">
        <f>N41*'Cash-flow PLAN'!$D$56/12</f>
        <v>0</v>
      </c>
      <c r="Q41" s="349">
        <v>46296</v>
      </c>
      <c r="R41" s="345">
        <v>0</v>
      </c>
      <c r="S41" s="346">
        <f t="shared" si="3"/>
        <v>0</v>
      </c>
      <c r="T41" s="347">
        <f>S41*'Cash-flow PLAN'!$D$57/12</f>
        <v>0</v>
      </c>
    </row>
    <row r="42" spans="2:20" ht="14">
      <c r="B42" s="349">
        <v>46327</v>
      </c>
      <c r="C42" s="345">
        <v>0</v>
      </c>
      <c r="D42" s="346">
        <f t="shared" si="0"/>
        <v>0</v>
      </c>
      <c r="E42" s="347">
        <f>D42*'Cash-flow PLAN'!$D$54/12</f>
        <v>0</v>
      </c>
      <c r="G42" s="349">
        <v>46327</v>
      </c>
      <c r="H42" s="345">
        <v>0</v>
      </c>
      <c r="I42" s="346">
        <f t="shared" si="1"/>
        <v>-16365002</v>
      </c>
      <c r="J42" s="347">
        <f>I42*'Cash-flow PLAN'!$D$55/12</f>
        <v>-143193.76749999999</v>
      </c>
      <c r="L42" s="349">
        <v>46327</v>
      </c>
      <c r="M42" s="345">
        <v>0</v>
      </c>
      <c r="N42" s="346">
        <f t="shared" si="2"/>
        <v>0</v>
      </c>
      <c r="O42" s="347">
        <f>N42*'Cash-flow PLAN'!$D$56/12</f>
        <v>0</v>
      </c>
      <c r="Q42" s="349">
        <v>46327</v>
      </c>
      <c r="R42" s="345">
        <v>0</v>
      </c>
      <c r="S42" s="346">
        <f t="shared" si="3"/>
        <v>0</v>
      </c>
      <c r="T42" s="347">
        <f>S42*'Cash-flow PLAN'!$D$57/12</f>
        <v>0</v>
      </c>
    </row>
    <row r="43" spans="2:20" ht="14">
      <c r="B43" s="349">
        <v>46357</v>
      </c>
      <c r="C43" s="345">
        <v>0</v>
      </c>
      <c r="D43" s="346">
        <f t="shared" si="0"/>
        <v>0</v>
      </c>
      <c r="E43" s="347">
        <f>D43*'Cash-flow PLAN'!$D$54/12</f>
        <v>0</v>
      </c>
      <c r="G43" s="349">
        <v>46357</v>
      </c>
      <c r="H43" s="345">
        <v>0</v>
      </c>
      <c r="I43" s="346">
        <f t="shared" si="1"/>
        <v>-16365002</v>
      </c>
      <c r="J43" s="347">
        <f>I43*'Cash-flow PLAN'!$D$55/12</f>
        <v>-143193.76749999999</v>
      </c>
      <c r="L43" s="349">
        <v>46357</v>
      </c>
      <c r="M43" s="345">
        <v>0</v>
      </c>
      <c r="N43" s="346">
        <f t="shared" si="2"/>
        <v>0</v>
      </c>
      <c r="O43" s="347">
        <f>N43*'Cash-flow PLAN'!$D$56/12</f>
        <v>0</v>
      </c>
      <c r="Q43" s="349">
        <v>46357</v>
      </c>
      <c r="R43" s="345">
        <v>0</v>
      </c>
      <c r="S43" s="346">
        <f t="shared" si="3"/>
        <v>0</v>
      </c>
      <c r="T43" s="347">
        <f>S43*'Cash-flow PLAN'!$D$57/12</f>
        <v>0</v>
      </c>
    </row>
    <row r="44" spans="2:20" ht="14">
      <c r="B44" s="344">
        <v>46388</v>
      </c>
      <c r="C44" s="345">
        <v>0</v>
      </c>
      <c r="D44" s="346">
        <f t="shared" si="0"/>
        <v>0</v>
      </c>
      <c r="E44" s="347">
        <f>D44*'Cash-flow PLAN'!$D$54/12</f>
        <v>0</v>
      </c>
      <c r="G44" s="344">
        <v>46388</v>
      </c>
      <c r="H44" s="345">
        <v>0</v>
      </c>
      <c r="I44" s="346">
        <f t="shared" si="1"/>
        <v>-16365002</v>
      </c>
      <c r="J44" s="347">
        <f>I44*'Cash-flow PLAN'!$D$55/12</f>
        <v>-143193.76749999999</v>
      </c>
      <c r="L44" s="344">
        <v>46388</v>
      </c>
      <c r="M44" s="345">
        <v>0</v>
      </c>
      <c r="N44" s="346">
        <f t="shared" si="2"/>
        <v>0</v>
      </c>
      <c r="O44" s="347">
        <f>N44*'Cash-flow PLAN'!$D$56/12</f>
        <v>0</v>
      </c>
      <c r="Q44" s="344">
        <v>46388</v>
      </c>
      <c r="R44" s="345">
        <v>0</v>
      </c>
      <c r="S44" s="346">
        <f t="shared" si="3"/>
        <v>0</v>
      </c>
      <c r="T44" s="347">
        <f>S44*'Cash-flow PLAN'!$D$57/12</f>
        <v>0</v>
      </c>
    </row>
    <row r="45" spans="2:20" ht="14">
      <c r="B45" s="349">
        <v>46419</v>
      </c>
      <c r="C45" s="345">
        <v>0</v>
      </c>
      <c r="D45" s="346">
        <f t="shared" si="0"/>
        <v>0</v>
      </c>
      <c r="E45" s="347">
        <f>D45*'Cash-flow PLAN'!$D$54/12</f>
        <v>0</v>
      </c>
      <c r="G45" s="349">
        <v>46419</v>
      </c>
      <c r="H45" s="345">
        <v>0</v>
      </c>
      <c r="I45" s="346">
        <f t="shared" si="1"/>
        <v>-16365002</v>
      </c>
      <c r="J45" s="347">
        <f>I45*'Cash-flow PLAN'!$D$55/12</f>
        <v>-143193.76749999999</v>
      </c>
      <c r="L45" s="349">
        <v>46419</v>
      </c>
      <c r="M45" s="345">
        <v>0</v>
      </c>
      <c r="N45" s="346">
        <f t="shared" si="2"/>
        <v>0</v>
      </c>
      <c r="O45" s="347">
        <f>N45*'Cash-flow PLAN'!$D$56/12</f>
        <v>0</v>
      </c>
      <c r="Q45" s="349">
        <v>46419</v>
      </c>
      <c r="R45" s="345">
        <v>0</v>
      </c>
      <c r="S45" s="346">
        <f t="shared" si="3"/>
        <v>0</v>
      </c>
      <c r="T45" s="347">
        <f>S45*'Cash-flow PLAN'!$D$57/12</f>
        <v>0</v>
      </c>
    </row>
    <row r="46" spans="2:20" ht="14">
      <c r="B46" s="349">
        <v>46447</v>
      </c>
      <c r="C46" s="345">
        <v>0</v>
      </c>
      <c r="D46" s="346">
        <f t="shared" si="0"/>
        <v>0</v>
      </c>
      <c r="E46" s="347">
        <f>D46*'Cash-flow PLAN'!$D$54/12</f>
        <v>0</v>
      </c>
      <c r="G46" s="349">
        <v>46447</v>
      </c>
      <c r="H46" s="345">
        <v>0</v>
      </c>
      <c r="I46" s="346">
        <f t="shared" si="1"/>
        <v>-16365002</v>
      </c>
      <c r="J46" s="347">
        <f>I46*'Cash-flow PLAN'!$D$55/12</f>
        <v>-143193.76749999999</v>
      </c>
      <c r="L46" s="349">
        <v>46447</v>
      </c>
      <c r="M46" s="345">
        <v>0</v>
      </c>
      <c r="N46" s="346">
        <f t="shared" si="2"/>
        <v>0</v>
      </c>
      <c r="O46" s="347">
        <f>N46*'Cash-flow PLAN'!$D$56/12</f>
        <v>0</v>
      </c>
      <c r="Q46" s="349">
        <v>46447</v>
      </c>
      <c r="R46" s="345">
        <v>0</v>
      </c>
      <c r="S46" s="346">
        <f t="shared" si="3"/>
        <v>0</v>
      </c>
      <c r="T46" s="347">
        <f>S46*'Cash-flow PLAN'!$D$57/12</f>
        <v>0</v>
      </c>
    </row>
    <row r="47" spans="2:20" ht="14">
      <c r="B47" s="349">
        <v>46478</v>
      </c>
      <c r="C47" s="345">
        <v>0</v>
      </c>
      <c r="D47" s="346">
        <f t="shared" si="0"/>
        <v>0</v>
      </c>
      <c r="E47" s="347">
        <f>D47*'Cash-flow PLAN'!$D$54/12</f>
        <v>0</v>
      </c>
      <c r="G47" s="349">
        <v>46478</v>
      </c>
      <c r="H47" s="345">
        <v>0</v>
      </c>
      <c r="I47" s="346">
        <f t="shared" si="1"/>
        <v>-16365002</v>
      </c>
      <c r="J47" s="347">
        <f>I47*'Cash-flow PLAN'!$D$55/12</f>
        <v>-143193.76749999999</v>
      </c>
      <c r="L47" s="349">
        <v>46478</v>
      </c>
      <c r="M47" s="345">
        <v>0</v>
      </c>
      <c r="N47" s="346">
        <f t="shared" si="2"/>
        <v>0</v>
      </c>
      <c r="O47" s="347">
        <f>N47*'Cash-flow PLAN'!$D$56/12</f>
        <v>0</v>
      </c>
      <c r="Q47" s="349">
        <v>46478</v>
      </c>
      <c r="R47" s="345">
        <v>0</v>
      </c>
      <c r="S47" s="346">
        <f t="shared" si="3"/>
        <v>0</v>
      </c>
      <c r="T47" s="347">
        <f>S47*'Cash-flow PLAN'!$D$57/12</f>
        <v>0</v>
      </c>
    </row>
    <row r="48" spans="2:20" ht="14">
      <c r="B48" s="349">
        <v>46508</v>
      </c>
      <c r="C48" s="345">
        <v>0</v>
      </c>
      <c r="D48" s="346">
        <f t="shared" si="0"/>
        <v>0</v>
      </c>
      <c r="E48" s="347">
        <f>D48*'Cash-flow PLAN'!$D$54/12</f>
        <v>0</v>
      </c>
      <c r="G48" s="349">
        <v>46508</v>
      </c>
      <c r="H48" s="345">
        <v>0</v>
      </c>
      <c r="I48" s="346">
        <f t="shared" si="1"/>
        <v>-16365002</v>
      </c>
      <c r="J48" s="347">
        <f>I48*'Cash-flow PLAN'!$D$55/12</f>
        <v>-143193.76749999999</v>
      </c>
      <c r="L48" s="349">
        <v>46508</v>
      </c>
      <c r="M48" s="345">
        <v>0</v>
      </c>
      <c r="N48" s="346">
        <f t="shared" si="2"/>
        <v>0</v>
      </c>
      <c r="O48" s="347">
        <f>N48*'Cash-flow PLAN'!$D$56/12</f>
        <v>0</v>
      </c>
      <c r="Q48" s="349">
        <v>46508</v>
      </c>
      <c r="R48" s="345">
        <v>0</v>
      </c>
      <c r="S48" s="346">
        <f t="shared" si="3"/>
        <v>0</v>
      </c>
      <c r="T48" s="347">
        <f>S48*'Cash-flow PLAN'!$D$57/12</f>
        <v>0</v>
      </c>
    </row>
    <row r="49" spans="2:20" ht="14">
      <c r="B49" s="350">
        <v>46539</v>
      </c>
      <c r="C49" s="345">
        <v>0</v>
      </c>
      <c r="D49" s="346">
        <f t="shared" si="0"/>
        <v>0</v>
      </c>
      <c r="E49" s="347">
        <f>D49*'Cash-flow PLAN'!$D$54/12</f>
        <v>0</v>
      </c>
      <c r="G49" s="350">
        <v>46539</v>
      </c>
      <c r="H49" s="345">
        <v>0</v>
      </c>
      <c r="I49" s="346">
        <f t="shared" si="1"/>
        <v>-16365002</v>
      </c>
      <c r="J49" s="347">
        <f>I49*'Cash-flow PLAN'!$D$55/12</f>
        <v>-143193.76749999999</v>
      </c>
      <c r="L49" s="350">
        <v>46539</v>
      </c>
      <c r="M49" s="345">
        <v>0</v>
      </c>
      <c r="N49" s="346">
        <f t="shared" si="2"/>
        <v>0</v>
      </c>
      <c r="O49" s="347">
        <f>N49*'Cash-flow PLAN'!$D$56/12</f>
        <v>0</v>
      </c>
      <c r="Q49" s="350">
        <v>46539</v>
      </c>
      <c r="R49" s="345">
        <v>0</v>
      </c>
      <c r="S49" s="346">
        <f t="shared" si="3"/>
        <v>0</v>
      </c>
      <c r="T49" s="347">
        <f>S49*'Cash-flow PLAN'!$D$57/12</f>
        <v>0</v>
      </c>
    </row>
    <row r="50" spans="2:20" ht="14">
      <c r="B50" s="349">
        <v>46569</v>
      </c>
      <c r="C50" s="345">
        <v>0</v>
      </c>
      <c r="D50" s="346">
        <f t="shared" si="0"/>
        <v>0</v>
      </c>
      <c r="E50" s="347">
        <f>D50*'Cash-flow PLAN'!$D$54/12</f>
        <v>0</v>
      </c>
      <c r="G50" s="349">
        <v>46569</v>
      </c>
      <c r="H50" s="345">
        <v>0</v>
      </c>
      <c r="I50" s="346">
        <f t="shared" si="1"/>
        <v>-16365002</v>
      </c>
      <c r="J50" s="347">
        <f>I50*'Cash-flow PLAN'!$D$55/12</f>
        <v>-143193.76749999999</v>
      </c>
      <c r="L50" s="349">
        <v>46569</v>
      </c>
      <c r="M50" s="345">
        <v>0</v>
      </c>
      <c r="N50" s="346">
        <f t="shared" si="2"/>
        <v>0</v>
      </c>
      <c r="O50" s="347">
        <f>N50*'Cash-flow PLAN'!$D$56/12</f>
        <v>0</v>
      </c>
      <c r="Q50" s="349">
        <v>46569</v>
      </c>
      <c r="R50" s="345">
        <v>0</v>
      </c>
      <c r="S50" s="346">
        <f t="shared" si="3"/>
        <v>0</v>
      </c>
      <c r="T50" s="347">
        <f>S50*'Cash-flow PLAN'!$D$57/12</f>
        <v>0</v>
      </c>
    </row>
    <row r="51" spans="2:20" ht="14">
      <c r="B51" s="349">
        <v>46600</v>
      </c>
      <c r="C51" s="345">
        <v>0</v>
      </c>
      <c r="D51" s="346">
        <f t="shared" si="0"/>
        <v>0</v>
      </c>
      <c r="E51" s="347">
        <f>D51*'Cash-flow PLAN'!$D$54/12</f>
        <v>0</v>
      </c>
      <c r="G51" s="349">
        <v>46600</v>
      </c>
      <c r="H51" s="345">
        <v>0</v>
      </c>
      <c r="I51" s="346">
        <f t="shared" si="1"/>
        <v>-16365002</v>
      </c>
      <c r="J51" s="347">
        <f>I51*'Cash-flow PLAN'!$D$55/12</f>
        <v>-143193.76749999999</v>
      </c>
      <c r="L51" s="349">
        <v>46600</v>
      </c>
      <c r="M51" s="345">
        <v>0</v>
      </c>
      <c r="N51" s="346">
        <f t="shared" si="2"/>
        <v>0</v>
      </c>
      <c r="O51" s="347">
        <f>N51*'Cash-flow PLAN'!$D$56/12</f>
        <v>0</v>
      </c>
      <c r="Q51" s="349">
        <v>46600</v>
      </c>
      <c r="R51" s="345">
        <v>0</v>
      </c>
      <c r="S51" s="346">
        <f t="shared" si="3"/>
        <v>0</v>
      </c>
      <c r="T51" s="347">
        <f>S51*'Cash-flow PLAN'!$D$57/12</f>
        <v>0</v>
      </c>
    </row>
    <row r="52" spans="2:20" ht="14">
      <c r="B52" s="349">
        <v>46631</v>
      </c>
      <c r="C52" s="345">
        <v>0</v>
      </c>
      <c r="D52" s="346">
        <f t="shared" si="0"/>
        <v>0</v>
      </c>
      <c r="E52" s="347">
        <f>D52*'Cash-flow PLAN'!$D$54/12</f>
        <v>0</v>
      </c>
      <c r="G52" s="349">
        <v>46631</v>
      </c>
      <c r="H52" s="345">
        <v>0</v>
      </c>
      <c r="I52" s="346">
        <f t="shared" si="1"/>
        <v>-16365002</v>
      </c>
      <c r="J52" s="347">
        <f>I52*'Cash-flow PLAN'!$D$55/12</f>
        <v>-143193.76749999999</v>
      </c>
      <c r="L52" s="349">
        <v>46631</v>
      </c>
      <c r="M52" s="345">
        <v>0</v>
      </c>
      <c r="N52" s="346">
        <f t="shared" si="2"/>
        <v>0</v>
      </c>
      <c r="O52" s="347">
        <f>N52*'Cash-flow PLAN'!$D$56/12</f>
        <v>0</v>
      </c>
      <c r="Q52" s="349">
        <v>46631</v>
      </c>
      <c r="R52" s="345">
        <v>0</v>
      </c>
      <c r="S52" s="346">
        <f t="shared" si="3"/>
        <v>0</v>
      </c>
      <c r="T52" s="347">
        <f>S52*'Cash-flow PLAN'!$D$57/12</f>
        <v>0</v>
      </c>
    </row>
    <row r="53" spans="2:20" ht="14">
      <c r="B53" s="349">
        <v>46661</v>
      </c>
      <c r="C53" s="345">
        <v>0</v>
      </c>
      <c r="D53" s="346">
        <f t="shared" si="0"/>
        <v>0</v>
      </c>
      <c r="E53" s="347">
        <f>D53*'Cash-flow PLAN'!$D$54/12</f>
        <v>0</v>
      </c>
      <c r="G53" s="349">
        <v>46661</v>
      </c>
      <c r="H53" s="345">
        <v>0</v>
      </c>
      <c r="I53" s="346">
        <f t="shared" si="1"/>
        <v>-16365002</v>
      </c>
      <c r="J53" s="347">
        <f>I53*'Cash-flow PLAN'!$D$55/12</f>
        <v>-143193.76749999999</v>
      </c>
      <c r="L53" s="349">
        <v>46661</v>
      </c>
      <c r="M53" s="345">
        <v>0</v>
      </c>
      <c r="N53" s="346">
        <f t="shared" si="2"/>
        <v>0</v>
      </c>
      <c r="O53" s="347">
        <f>N53*'Cash-flow PLAN'!$D$56/12</f>
        <v>0</v>
      </c>
      <c r="Q53" s="349">
        <v>46661</v>
      </c>
      <c r="R53" s="345">
        <v>0</v>
      </c>
      <c r="S53" s="346">
        <f t="shared" si="3"/>
        <v>0</v>
      </c>
      <c r="T53" s="347">
        <f>S53*'Cash-flow PLAN'!$D$57/12</f>
        <v>0</v>
      </c>
    </row>
    <row r="54" spans="2:20" ht="14">
      <c r="B54" s="349">
        <v>46692</v>
      </c>
      <c r="C54" s="345">
        <v>0</v>
      </c>
      <c r="D54" s="346">
        <f t="shared" si="0"/>
        <v>0</v>
      </c>
      <c r="E54" s="347">
        <f>D54*'Cash-flow PLAN'!$D$54/12</f>
        <v>0</v>
      </c>
      <c r="G54" s="349">
        <v>46692</v>
      </c>
      <c r="H54" s="345">
        <v>0</v>
      </c>
      <c r="I54" s="346">
        <f t="shared" si="1"/>
        <v>-16365002</v>
      </c>
      <c r="J54" s="347">
        <f>I54*'Cash-flow PLAN'!$D$55/12</f>
        <v>-143193.76749999999</v>
      </c>
      <c r="L54" s="349">
        <v>46692</v>
      </c>
      <c r="M54" s="345">
        <v>0</v>
      </c>
      <c r="N54" s="346">
        <f t="shared" si="2"/>
        <v>0</v>
      </c>
      <c r="O54" s="347">
        <f>N54*'Cash-flow PLAN'!$D$56/12</f>
        <v>0</v>
      </c>
      <c r="Q54" s="349">
        <v>46692</v>
      </c>
      <c r="R54" s="345">
        <v>0</v>
      </c>
      <c r="S54" s="346">
        <f t="shared" si="3"/>
        <v>0</v>
      </c>
      <c r="T54" s="347">
        <f>S54*'Cash-flow PLAN'!$D$57/12</f>
        <v>0</v>
      </c>
    </row>
    <row r="55" spans="2:20" ht="14">
      <c r="B55" s="349">
        <v>46722</v>
      </c>
      <c r="C55" s="345">
        <v>0</v>
      </c>
      <c r="D55" s="346">
        <f t="shared" si="0"/>
        <v>0</v>
      </c>
      <c r="E55" s="347">
        <f>D55*'Cash-flow PLAN'!$D$54/12</f>
        <v>0</v>
      </c>
      <c r="G55" s="349">
        <v>46722</v>
      </c>
      <c r="H55" s="345">
        <v>0</v>
      </c>
      <c r="I55" s="346">
        <f t="shared" si="1"/>
        <v>-16365002</v>
      </c>
      <c r="J55" s="347">
        <f>I55*'Cash-flow PLAN'!$D$55/12</f>
        <v>-143193.76749999999</v>
      </c>
      <c r="L55" s="349">
        <v>46722</v>
      </c>
      <c r="M55" s="345">
        <v>0</v>
      </c>
      <c r="N55" s="346">
        <f t="shared" si="2"/>
        <v>0</v>
      </c>
      <c r="O55" s="347">
        <f>N55*'Cash-flow PLAN'!$D$56/12</f>
        <v>0</v>
      </c>
      <c r="Q55" s="349">
        <v>46722</v>
      </c>
      <c r="R55" s="345">
        <v>0</v>
      </c>
      <c r="S55" s="346">
        <f t="shared" si="3"/>
        <v>0</v>
      </c>
      <c r="T55" s="347">
        <f>S55*'Cash-flow PLAN'!$D$57/12</f>
        <v>0</v>
      </c>
    </row>
    <row r="56" spans="2:20" ht="14">
      <c r="B56" s="344">
        <v>46753</v>
      </c>
      <c r="C56" s="345">
        <v>0</v>
      </c>
      <c r="D56" s="346">
        <f t="shared" si="0"/>
        <v>0</v>
      </c>
      <c r="E56" s="347">
        <f>D56*'Cash-flow PLAN'!$D$54/12</f>
        <v>0</v>
      </c>
      <c r="G56" s="344">
        <v>46753</v>
      </c>
      <c r="H56" s="345">
        <v>0</v>
      </c>
      <c r="I56" s="346">
        <f t="shared" si="1"/>
        <v>-16365002</v>
      </c>
      <c r="J56" s="347">
        <f>I56*'Cash-flow PLAN'!$D$55/12</f>
        <v>-143193.76749999999</v>
      </c>
      <c r="L56" s="344">
        <v>46753</v>
      </c>
      <c r="M56" s="345">
        <v>0</v>
      </c>
      <c r="N56" s="346">
        <f t="shared" si="2"/>
        <v>0</v>
      </c>
      <c r="O56" s="347">
        <f>N56*'Cash-flow PLAN'!$D$56/12</f>
        <v>0</v>
      </c>
      <c r="Q56" s="344">
        <v>46753</v>
      </c>
      <c r="R56" s="345">
        <v>0</v>
      </c>
      <c r="S56" s="346">
        <f t="shared" si="3"/>
        <v>0</v>
      </c>
      <c r="T56" s="347">
        <f>S56*'Cash-flow PLAN'!$D$57/12</f>
        <v>0</v>
      </c>
    </row>
    <row r="57" spans="2:20" ht="14">
      <c r="B57" s="349">
        <v>46784</v>
      </c>
      <c r="C57" s="345">
        <v>0</v>
      </c>
      <c r="D57" s="346">
        <f t="shared" si="0"/>
        <v>0</v>
      </c>
      <c r="E57" s="347">
        <f>D57*'Cash-flow PLAN'!$D$54/12</f>
        <v>0</v>
      </c>
      <c r="G57" s="349">
        <v>46784</v>
      </c>
      <c r="H57" s="345">
        <v>0</v>
      </c>
      <c r="I57" s="346">
        <f t="shared" si="1"/>
        <v>-16365002</v>
      </c>
      <c r="J57" s="347">
        <f>I57*'Cash-flow PLAN'!$D$55/12</f>
        <v>-143193.76749999999</v>
      </c>
      <c r="L57" s="349">
        <v>46784</v>
      </c>
      <c r="M57" s="345">
        <v>0</v>
      </c>
      <c r="N57" s="346">
        <f t="shared" si="2"/>
        <v>0</v>
      </c>
      <c r="O57" s="347">
        <f>N57*'Cash-flow PLAN'!$D$56/12</f>
        <v>0</v>
      </c>
      <c r="Q57" s="349">
        <v>46784</v>
      </c>
      <c r="R57" s="345">
        <v>0</v>
      </c>
      <c r="S57" s="346">
        <f t="shared" si="3"/>
        <v>0</v>
      </c>
      <c r="T57" s="347">
        <f>S57*'Cash-flow PLAN'!$D$57/12</f>
        <v>0</v>
      </c>
    </row>
    <row r="58" spans="2:20" ht="14">
      <c r="B58" s="349">
        <v>46813</v>
      </c>
      <c r="C58" s="345">
        <v>0</v>
      </c>
      <c r="D58" s="346">
        <f t="shared" si="0"/>
        <v>0</v>
      </c>
      <c r="E58" s="347">
        <f>D58*'Cash-flow PLAN'!$D$54/12</f>
        <v>0</v>
      </c>
      <c r="G58" s="349">
        <v>46813</v>
      </c>
      <c r="H58" s="345">
        <v>0</v>
      </c>
      <c r="I58" s="346">
        <f t="shared" si="1"/>
        <v>-16365002</v>
      </c>
      <c r="J58" s="347">
        <f>I58*'Cash-flow PLAN'!$D$55/12</f>
        <v>-143193.76749999999</v>
      </c>
      <c r="L58" s="349">
        <v>46813</v>
      </c>
      <c r="M58" s="345">
        <v>0</v>
      </c>
      <c r="N58" s="346">
        <f t="shared" si="2"/>
        <v>0</v>
      </c>
      <c r="O58" s="347">
        <f>N58*'Cash-flow PLAN'!$D$56/12</f>
        <v>0</v>
      </c>
      <c r="Q58" s="349">
        <v>46813</v>
      </c>
      <c r="R58" s="345">
        <v>0</v>
      </c>
      <c r="S58" s="346">
        <f t="shared" si="3"/>
        <v>0</v>
      </c>
      <c r="T58" s="347">
        <f>S58*'Cash-flow PLAN'!$D$57/12</f>
        <v>0</v>
      </c>
    </row>
    <row r="59" spans="2:20" ht="14">
      <c r="B59" s="349">
        <v>46844</v>
      </c>
      <c r="C59" s="345">
        <v>0</v>
      </c>
      <c r="D59" s="346">
        <f t="shared" si="0"/>
        <v>0</v>
      </c>
      <c r="E59" s="347">
        <f>D59*'Cash-flow PLAN'!$D$54/12</f>
        <v>0</v>
      </c>
      <c r="G59" s="349">
        <v>46844</v>
      </c>
      <c r="H59" s="345">
        <v>0</v>
      </c>
      <c r="I59" s="346">
        <f t="shared" si="1"/>
        <v>-16365002</v>
      </c>
      <c r="J59" s="347">
        <f>I59*'Cash-flow PLAN'!$D$55/12</f>
        <v>-143193.76749999999</v>
      </c>
      <c r="L59" s="349">
        <v>46844</v>
      </c>
      <c r="M59" s="345">
        <v>0</v>
      </c>
      <c r="N59" s="346">
        <f t="shared" si="2"/>
        <v>0</v>
      </c>
      <c r="O59" s="347">
        <f>N59*'Cash-flow PLAN'!$D$56/12</f>
        <v>0</v>
      </c>
      <c r="Q59" s="349">
        <v>46844</v>
      </c>
      <c r="R59" s="345">
        <v>0</v>
      </c>
      <c r="S59" s="346">
        <f t="shared" si="3"/>
        <v>0</v>
      </c>
      <c r="T59" s="347">
        <f>S59*'Cash-flow PLAN'!$D$57/12</f>
        <v>0</v>
      </c>
    </row>
    <row r="60" spans="2:20" ht="14">
      <c r="B60" s="349">
        <v>46874</v>
      </c>
      <c r="C60" s="345">
        <v>0</v>
      </c>
      <c r="D60" s="346">
        <f t="shared" si="0"/>
        <v>0</v>
      </c>
      <c r="E60" s="347">
        <f>D60*'Cash-flow PLAN'!$D$54/12</f>
        <v>0</v>
      </c>
      <c r="G60" s="349">
        <v>46874</v>
      </c>
      <c r="H60" s="345">
        <v>0</v>
      </c>
      <c r="I60" s="346">
        <f t="shared" si="1"/>
        <v>-16365002</v>
      </c>
      <c r="J60" s="347">
        <f>I60*'Cash-flow PLAN'!$D$55/12</f>
        <v>-143193.76749999999</v>
      </c>
      <c r="L60" s="349">
        <v>46874</v>
      </c>
      <c r="M60" s="345">
        <v>0</v>
      </c>
      <c r="N60" s="346">
        <f t="shared" si="2"/>
        <v>0</v>
      </c>
      <c r="O60" s="347">
        <f>N60*'Cash-flow PLAN'!$D$56/12</f>
        <v>0</v>
      </c>
      <c r="Q60" s="349">
        <v>46874</v>
      </c>
      <c r="R60" s="345">
        <v>0</v>
      </c>
      <c r="S60" s="346">
        <f t="shared" si="3"/>
        <v>0</v>
      </c>
      <c r="T60" s="347">
        <f>S60*'Cash-flow PLAN'!$D$57/12</f>
        <v>0</v>
      </c>
    </row>
    <row r="61" spans="2:20" ht="14">
      <c r="B61" s="350">
        <v>46905</v>
      </c>
      <c r="C61" s="345">
        <v>0</v>
      </c>
      <c r="D61" s="346">
        <f t="shared" si="0"/>
        <v>0</v>
      </c>
      <c r="E61" s="347">
        <f>D61*'Cash-flow PLAN'!$D$54/12</f>
        <v>0</v>
      </c>
      <c r="G61" s="350">
        <v>46905</v>
      </c>
      <c r="H61" s="345">
        <v>0</v>
      </c>
      <c r="I61" s="346">
        <f t="shared" si="1"/>
        <v>-16365002</v>
      </c>
      <c r="J61" s="347">
        <f>I61*'Cash-flow PLAN'!$D$55/12</f>
        <v>-143193.76749999999</v>
      </c>
      <c r="L61" s="350">
        <v>46905</v>
      </c>
      <c r="M61" s="345">
        <v>0</v>
      </c>
      <c r="N61" s="346">
        <f t="shared" si="2"/>
        <v>0</v>
      </c>
      <c r="O61" s="347">
        <f>N61*'Cash-flow PLAN'!$D$56/12</f>
        <v>0</v>
      </c>
      <c r="Q61" s="350">
        <v>46905</v>
      </c>
      <c r="R61" s="345">
        <v>0</v>
      </c>
      <c r="S61" s="346">
        <f t="shared" si="3"/>
        <v>0</v>
      </c>
      <c r="T61" s="347">
        <f>S61*'Cash-flow PLAN'!$D$57/12</f>
        <v>0</v>
      </c>
    </row>
    <row r="62" spans="2:20" ht="14">
      <c r="B62" s="349">
        <v>46935</v>
      </c>
      <c r="C62" s="345">
        <v>0</v>
      </c>
      <c r="D62" s="346">
        <f t="shared" si="0"/>
        <v>0</v>
      </c>
      <c r="E62" s="347">
        <f>D62*'Cash-flow PLAN'!$D$54/12</f>
        <v>0</v>
      </c>
      <c r="G62" s="349">
        <v>46935</v>
      </c>
      <c r="H62" s="345">
        <v>0</v>
      </c>
      <c r="I62" s="346">
        <f t="shared" si="1"/>
        <v>-16365002</v>
      </c>
      <c r="J62" s="347">
        <f>I62*'Cash-flow PLAN'!$D$55/12</f>
        <v>-143193.76749999999</v>
      </c>
      <c r="L62" s="349">
        <v>46935</v>
      </c>
      <c r="M62" s="345">
        <v>0</v>
      </c>
      <c r="N62" s="346">
        <f t="shared" si="2"/>
        <v>0</v>
      </c>
      <c r="O62" s="347">
        <f>N62*'Cash-flow PLAN'!$D$56/12</f>
        <v>0</v>
      </c>
      <c r="Q62" s="349">
        <v>46935</v>
      </c>
      <c r="R62" s="345">
        <v>0</v>
      </c>
      <c r="S62" s="346">
        <f t="shared" si="3"/>
        <v>0</v>
      </c>
      <c r="T62" s="347">
        <f>S62*'Cash-flow PLAN'!$D$57/12</f>
        <v>0</v>
      </c>
    </row>
    <row r="63" spans="2:20" ht="14">
      <c r="B63" s="349">
        <v>46966</v>
      </c>
      <c r="C63" s="345">
        <v>0</v>
      </c>
      <c r="D63" s="346">
        <f t="shared" si="0"/>
        <v>0</v>
      </c>
      <c r="E63" s="347">
        <f>D63*'Cash-flow PLAN'!$D$54/12</f>
        <v>0</v>
      </c>
      <c r="G63" s="349">
        <v>46966</v>
      </c>
      <c r="H63" s="345">
        <v>0</v>
      </c>
      <c r="I63" s="346">
        <f t="shared" si="1"/>
        <v>-16365002</v>
      </c>
      <c r="J63" s="347">
        <f>I63*'Cash-flow PLAN'!$D$55/12</f>
        <v>-143193.76749999999</v>
      </c>
      <c r="L63" s="349">
        <v>46966</v>
      </c>
      <c r="M63" s="345">
        <v>0</v>
      </c>
      <c r="N63" s="346">
        <f t="shared" si="2"/>
        <v>0</v>
      </c>
      <c r="O63" s="347">
        <f>N63*'Cash-flow PLAN'!$D$56/12</f>
        <v>0</v>
      </c>
      <c r="Q63" s="349">
        <v>46966</v>
      </c>
      <c r="R63" s="345">
        <v>0</v>
      </c>
      <c r="S63" s="346">
        <f t="shared" si="3"/>
        <v>0</v>
      </c>
      <c r="T63" s="347">
        <f>S63*'Cash-flow PLAN'!$D$57/12</f>
        <v>0</v>
      </c>
    </row>
    <row r="64" spans="2:20" ht="14">
      <c r="B64" s="349">
        <v>46997</v>
      </c>
      <c r="C64" s="345">
        <v>0</v>
      </c>
      <c r="D64" s="346">
        <f t="shared" si="0"/>
        <v>0</v>
      </c>
      <c r="E64" s="347">
        <f>D64*'Cash-flow PLAN'!$D$54/12</f>
        <v>0</v>
      </c>
      <c r="G64" s="349">
        <v>46997</v>
      </c>
      <c r="H64" s="345">
        <v>0</v>
      </c>
      <c r="I64" s="346">
        <f t="shared" si="1"/>
        <v>-16365002</v>
      </c>
      <c r="J64" s="347">
        <f>I64*'Cash-flow PLAN'!$D$55/12</f>
        <v>-143193.76749999999</v>
      </c>
      <c r="L64" s="349">
        <v>46997</v>
      </c>
      <c r="M64" s="345">
        <v>0</v>
      </c>
      <c r="N64" s="346">
        <f t="shared" si="2"/>
        <v>0</v>
      </c>
      <c r="O64" s="347">
        <f>N64*'Cash-flow PLAN'!$D$56/12</f>
        <v>0</v>
      </c>
      <c r="Q64" s="349">
        <v>46997</v>
      </c>
      <c r="R64" s="345">
        <v>0</v>
      </c>
      <c r="S64" s="346">
        <f t="shared" si="3"/>
        <v>0</v>
      </c>
      <c r="T64" s="347">
        <f>S64*'Cash-flow PLAN'!$D$57/12</f>
        <v>0</v>
      </c>
    </row>
    <row r="65" spans="2:20" ht="14">
      <c r="B65" s="349">
        <v>47027</v>
      </c>
      <c r="C65" s="345">
        <v>0</v>
      </c>
      <c r="D65" s="346">
        <f t="shared" si="0"/>
        <v>0</v>
      </c>
      <c r="E65" s="347">
        <f>D65*'Cash-flow PLAN'!$D$54/12</f>
        <v>0</v>
      </c>
      <c r="G65" s="349">
        <v>47027</v>
      </c>
      <c r="H65" s="345">
        <v>0</v>
      </c>
      <c r="I65" s="346">
        <f t="shared" si="1"/>
        <v>-16365002</v>
      </c>
      <c r="J65" s="347">
        <f>I65*'Cash-flow PLAN'!$D$55/12</f>
        <v>-143193.76749999999</v>
      </c>
      <c r="L65" s="349">
        <v>47027</v>
      </c>
      <c r="M65" s="345">
        <v>0</v>
      </c>
      <c r="N65" s="346">
        <f t="shared" si="2"/>
        <v>0</v>
      </c>
      <c r="O65" s="347">
        <f>N65*'Cash-flow PLAN'!$D$56/12</f>
        <v>0</v>
      </c>
      <c r="Q65" s="349">
        <v>47027</v>
      </c>
      <c r="R65" s="345">
        <v>0</v>
      </c>
      <c r="S65" s="346">
        <f t="shared" si="3"/>
        <v>0</v>
      </c>
      <c r="T65" s="347">
        <f>S65*'Cash-flow PLAN'!$D$57/12</f>
        <v>0</v>
      </c>
    </row>
    <row r="66" spans="2:20" ht="14">
      <c r="B66" s="349">
        <v>47058</v>
      </c>
      <c r="C66" s="345">
        <v>0</v>
      </c>
      <c r="D66" s="346">
        <f t="shared" si="0"/>
        <v>0</v>
      </c>
      <c r="E66" s="347">
        <f>D66*'Cash-flow PLAN'!$D$54/12</f>
        <v>0</v>
      </c>
      <c r="G66" s="349">
        <v>47058</v>
      </c>
      <c r="H66" s="345">
        <v>0</v>
      </c>
      <c r="I66" s="346">
        <f t="shared" si="1"/>
        <v>-16365002</v>
      </c>
      <c r="J66" s="347">
        <f>I66*'Cash-flow PLAN'!$D$55/12</f>
        <v>-143193.76749999999</v>
      </c>
      <c r="L66" s="349">
        <v>47058</v>
      </c>
      <c r="M66" s="345">
        <v>0</v>
      </c>
      <c r="N66" s="346">
        <f t="shared" si="2"/>
        <v>0</v>
      </c>
      <c r="O66" s="347">
        <f>N66*'Cash-flow PLAN'!$D$56/12</f>
        <v>0</v>
      </c>
      <c r="Q66" s="349">
        <v>47058</v>
      </c>
      <c r="R66" s="345">
        <v>0</v>
      </c>
      <c r="S66" s="346">
        <f t="shared" si="3"/>
        <v>0</v>
      </c>
      <c r="T66" s="347">
        <f>S66*'Cash-flow PLAN'!$D$57/12</f>
        <v>0</v>
      </c>
    </row>
    <row r="67" spans="2:20" ht="14">
      <c r="B67" s="349">
        <v>47088</v>
      </c>
      <c r="C67" s="345">
        <v>0</v>
      </c>
      <c r="D67" s="346">
        <f t="shared" si="0"/>
        <v>0</v>
      </c>
      <c r="E67" s="347">
        <f>D67*'Cash-flow PLAN'!$D$54/12</f>
        <v>0</v>
      </c>
      <c r="G67" s="349">
        <v>47088</v>
      </c>
      <c r="H67" s="345">
        <v>0</v>
      </c>
      <c r="I67" s="346">
        <f t="shared" si="1"/>
        <v>-16365002</v>
      </c>
      <c r="J67" s="347">
        <f>I67*'Cash-flow PLAN'!$D$55/12</f>
        <v>-143193.76749999999</v>
      </c>
      <c r="L67" s="349">
        <v>47088</v>
      </c>
      <c r="M67" s="345">
        <v>0</v>
      </c>
      <c r="N67" s="346">
        <f t="shared" si="2"/>
        <v>0</v>
      </c>
      <c r="O67" s="347">
        <f>N67*'Cash-flow PLAN'!$D$56/12</f>
        <v>0</v>
      </c>
      <c r="Q67" s="349">
        <v>47088</v>
      </c>
      <c r="R67" s="345">
        <v>0</v>
      </c>
      <c r="S67" s="346">
        <f t="shared" si="3"/>
        <v>0</v>
      </c>
      <c r="T67" s="347">
        <f>S67*'Cash-flow PLAN'!$D$57/12</f>
        <v>0</v>
      </c>
    </row>
    <row r="68" spans="2:20" ht="14">
      <c r="B68" s="344">
        <v>47119</v>
      </c>
      <c r="C68" s="345">
        <v>0</v>
      </c>
      <c r="D68" s="346">
        <f t="shared" si="0"/>
        <v>0</v>
      </c>
      <c r="E68" s="347">
        <f>D68*'Cash-flow PLAN'!$D$54/12</f>
        <v>0</v>
      </c>
      <c r="G68" s="344">
        <v>47119</v>
      </c>
      <c r="H68" s="345">
        <v>0</v>
      </c>
      <c r="I68" s="346">
        <f t="shared" si="1"/>
        <v>-16365002</v>
      </c>
      <c r="J68" s="347">
        <f>I68*'Cash-flow PLAN'!$D$55/12</f>
        <v>-143193.76749999999</v>
      </c>
      <c r="L68" s="344">
        <v>47119</v>
      </c>
      <c r="M68" s="345">
        <v>0</v>
      </c>
      <c r="N68" s="346">
        <f t="shared" si="2"/>
        <v>0</v>
      </c>
      <c r="O68" s="347">
        <f>N68*'Cash-flow PLAN'!$D$56/12</f>
        <v>0</v>
      </c>
      <c r="Q68" s="344">
        <v>47119</v>
      </c>
      <c r="R68" s="345">
        <v>0</v>
      </c>
      <c r="S68" s="346">
        <f t="shared" si="3"/>
        <v>0</v>
      </c>
      <c r="T68" s="347">
        <f>S68*'Cash-flow PLAN'!$D$57/12</f>
        <v>0</v>
      </c>
    </row>
    <row r="69" spans="2:20" ht="14">
      <c r="B69" s="349">
        <v>47150</v>
      </c>
      <c r="C69" s="345">
        <v>0</v>
      </c>
      <c r="D69" s="346">
        <f t="shared" si="0"/>
        <v>0</v>
      </c>
      <c r="E69" s="347">
        <f>D69*'Cash-flow PLAN'!$D$54/12</f>
        <v>0</v>
      </c>
      <c r="G69" s="349">
        <v>47150</v>
      </c>
      <c r="H69" s="345">
        <v>0</v>
      </c>
      <c r="I69" s="346">
        <f t="shared" si="1"/>
        <v>-16365002</v>
      </c>
      <c r="J69" s="347">
        <f>I69*'Cash-flow PLAN'!$D$55/12</f>
        <v>-143193.76749999999</v>
      </c>
      <c r="L69" s="349">
        <v>47150</v>
      </c>
      <c r="M69" s="345">
        <v>0</v>
      </c>
      <c r="N69" s="346">
        <f t="shared" si="2"/>
        <v>0</v>
      </c>
      <c r="O69" s="347">
        <f>N69*'Cash-flow PLAN'!$D$56/12</f>
        <v>0</v>
      </c>
      <c r="Q69" s="349">
        <v>47150</v>
      </c>
      <c r="R69" s="345">
        <v>0</v>
      </c>
      <c r="S69" s="346">
        <f t="shared" si="3"/>
        <v>0</v>
      </c>
      <c r="T69" s="347">
        <f>S69*'Cash-flow PLAN'!$D$57/12</f>
        <v>0</v>
      </c>
    </row>
    <row r="70" spans="2:20" ht="14">
      <c r="B70" s="349">
        <v>47178</v>
      </c>
      <c r="C70" s="345">
        <v>0</v>
      </c>
      <c r="D70" s="346">
        <f t="shared" si="0"/>
        <v>0</v>
      </c>
      <c r="E70" s="347">
        <f>D70*'Cash-flow PLAN'!$D$54/12</f>
        <v>0</v>
      </c>
      <c r="G70" s="349">
        <v>47178</v>
      </c>
      <c r="H70" s="345">
        <v>0</v>
      </c>
      <c r="I70" s="346">
        <f t="shared" si="1"/>
        <v>-16365002</v>
      </c>
      <c r="J70" s="347">
        <f>I70*'Cash-flow PLAN'!$D$55/12</f>
        <v>-143193.76749999999</v>
      </c>
      <c r="L70" s="349">
        <v>47178</v>
      </c>
      <c r="M70" s="345">
        <v>0</v>
      </c>
      <c r="N70" s="346">
        <f t="shared" si="2"/>
        <v>0</v>
      </c>
      <c r="O70" s="347">
        <f>N70*'Cash-flow PLAN'!$D$56/12</f>
        <v>0</v>
      </c>
      <c r="Q70" s="349">
        <v>47178</v>
      </c>
      <c r="R70" s="345">
        <v>0</v>
      </c>
      <c r="S70" s="346">
        <f t="shared" si="3"/>
        <v>0</v>
      </c>
      <c r="T70" s="347">
        <f>S70*'Cash-flow PLAN'!$D$57/12</f>
        <v>0</v>
      </c>
    </row>
    <row r="71" spans="2:20" ht="14">
      <c r="B71" s="349">
        <v>47209</v>
      </c>
      <c r="C71" s="345">
        <v>0</v>
      </c>
      <c r="D71" s="346">
        <f t="shared" si="0"/>
        <v>0</v>
      </c>
      <c r="E71" s="347">
        <f>D71*'Cash-flow PLAN'!$D$54/12</f>
        <v>0</v>
      </c>
      <c r="G71" s="349">
        <v>47209</v>
      </c>
      <c r="H71" s="345">
        <v>0</v>
      </c>
      <c r="I71" s="346">
        <f t="shared" si="1"/>
        <v>-16365002</v>
      </c>
      <c r="J71" s="347">
        <f>I71*'Cash-flow PLAN'!$D$55/12</f>
        <v>-143193.76749999999</v>
      </c>
      <c r="L71" s="349">
        <v>47209</v>
      </c>
      <c r="M71" s="345">
        <v>0</v>
      </c>
      <c r="N71" s="346">
        <f t="shared" si="2"/>
        <v>0</v>
      </c>
      <c r="O71" s="347">
        <f>N71*'Cash-flow PLAN'!$D$56/12</f>
        <v>0</v>
      </c>
      <c r="Q71" s="349">
        <v>47209</v>
      </c>
      <c r="R71" s="345">
        <v>0</v>
      </c>
      <c r="S71" s="346">
        <f t="shared" si="3"/>
        <v>0</v>
      </c>
      <c r="T71" s="347">
        <f>S71*'Cash-flow PLAN'!$D$57/12</f>
        <v>0</v>
      </c>
    </row>
    <row r="72" spans="2:20" ht="14">
      <c r="B72" s="349">
        <v>47239</v>
      </c>
      <c r="C72" s="345">
        <v>0</v>
      </c>
      <c r="D72" s="346">
        <f t="shared" si="0"/>
        <v>0</v>
      </c>
      <c r="E72" s="347">
        <f>D72*'Cash-flow PLAN'!$D$54/12</f>
        <v>0</v>
      </c>
      <c r="G72" s="349">
        <v>47239</v>
      </c>
      <c r="H72" s="345">
        <v>0</v>
      </c>
      <c r="I72" s="346">
        <f t="shared" si="1"/>
        <v>-16365002</v>
      </c>
      <c r="J72" s="347">
        <f>I72*'Cash-flow PLAN'!$D$55/12</f>
        <v>-143193.76749999999</v>
      </c>
      <c r="L72" s="349">
        <v>47239</v>
      </c>
      <c r="M72" s="345">
        <v>0</v>
      </c>
      <c r="N72" s="346">
        <f t="shared" si="2"/>
        <v>0</v>
      </c>
      <c r="O72" s="347">
        <f>N72*'Cash-flow PLAN'!$D$56/12</f>
        <v>0</v>
      </c>
      <c r="Q72" s="349">
        <v>47239</v>
      </c>
      <c r="R72" s="345">
        <v>0</v>
      </c>
      <c r="S72" s="346">
        <f t="shared" si="3"/>
        <v>0</v>
      </c>
      <c r="T72" s="347">
        <f>S72*'Cash-flow PLAN'!$D$57/12</f>
        <v>0</v>
      </c>
    </row>
    <row r="73" spans="2:20" ht="14">
      <c r="B73" s="350">
        <v>47270</v>
      </c>
      <c r="C73" s="345">
        <v>0</v>
      </c>
      <c r="D73" s="346">
        <f t="shared" si="0"/>
        <v>0</v>
      </c>
      <c r="E73" s="347">
        <f>D73*'Cash-flow PLAN'!$D$54/12</f>
        <v>0</v>
      </c>
      <c r="G73" s="350">
        <v>47270</v>
      </c>
      <c r="H73" s="345">
        <v>0</v>
      </c>
      <c r="I73" s="346">
        <f t="shared" si="1"/>
        <v>-16365002</v>
      </c>
      <c r="J73" s="347">
        <f>I73*'Cash-flow PLAN'!$D$55/12</f>
        <v>-143193.76749999999</v>
      </c>
      <c r="L73" s="350">
        <v>47270</v>
      </c>
      <c r="M73" s="345">
        <v>0</v>
      </c>
      <c r="N73" s="346">
        <f t="shared" si="2"/>
        <v>0</v>
      </c>
      <c r="O73" s="347">
        <f>N73*'Cash-flow PLAN'!$D$56/12</f>
        <v>0</v>
      </c>
      <c r="Q73" s="350">
        <v>47270</v>
      </c>
      <c r="R73" s="345">
        <v>0</v>
      </c>
      <c r="S73" s="346">
        <f t="shared" si="3"/>
        <v>0</v>
      </c>
      <c r="T73" s="347">
        <f>S73*'Cash-flow PLAN'!$D$57/12</f>
        <v>0</v>
      </c>
    </row>
    <row r="74" spans="2:20" ht="14">
      <c r="B74" s="349">
        <v>47300</v>
      </c>
      <c r="C74" s="345">
        <v>0</v>
      </c>
      <c r="D74" s="346">
        <f t="shared" si="0"/>
        <v>0</v>
      </c>
      <c r="E74" s="347">
        <f>D74*'Cash-flow PLAN'!$D$54/12</f>
        <v>0</v>
      </c>
      <c r="G74" s="349">
        <v>47300</v>
      </c>
      <c r="H74" s="345">
        <v>0</v>
      </c>
      <c r="I74" s="346">
        <f t="shared" si="1"/>
        <v>-16365002</v>
      </c>
      <c r="J74" s="347">
        <f>I74*'Cash-flow PLAN'!$D$55/12</f>
        <v>-143193.76749999999</v>
      </c>
      <c r="L74" s="349">
        <v>47300</v>
      </c>
      <c r="M74" s="345">
        <v>0</v>
      </c>
      <c r="N74" s="346">
        <f t="shared" si="2"/>
        <v>0</v>
      </c>
      <c r="O74" s="347">
        <f>N74*'Cash-flow PLAN'!$D$56/12</f>
        <v>0</v>
      </c>
      <c r="Q74" s="349">
        <v>47300</v>
      </c>
      <c r="R74" s="345">
        <v>0</v>
      </c>
      <c r="S74" s="346">
        <f t="shared" si="3"/>
        <v>0</v>
      </c>
      <c r="T74" s="347">
        <f>S74*'Cash-flow PLAN'!$D$57/12</f>
        <v>0</v>
      </c>
    </row>
    <row r="75" spans="2:20" ht="14">
      <c r="B75" s="349">
        <v>47331</v>
      </c>
      <c r="C75" s="345">
        <v>0</v>
      </c>
      <c r="D75" s="346">
        <f t="shared" si="0"/>
        <v>0</v>
      </c>
      <c r="E75" s="347">
        <f>D75*'Cash-flow PLAN'!$D$54/12</f>
        <v>0</v>
      </c>
      <c r="G75" s="349">
        <v>47331</v>
      </c>
      <c r="H75" s="345">
        <v>0</v>
      </c>
      <c r="I75" s="346">
        <f t="shared" si="1"/>
        <v>-16365002</v>
      </c>
      <c r="J75" s="347">
        <f>I75*'Cash-flow PLAN'!$D$55/12</f>
        <v>-143193.76749999999</v>
      </c>
      <c r="L75" s="349">
        <v>47331</v>
      </c>
      <c r="M75" s="345">
        <v>0</v>
      </c>
      <c r="N75" s="346">
        <f t="shared" si="2"/>
        <v>0</v>
      </c>
      <c r="O75" s="347">
        <f>N75*'Cash-flow PLAN'!$D$56/12</f>
        <v>0</v>
      </c>
      <c r="Q75" s="349">
        <v>47331</v>
      </c>
      <c r="R75" s="345">
        <v>0</v>
      </c>
      <c r="S75" s="346">
        <f t="shared" si="3"/>
        <v>0</v>
      </c>
      <c r="T75" s="347">
        <f>S75*'Cash-flow PLAN'!$D$57/12</f>
        <v>0</v>
      </c>
    </row>
    <row r="76" spans="2:20" ht="14">
      <c r="B76" s="349">
        <v>47362</v>
      </c>
      <c r="C76" s="345">
        <v>0</v>
      </c>
      <c r="D76" s="346">
        <f t="shared" si="0"/>
        <v>0</v>
      </c>
      <c r="E76" s="347">
        <f>D76*'Cash-flow PLAN'!$D$54/12</f>
        <v>0</v>
      </c>
      <c r="G76" s="349">
        <v>47362</v>
      </c>
      <c r="H76" s="345">
        <v>0</v>
      </c>
      <c r="I76" s="346">
        <f t="shared" si="1"/>
        <v>-16365002</v>
      </c>
      <c r="J76" s="347">
        <f>I76*'Cash-flow PLAN'!$D$55/12</f>
        <v>-143193.76749999999</v>
      </c>
      <c r="L76" s="349">
        <v>47362</v>
      </c>
      <c r="M76" s="345">
        <v>0</v>
      </c>
      <c r="N76" s="346">
        <f t="shared" si="2"/>
        <v>0</v>
      </c>
      <c r="O76" s="347">
        <f>N76*'Cash-flow PLAN'!$D$56/12</f>
        <v>0</v>
      </c>
      <c r="Q76" s="349">
        <v>47362</v>
      </c>
      <c r="R76" s="345">
        <v>0</v>
      </c>
      <c r="S76" s="346">
        <f t="shared" si="3"/>
        <v>0</v>
      </c>
      <c r="T76" s="347">
        <f>S76*'Cash-flow PLAN'!$D$57/12</f>
        <v>0</v>
      </c>
    </row>
    <row r="77" spans="2:20" ht="14">
      <c r="B77" s="349">
        <v>47392</v>
      </c>
      <c r="C77" s="345">
        <v>0</v>
      </c>
      <c r="D77" s="346">
        <f t="shared" si="0"/>
        <v>0</v>
      </c>
      <c r="E77" s="347">
        <f>D77*'Cash-flow PLAN'!$D$54/12</f>
        <v>0</v>
      </c>
      <c r="G77" s="349">
        <v>47392</v>
      </c>
      <c r="H77" s="345">
        <v>0</v>
      </c>
      <c r="I77" s="346">
        <f t="shared" si="1"/>
        <v>-16365002</v>
      </c>
      <c r="J77" s="347">
        <f>I77*'Cash-flow PLAN'!$D$55/12</f>
        <v>-143193.76749999999</v>
      </c>
      <c r="L77" s="349">
        <v>47392</v>
      </c>
      <c r="M77" s="345">
        <v>0</v>
      </c>
      <c r="N77" s="346">
        <f t="shared" si="2"/>
        <v>0</v>
      </c>
      <c r="O77" s="347">
        <f>N77*'Cash-flow PLAN'!$D$56/12</f>
        <v>0</v>
      </c>
      <c r="Q77" s="349">
        <v>47392</v>
      </c>
      <c r="R77" s="345">
        <v>0</v>
      </c>
      <c r="S77" s="346">
        <f t="shared" si="3"/>
        <v>0</v>
      </c>
      <c r="T77" s="347">
        <f>S77*'Cash-flow PLAN'!$D$57/12</f>
        <v>0</v>
      </c>
    </row>
    <row r="78" spans="2:20" ht="14">
      <c r="B78" s="349">
        <v>47423</v>
      </c>
      <c r="C78" s="345">
        <v>0</v>
      </c>
      <c r="D78" s="346">
        <f t="shared" si="0"/>
        <v>0</v>
      </c>
      <c r="E78" s="347">
        <f>D78*'Cash-flow PLAN'!$D$54/12</f>
        <v>0</v>
      </c>
      <c r="G78" s="349">
        <v>47423</v>
      </c>
      <c r="H78" s="345">
        <v>0</v>
      </c>
      <c r="I78" s="346">
        <f t="shared" si="1"/>
        <v>-16365002</v>
      </c>
      <c r="J78" s="347">
        <f>I78*'Cash-flow PLAN'!$D$55/12</f>
        <v>-143193.76749999999</v>
      </c>
      <c r="L78" s="349">
        <v>47423</v>
      </c>
      <c r="M78" s="345">
        <v>0</v>
      </c>
      <c r="N78" s="346">
        <f t="shared" si="2"/>
        <v>0</v>
      </c>
      <c r="O78" s="347">
        <f>N78*'Cash-flow PLAN'!$D$56/12</f>
        <v>0</v>
      </c>
      <c r="Q78" s="349">
        <v>47423</v>
      </c>
      <c r="R78" s="345">
        <v>0</v>
      </c>
      <c r="S78" s="346">
        <f t="shared" si="3"/>
        <v>0</v>
      </c>
      <c r="T78" s="347">
        <f>S78*'Cash-flow PLAN'!$D$57/12</f>
        <v>0</v>
      </c>
    </row>
    <row r="79" spans="2:20" ht="14">
      <c r="B79" s="349">
        <v>47453</v>
      </c>
      <c r="C79" s="345">
        <v>0</v>
      </c>
      <c r="D79" s="346">
        <f>D78</f>
        <v>0</v>
      </c>
      <c r="E79" s="347">
        <f>D79*'Cash-flow PLAN'!$D$54/12</f>
        <v>0</v>
      </c>
      <c r="G79" s="349">
        <v>47453</v>
      </c>
      <c r="H79" s="345">
        <v>0</v>
      </c>
      <c r="I79" s="346">
        <f>I78</f>
        <v>-16365002</v>
      </c>
      <c r="J79" s="347">
        <f>I79*'Cash-flow PLAN'!$D$55/12</f>
        <v>-143193.76749999999</v>
      </c>
      <c r="L79" s="349">
        <v>47453</v>
      </c>
      <c r="M79" s="345">
        <v>-12071651.818826601</v>
      </c>
      <c r="N79" s="346">
        <f>N78</f>
        <v>0</v>
      </c>
      <c r="O79" s="347">
        <f>N79*'Cash-flow PLAN'!$D$56/12</f>
        <v>0</v>
      </c>
      <c r="Q79" s="349">
        <v>47453</v>
      </c>
      <c r="R79" s="345">
        <v>0</v>
      </c>
      <c r="S79" s="346">
        <f>S78</f>
        <v>0</v>
      </c>
      <c r="T79" s="347">
        <f>S79*'Cash-flow PLAN'!$D$57/12</f>
        <v>0</v>
      </c>
    </row>
  </sheetData>
  <mergeCells count="4">
    <mergeCell ref="B2:E3"/>
    <mergeCell ref="G2:J3"/>
    <mergeCell ref="L2:O3"/>
    <mergeCell ref="Q2:T3"/>
  </mergeCells>
  <pageMargins left="0" right="0" top="0" bottom="0" header="0" footer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C3:W55"/>
  <sheetViews>
    <sheetView topLeftCell="C37" workbookViewId="0">
      <selection activeCell="E44" sqref="E44:G45"/>
    </sheetView>
  </sheetViews>
  <sheetFormatPr baseColWidth="10" defaultColWidth="12.6640625" defaultRowHeight="15" customHeight="1"/>
  <cols>
    <col min="3" max="3" width="43.33203125" customWidth="1"/>
    <col min="4" max="4" width="29.6640625" customWidth="1"/>
    <col min="5" max="5" width="16.5" customWidth="1"/>
    <col min="6" max="6" width="16.6640625" customWidth="1"/>
    <col min="7" max="7" width="32.5" customWidth="1"/>
    <col min="9" max="9" width="13.6640625" customWidth="1"/>
    <col min="10" max="10" width="19.83203125" customWidth="1"/>
  </cols>
  <sheetData>
    <row r="3" spans="3:23" ht="16">
      <c r="C3" s="352" t="s">
        <v>366</v>
      </c>
      <c r="D3" s="353" t="s">
        <v>367</v>
      </c>
      <c r="E3" s="817">
        <v>46112</v>
      </c>
      <c r="F3" s="818"/>
      <c r="G3" s="819"/>
      <c r="H3" s="354"/>
      <c r="I3" s="354"/>
    </row>
    <row r="4" spans="3:23" ht="15" customHeight="1">
      <c r="C4" s="355"/>
      <c r="D4" s="356"/>
      <c r="E4" s="357" t="s">
        <v>368</v>
      </c>
      <c r="F4" s="358" t="s">
        <v>369</v>
      </c>
      <c r="G4" s="358" t="s">
        <v>156</v>
      </c>
      <c r="H4" s="354"/>
      <c r="I4" s="354"/>
    </row>
    <row r="5" spans="3:23" ht="16">
      <c r="C5" s="352" t="s">
        <v>370</v>
      </c>
      <c r="D5" s="353" t="s">
        <v>371</v>
      </c>
      <c r="E5" s="820">
        <f>'Cash-flow'!AE13</f>
        <v>0</v>
      </c>
      <c r="F5" s="819"/>
      <c r="G5" s="359">
        <f t="shared" ref="G5:G8" si="0">E5</f>
        <v>0</v>
      </c>
      <c r="H5" s="351"/>
      <c r="I5" s="351">
        <f>3201.66+9991+5460</f>
        <v>18652.66</v>
      </c>
    </row>
    <row r="6" spans="3:23" ht="15" customHeight="1">
      <c r="C6" s="360" t="s">
        <v>372</v>
      </c>
      <c r="D6" s="361" t="s">
        <v>373</v>
      </c>
      <c r="E6" s="821">
        <f>'Cash-flow'!AC101</f>
        <v>2827532.7434710739</v>
      </c>
      <c r="F6" s="819"/>
      <c r="G6" s="362">
        <f t="shared" si="0"/>
        <v>2827532.7434710739</v>
      </c>
      <c r="H6" s="351"/>
      <c r="I6" s="363">
        <f>I5*25.2</f>
        <v>470047.03200000001</v>
      </c>
    </row>
    <row r="7" spans="3:23" ht="15" customHeight="1">
      <c r="C7" s="352" t="s">
        <v>374</v>
      </c>
      <c r="D7" s="361" t="s">
        <v>375</v>
      </c>
      <c r="E7" s="821">
        <f>'Cash-flow'!AD12</f>
        <v>1092409.54</v>
      </c>
      <c r="F7" s="819"/>
      <c r="G7" s="362">
        <f t="shared" si="0"/>
        <v>1092409.54</v>
      </c>
      <c r="H7" s="351"/>
      <c r="I7" s="351"/>
    </row>
    <row r="8" spans="3:23" ht="15" customHeight="1">
      <c r="C8" s="360" t="s">
        <v>376</v>
      </c>
      <c r="D8" s="364" t="s">
        <v>377</v>
      </c>
      <c r="E8" s="821">
        <f>'Cash-flow'!AC14</f>
        <v>-142961</v>
      </c>
      <c r="F8" s="819"/>
      <c r="G8" s="365">
        <f t="shared" si="0"/>
        <v>-142961</v>
      </c>
      <c r="H8" s="351"/>
      <c r="I8" s="351"/>
    </row>
    <row r="9" spans="3:23" ht="15" customHeight="1">
      <c r="C9" s="352"/>
      <c r="D9" s="364"/>
      <c r="E9" s="822">
        <f>E5+E6+E7+E8</f>
        <v>3776981.283471074</v>
      </c>
      <c r="F9" s="818"/>
      <c r="G9" s="819"/>
      <c r="H9" s="351"/>
      <c r="I9" s="351"/>
    </row>
    <row r="10" spans="3:23" ht="15" customHeight="1">
      <c r="C10" s="360" t="s">
        <v>378</v>
      </c>
      <c r="D10" s="361" t="s">
        <v>379</v>
      </c>
      <c r="E10" s="821">
        <f>'Cash-flow'!AD37+'Cash-flow'!AD49+'Cash-flow'!AD63</f>
        <v>-100156.00388429752</v>
      </c>
      <c r="F10" s="819"/>
      <c r="G10" s="362">
        <f>E10</f>
        <v>-100156.00388429752</v>
      </c>
      <c r="H10" s="351"/>
      <c r="I10" s="351"/>
    </row>
    <row r="11" spans="3:23" ht="15" customHeight="1">
      <c r="C11" s="352"/>
      <c r="D11" s="364"/>
      <c r="E11" s="366"/>
      <c r="F11" s="367"/>
      <c r="G11" s="368"/>
      <c r="H11" s="351"/>
      <c r="I11" s="351"/>
    </row>
    <row r="12" spans="3:23" ht="16">
      <c r="C12" s="352" t="s">
        <v>380</v>
      </c>
      <c r="D12" s="364"/>
      <c r="E12" s="824">
        <f>E9+E10</f>
        <v>3676825.2795867766</v>
      </c>
      <c r="F12" s="818"/>
      <c r="G12" s="819"/>
      <c r="H12" s="351"/>
      <c r="I12" s="351"/>
      <c r="J12" s="29">
        <v>0.105</v>
      </c>
    </row>
    <row r="13" spans="3:23" ht="15" customHeight="1">
      <c r="C13" s="369"/>
      <c r="D13" s="356"/>
      <c r="E13" s="370"/>
      <c r="F13" s="370"/>
      <c r="G13" s="370"/>
      <c r="H13" s="351"/>
      <c r="I13" s="351"/>
    </row>
    <row r="14" spans="3:23">
      <c r="C14" s="355"/>
      <c r="D14" s="356"/>
      <c r="E14" s="351"/>
      <c r="F14" s="351"/>
      <c r="G14" s="351"/>
      <c r="H14" s="351"/>
      <c r="I14" s="371"/>
      <c r="J14" s="372">
        <v>45748</v>
      </c>
      <c r="K14" s="372">
        <v>45778</v>
      </c>
      <c r="L14" s="372">
        <v>45809</v>
      </c>
      <c r="M14" s="372">
        <v>45839</v>
      </c>
      <c r="N14" s="372">
        <v>45870</v>
      </c>
      <c r="O14" s="372">
        <v>45901</v>
      </c>
      <c r="P14" s="372">
        <v>45931</v>
      </c>
      <c r="Q14" s="372">
        <v>45962</v>
      </c>
      <c r="R14" s="372">
        <v>45992</v>
      </c>
      <c r="S14" s="372">
        <v>46023</v>
      </c>
      <c r="T14" s="372">
        <v>46054</v>
      </c>
      <c r="U14" s="372">
        <v>46082</v>
      </c>
    </row>
    <row r="15" spans="3:23">
      <c r="C15" s="373" t="s">
        <v>381</v>
      </c>
      <c r="D15" s="353" t="s">
        <v>382</v>
      </c>
      <c r="E15" s="374">
        <f t="shared" ref="E15:F15" si="1">SUM(E16:E17)</f>
        <v>304743.59999999998</v>
      </c>
      <c r="F15" s="374">
        <f t="shared" si="1"/>
        <v>128776.83</v>
      </c>
      <c r="G15" s="374">
        <f>G16+G17</f>
        <v>433520.43</v>
      </c>
      <c r="H15" s="351"/>
      <c r="I15" s="371"/>
      <c r="J15" s="375">
        <f>'Cash-flow'!T6</f>
        <v>0</v>
      </c>
      <c r="K15" s="375">
        <f>'Cash-flow'!U6</f>
        <v>0</v>
      </c>
      <c r="L15" s="375">
        <f>'Cash-flow'!V6</f>
        <v>3090000</v>
      </c>
      <c r="M15" s="375">
        <f>'Cash-flow'!W6</f>
        <v>0</v>
      </c>
      <c r="N15" s="375">
        <f>'Cash-flow'!X6</f>
        <v>0</v>
      </c>
      <c r="O15" s="375">
        <f>'Cash-flow'!Y6</f>
        <v>0</v>
      </c>
      <c r="P15" s="375">
        <f>'Cash-flow'!Z6</f>
        <v>0</v>
      </c>
      <c r="Q15" s="375">
        <f>'Cash-flow'!AA6</f>
        <v>0</v>
      </c>
      <c r="R15" s="375">
        <f>'Cash-flow'!AB6</f>
        <v>0</v>
      </c>
      <c r="S15" s="375">
        <f>'Cash-flow'!AC6</f>
        <v>0</v>
      </c>
      <c r="T15" s="375">
        <f>'Cash-flow'!AD6</f>
        <v>0</v>
      </c>
      <c r="U15" s="375">
        <f>'Cash-flow'!AE6</f>
        <v>0</v>
      </c>
    </row>
    <row r="16" spans="3:23" ht="16">
      <c r="C16" s="376" t="s">
        <v>383</v>
      </c>
      <c r="D16" s="377" t="s">
        <v>384</v>
      </c>
      <c r="E16" s="378">
        <f>-'Cash-flow'!AE97</f>
        <v>126000</v>
      </c>
      <c r="F16" s="378">
        <f>-'Cash-flow'!AE96</f>
        <v>0</v>
      </c>
      <c r="G16" s="378">
        <f t="shared" ref="G16:G17" si="2">F16+E16</f>
        <v>126000</v>
      </c>
      <c r="H16" s="351"/>
      <c r="I16" s="379" t="s">
        <v>385</v>
      </c>
      <c r="J16" s="380">
        <f t="shared" ref="J16:J20" si="3">$J$15*H46</f>
        <v>0</v>
      </c>
      <c r="K16" s="380">
        <f t="shared" ref="K16:K20" si="4">$K$15*H46</f>
        <v>0</v>
      </c>
      <c r="L16" s="380">
        <f t="shared" ref="L16:M16" si="5">$L$15*H46</f>
        <v>0</v>
      </c>
      <c r="M16" s="380">
        <f t="shared" si="5"/>
        <v>0</v>
      </c>
      <c r="N16" s="380">
        <f t="shared" ref="N16:N20" si="6">$N$15*H46</f>
        <v>0</v>
      </c>
      <c r="O16" s="380">
        <f t="shared" ref="O16:O20" si="7">$O$15*H46</f>
        <v>0</v>
      </c>
      <c r="P16" s="380">
        <f t="shared" ref="P16:P20" si="8">$P$15*H46</f>
        <v>0</v>
      </c>
      <c r="Q16" s="380">
        <f t="shared" ref="Q16:Q18" si="9">$Q$15*H46</f>
        <v>0</v>
      </c>
      <c r="R16" s="380">
        <f t="shared" ref="R16:U20" si="10">$P$15*J46</f>
        <v>0</v>
      </c>
      <c r="S16" s="380">
        <f t="shared" si="10"/>
        <v>0</v>
      </c>
      <c r="T16" s="380">
        <f t="shared" si="10"/>
        <v>0</v>
      </c>
      <c r="U16" s="380">
        <f t="shared" si="10"/>
        <v>0</v>
      </c>
      <c r="V16" s="381">
        <f t="shared" ref="V16:V20" si="11">SUM(J16:R16)</f>
        <v>0</v>
      </c>
      <c r="W16" s="25" t="str">
        <f t="shared" ref="W16:W20" si="12">IF(V16/SUM($J$15:$P$15)=H46,"OK","NE")</f>
        <v>OK</v>
      </c>
    </row>
    <row r="17" spans="3:23" ht="16">
      <c r="C17" s="376" t="s">
        <v>386</v>
      </c>
      <c r="D17" s="377" t="s">
        <v>387</v>
      </c>
      <c r="E17" s="378">
        <f>-'Cash-flow'!AD62</f>
        <v>178743.6</v>
      </c>
      <c r="F17" s="378">
        <f>-'Cash-flow'!AD61</f>
        <v>128776.83</v>
      </c>
      <c r="G17" s="378">
        <f t="shared" si="2"/>
        <v>307520.43</v>
      </c>
      <c r="H17" s="351"/>
      <c r="I17" s="379" t="s">
        <v>388</v>
      </c>
      <c r="J17" s="380">
        <f t="shared" si="3"/>
        <v>0</v>
      </c>
      <c r="K17" s="380">
        <f t="shared" si="4"/>
        <v>0</v>
      </c>
      <c r="L17" s="382">
        <v>390000</v>
      </c>
      <c r="M17" s="382">
        <f t="shared" ref="M17" si="13">$L$15*I47</f>
        <v>0</v>
      </c>
      <c r="N17" s="382">
        <f t="shared" si="6"/>
        <v>0</v>
      </c>
      <c r="O17" s="382">
        <f t="shared" si="7"/>
        <v>0</v>
      </c>
      <c r="P17" s="380">
        <f t="shared" si="8"/>
        <v>0</v>
      </c>
      <c r="Q17" s="380">
        <f t="shared" si="9"/>
        <v>0</v>
      </c>
      <c r="R17" s="380">
        <f t="shared" si="10"/>
        <v>0</v>
      </c>
      <c r="S17" s="380">
        <f t="shared" si="10"/>
        <v>0</v>
      </c>
      <c r="T17" s="380">
        <f t="shared" si="10"/>
        <v>0</v>
      </c>
      <c r="U17" s="380">
        <f t="shared" si="10"/>
        <v>0</v>
      </c>
      <c r="V17" s="381">
        <f t="shared" si="11"/>
        <v>390000</v>
      </c>
      <c r="W17" s="25" t="str">
        <f t="shared" si="12"/>
        <v>NE</v>
      </c>
    </row>
    <row r="18" spans="3:23" ht="15" customHeight="1">
      <c r="C18" s="383" t="s">
        <v>389</v>
      </c>
      <c r="D18" s="384" t="s">
        <v>390</v>
      </c>
      <c r="E18" s="385">
        <f t="shared" ref="E18" si="14">E19+E20+E21+E22+E23</f>
        <v>33227355</v>
      </c>
      <c r="F18" s="385">
        <f>F19+F20+F21+F22+F23</f>
        <v>3513000</v>
      </c>
      <c r="G18" s="386">
        <f>G19+G20+G21+G22+G23</f>
        <v>36740355</v>
      </c>
      <c r="H18" s="351"/>
      <c r="I18" s="379" t="s">
        <v>391</v>
      </c>
      <c r="J18" s="380">
        <f t="shared" si="3"/>
        <v>0</v>
      </c>
      <c r="K18" s="380">
        <f t="shared" si="4"/>
        <v>0</v>
      </c>
      <c r="L18" s="380">
        <v>2400000</v>
      </c>
      <c r="M18" s="380">
        <f t="shared" ref="M18" si="15">$L$15*I48</f>
        <v>0</v>
      </c>
      <c r="N18" s="380">
        <f t="shared" si="6"/>
        <v>0</v>
      </c>
      <c r="O18" s="380">
        <f t="shared" si="7"/>
        <v>0</v>
      </c>
      <c r="P18" s="380">
        <f t="shared" si="8"/>
        <v>0</v>
      </c>
      <c r="Q18" s="380">
        <f t="shared" si="9"/>
        <v>0</v>
      </c>
      <c r="R18" s="380">
        <f t="shared" si="10"/>
        <v>0</v>
      </c>
      <c r="S18" s="380">
        <f t="shared" si="10"/>
        <v>0</v>
      </c>
      <c r="T18" s="380">
        <f t="shared" si="10"/>
        <v>0</v>
      </c>
      <c r="U18" s="380">
        <f t="shared" si="10"/>
        <v>0</v>
      </c>
      <c r="V18" s="381">
        <f t="shared" si="11"/>
        <v>2400000</v>
      </c>
      <c r="W18" s="25" t="str">
        <f t="shared" si="12"/>
        <v>NE</v>
      </c>
    </row>
    <row r="19" spans="3:23" ht="16">
      <c r="C19" s="376" t="s">
        <v>392</v>
      </c>
      <c r="D19" s="377" t="s">
        <v>393</v>
      </c>
      <c r="E19" s="387"/>
      <c r="F19" s="387">
        <f>V16</f>
        <v>0</v>
      </c>
      <c r="G19" s="378">
        <f>E19/2+F19</f>
        <v>0</v>
      </c>
      <c r="H19" s="388"/>
      <c r="I19" s="379" t="s">
        <v>394</v>
      </c>
      <c r="J19" s="380">
        <f t="shared" si="3"/>
        <v>0</v>
      </c>
      <c r="K19" s="380">
        <f t="shared" si="4"/>
        <v>0</v>
      </c>
      <c r="L19" s="380">
        <v>150000</v>
      </c>
      <c r="M19" s="380">
        <f t="shared" ref="M19" si="16">$L$15*I49</f>
        <v>0</v>
      </c>
      <c r="N19" s="380">
        <f t="shared" si="6"/>
        <v>0</v>
      </c>
      <c r="O19" s="380">
        <f t="shared" si="7"/>
        <v>0</v>
      </c>
      <c r="P19" s="380">
        <f t="shared" si="8"/>
        <v>0</v>
      </c>
      <c r="Q19" s="380">
        <v>0</v>
      </c>
      <c r="R19" s="380">
        <f t="shared" si="10"/>
        <v>0</v>
      </c>
      <c r="S19" s="380">
        <f t="shared" si="10"/>
        <v>0</v>
      </c>
      <c r="T19" s="380">
        <f t="shared" si="10"/>
        <v>0</v>
      </c>
      <c r="U19" s="380">
        <f t="shared" si="10"/>
        <v>0</v>
      </c>
      <c r="V19" s="381">
        <f t="shared" si="11"/>
        <v>150000</v>
      </c>
      <c r="W19" s="25" t="str">
        <f t="shared" si="12"/>
        <v>NE</v>
      </c>
    </row>
    <row r="20" spans="3:23" ht="16">
      <c r="C20" s="376" t="s">
        <v>395</v>
      </c>
      <c r="D20" s="389" t="s">
        <v>396</v>
      </c>
      <c r="E20" s="378">
        <f>1693500*2</f>
        <v>3387000</v>
      </c>
      <c r="F20" s="378">
        <f>V17+423000</f>
        <v>813000</v>
      </c>
      <c r="G20" s="378">
        <f>E20+F20</f>
        <v>4200000</v>
      </c>
      <c r="H20" s="351"/>
      <c r="I20" s="379" t="s">
        <v>397</v>
      </c>
      <c r="J20" s="380">
        <f t="shared" si="3"/>
        <v>0</v>
      </c>
      <c r="K20" s="380">
        <f t="shared" si="4"/>
        <v>0</v>
      </c>
      <c r="L20" s="380">
        <v>150000</v>
      </c>
      <c r="M20" s="380">
        <f t="shared" ref="M20" si="17">$L$15*I50</f>
        <v>0</v>
      </c>
      <c r="N20" s="380">
        <f t="shared" si="6"/>
        <v>0</v>
      </c>
      <c r="O20" s="380">
        <f t="shared" si="7"/>
        <v>0</v>
      </c>
      <c r="P20" s="380">
        <f t="shared" si="8"/>
        <v>0</v>
      </c>
      <c r="Q20" s="380">
        <f>Q15*0.1</f>
        <v>0</v>
      </c>
      <c r="R20" s="380">
        <f t="shared" si="10"/>
        <v>0</v>
      </c>
      <c r="S20" s="380">
        <f t="shared" si="10"/>
        <v>0</v>
      </c>
      <c r="T20" s="380">
        <f t="shared" si="10"/>
        <v>0</v>
      </c>
      <c r="U20" s="380">
        <f t="shared" si="10"/>
        <v>0</v>
      </c>
      <c r="V20" s="381">
        <f t="shared" si="11"/>
        <v>150000</v>
      </c>
      <c r="W20" s="25" t="str">
        <f t="shared" si="12"/>
        <v>NE</v>
      </c>
    </row>
    <row r="21" spans="3:23" ht="16">
      <c r="C21" s="376" t="s">
        <v>398</v>
      </c>
      <c r="D21" s="377" t="s">
        <v>391</v>
      </c>
      <c r="E21" s="387">
        <f>15961934+10682501</f>
        <v>26644435</v>
      </c>
      <c r="F21" s="387">
        <f>SUM(L18:R18)</f>
        <v>2400000</v>
      </c>
      <c r="G21" s="378">
        <f t="shared" ref="G21:G23" si="18">E21+F21</f>
        <v>29044435</v>
      </c>
      <c r="H21" s="390"/>
      <c r="I21" s="351"/>
    </row>
    <row r="22" spans="3:23" ht="16">
      <c r="C22" s="376" t="s">
        <v>399</v>
      </c>
      <c r="D22" s="377" t="s">
        <v>394</v>
      </c>
      <c r="E22" s="387">
        <v>1597960</v>
      </c>
      <c r="F22" s="387">
        <f>SUM(L19:R19)</f>
        <v>150000</v>
      </c>
      <c r="G22" s="378">
        <f t="shared" si="18"/>
        <v>1747960</v>
      </c>
      <c r="H22" s="391"/>
      <c r="I22" s="351"/>
      <c r="K22" s="351"/>
    </row>
    <row r="23" spans="3:23" ht="16">
      <c r="C23" s="376" t="s">
        <v>400</v>
      </c>
      <c r="D23" s="377" t="s">
        <v>397</v>
      </c>
      <c r="E23" s="387">
        <v>1597960</v>
      </c>
      <c r="F23" s="387">
        <f>SUM(L20:R20)</f>
        <v>150000</v>
      </c>
      <c r="G23" s="378">
        <f t="shared" si="18"/>
        <v>1747960</v>
      </c>
      <c r="H23" s="390"/>
      <c r="I23" s="390"/>
      <c r="K23" s="351"/>
      <c r="V23" s="25"/>
    </row>
    <row r="24" spans="3:23" ht="15" customHeight="1">
      <c r="C24" s="383" t="s">
        <v>401</v>
      </c>
      <c r="D24" s="384" t="s">
        <v>402</v>
      </c>
      <c r="E24" s="385">
        <f t="shared" ref="E24:F24" si="19">SUM(E25:E29)</f>
        <v>4687290</v>
      </c>
      <c r="F24" s="385">
        <f t="shared" si="19"/>
        <v>293597</v>
      </c>
      <c r="G24" s="386">
        <f>G25+G26+G27+G28+G29</f>
        <v>4980887</v>
      </c>
      <c r="H24" s="351"/>
      <c r="I24" s="351"/>
      <c r="K24" s="351"/>
    </row>
    <row r="25" spans="3:23" ht="16">
      <c r="C25" s="376" t="s">
        <v>403</v>
      </c>
      <c r="D25" s="377" t="s">
        <v>393</v>
      </c>
      <c r="E25" s="378"/>
      <c r="F25" s="378"/>
      <c r="G25" s="378">
        <f>E25</f>
        <v>0</v>
      </c>
      <c r="H25" s="351"/>
      <c r="I25" s="351"/>
      <c r="K25" s="351"/>
      <c r="R25" s="25"/>
      <c r="S25" s="25"/>
      <c r="T25" s="25"/>
      <c r="U25" s="25"/>
      <c r="V25" s="332"/>
    </row>
    <row r="26" spans="3:23" ht="16">
      <c r="C26" s="376" t="s">
        <v>404</v>
      </c>
      <c r="D26" s="389" t="s">
        <v>396</v>
      </c>
      <c r="E26" s="392"/>
      <c r="F26" s="387">
        <f>293597</f>
        <v>293597</v>
      </c>
      <c r="G26" s="378">
        <f>F26</f>
        <v>293597</v>
      </c>
      <c r="H26" s="351"/>
      <c r="I26" s="390"/>
      <c r="K26" s="351"/>
    </row>
    <row r="27" spans="3:23" ht="16">
      <c r="C27" s="376" t="s">
        <v>405</v>
      </c>
      <c r="D27" s="377" t="s">
        <v>391</v>
      </c>
      <c r="E27" s="392">
        <v>4199590</v>
      </c>
      <c r="F27" s="378"/>
      <c r="G27" s="378">
        <f t="shared" ref="G27:G29" si="20">E27</f>
        <v>4199590</v>
      </c>
      <c r="H27" s="351"/>
      <c r="I27" s="363"/>
      <c r="R27" s="25"/>
      <c r="S27" s="25"/>
      <c r="T27" s="25"/>
      <c r="U27" s="25"/>
      <c r="V27" s="25"/>
    </row>
    <row r="28" spans="3:23" ht="16">
      <c r="C28" s="376" t="s">
        <v>406</v>
      </c>
      <c r="D28" s="377" t="s">
        <v>397</v>
      </c>
      <c r="E28" s="393">
        <v>243850</v>
      </c>
      <c r="F28" s="378"/>
      <c r="G28" s="378">
        <f t="shared" si="20"/>
        <v>243850</v>
      </c>
      <c r="H28" s="351"/>
      <c r="I28" s="351"/>
      <c r="J28" s="351"/>
    </row>
    <row r="29" spans="3:23" ht="16">
      <c r="C29" s="376" t="s">
        <v>407</v>
      </c>
      <c r="D29" s="377" t="s">
        <v>394</v>
      </c>
      <c r="E29" s="393">
        <v>243850</v>
      </c>
      <c r="F29" s="378"/>
      <c r="G29" s="378">
        <f t="shared" si="20"/>
        <v>243850</v>
      </c>
      <c r="H29" s="351"/>
      <c r="I29" s="351"/>
    </row>
    <row r="30" spans="3:23" ht="15" customHeight="1">
      <c r="C30" s="394" t="s">
        <v>408</v>
      </c>
      <c r="D30" s="384" t="s">
        <v>409</v>
      </c>
      <c r="E30" s="395">
        <v>2640893.7400000002</v>
      </c>
      <c r="F30" s="385">
        <v>0</v>
      </c>
      <c r="G30" s="396">
        <f>G31+G32+G33+G34+G35</f>
        <v>0</v>
      </c>
      <c r="H30" s="351"/>
      <c r="I30" s="351"/>
    </row>
    <row r="31" spans="3:23" ht="16">
      <c r="C31" s="376" t="s">
        <v>385</v>
      </c>
      <c r="D31" s="377" t="s">
        <v>393</v>
      </c>
      <c r="E31" s="378"/>
      <c r="F31" s="378"/>
      <c r="G31" s="378">
        <v>0</v>
      </c>
      <c r="H31" s="351"/>
      <c r="I31" s="351"/>
    </row>
    <row r="32" spans="3:23" ht="16">
      <c r="C32" s="376" t="s">
        <v>410</v>
      </c>
      <c r="D32" s="389" t="s">
        <v>396</v>
      </c>
      <c r="E32" s="378">
        <v>700000</v>
      </c>
      <c r="F32" s="378"/>
      <c r="G32" s="378">
        <v>0</v>
      </c>
      <c r="H32" s="351"/>
      <c r="I32" s="351"/>
    </row>
    <row r="33" spans="3:10" ht="16">
      <c r="C33" s="376" t="s">
        <v>391</v>
      </c>
      <c r="D33" s="377" t="s">
        <v>391</v>
      </c>
      <c r="E33" s="387">
        <v>2640893.7400000002</v>
      </c>
      <c r="F33" s="378"/>
      <c r="G33" s="378">
        <v>0</v>
      </c>
      <c r="H33" s="351"/>
      <c r="I33" s="351"/>
    </row>
    <row r="34" spans="3:10" ht="16">
      <c r="C34" s="376" t="s">
        <v>397</v>
      </c>
      <c r="D34" s="377" t="s">
        <v>397</v>
      </c>
      <c r="E34" s="378">
        <v>700000</v>
      </c>
      <c r="F34" s="378"/>
      <c r="G34" s="378">
        <v>0</v>
      </c>
      <c r="H34" s="351"/>
      <c r="I34" s="351"/>
    </row>
    <row r="35" spans="3:10" ht="16">
      <c r="C35" s="376" t="s">
        <v>394</v>
      </c>
      <c r="D35" s="377" t="s">
        <v>394</v>
      </c>
      <c r="E35" s="378"/>
      <c r="F35" s="378"/>
      <c r="G35" s="378">
        <v>0</v>
      </c>
      <c r="H35" s="351"/>
      <c r="I35" s="351"/>
    </row>
    <row r="36" spans="3:10" ht="15" customHeight="1">
      <c r="C36" s="397" t="s">
        <v>411</v>
      </c>
      <c r="D36" s="384" t="s">
        <v>412</v>
      </c>
      <c r="E36" s="825">
        <f>E12-G15-G18-G24</f>
        <v>-38477937.150413223</v>
      </c>
      <c r="F36" s="767"/>
      <c r="G36" s="768"/>
      <c r="H36" s="351"/>
      <c r="I36" s="351"/>
    </row>
    <row r="37" spans="3:10" ht="15" customHeight="1">
      <c r="C37" s="394" t="s">
        <v>413</v>
      </c>
      <c r="D37" s="384" t="s">
        <v>414</v>
      </c>
      <c r="E37" s="825">
        <f>E38</f>
        <v>55400</v>
      </c>
      <c r="F37" s="767"/>
      <c r="G37" s="768"/>
      <c r="H37" s="351"/>
      <c r="I37" s="351"/>
    </row>
    <row r="38" spans="3:10" ht="16">
      <c r="C38" s="376" t="s">
        <v>385</v>
      </c>
      <c r="D38" s="377" t="s">
        <v>393</v>
      </c>
      <c r="E38" s="826">
        <v>55400</v>
      </c>
      <c r="F38" s="827"/>
      <c r="G38" s="398">
        <f>E38</f>
        <v>55400</v>
      </c>
      <c r="H38" s="351"/>
      <c r="I38" s="351"/>
    </row>
    <row r="39" spans="3:10" ht="16">
      <c r="C39" s="376" t="s">
        <v>410</v>
      </c>
      <c r="D39" s="389" t="s">
        <v>396</v>
      </c>
      <c r="E39" s="828"/>
      <c r="F39" s="787"/>
      <c r="G39" s="398">
        <v>0</v>
      </c>
      <c r="H39" s="351"/>
      <c r="I39" s="351"/>
    </row>
    <row r="40" spans="3:10" ht="16">
      <c r="C40" s="376" t="s">
        <v>391</v>
      </c>
      <c r="D40" s="377" t="s">
        <v>391</v>
      </c>
      <c r="E40" s="828"/>
      <c r="F40" s="787"/>
      <c r="G40" s="398">
        <v>0</v>
      </c>
      <c r="H40" s="351"/>
      <c r="I40" s="351"/>
    </row>
    <row r="41" spans="3:10" ht="16">
      <c r="C41" s="376" t="s">
        <v>397</v>
      </c>
      <c r="D41" s="377" t="s">
        <v>397</v>
      </c>
      <c r="E41" s="828"/>
      <c r="F41" s="787"/>
      <c r="G41" s="399">
        <v>0</v>
      </c>
      <c r="H41" s="351"/>
      <c r="I41" s="351"/>
    </row>
    <row r="42" spans="3:10" ht="16">
      <c r="C42" s="376" t="s">
        <v>394</v>
      </c>
      <c r="D42" s="377" t="s">
        <v>394</v>
      </c>
      <c r="E42" s="829"/>
      <c r="F42" s="768"/>
      <c r="G42" s="400">
        <v>0</v>
      </c>
      <c r="H42" s="351"/>
      <c r="I42" s="351"/>
    </row>
    <row r="43" spans="3:10" ht="15" customHeight="1">
      <c r="C43" s="355"/>
      <c r="D43" s="401"/>
      <c r="E43" s="402"/>
      <c r="F43" s="402"/>
      <c r="G43" s="402"/>
      <c r="H43" s="351"/>
      <c r="I43" s="351"/>
    </row>
    <row r="44" spans="3:10" ht="15" customHeight="1">
      <c r="C44" s="373" t="s">
        <v>415</v>
      </c>
      <c r="D44" s="353" t="s">
        <v>416</v>
      </c>
      <c r="E44" s="830">
        <f>E36-E37</f>
        <v>-38533337.150413223</v>
      </c>
      <c r="F44" s="831"/>
      <c r="G44" s="827"/>
      <c r="H44" s="351"/>
      <c r="I44" s="351"/>
    </row>
    <row r="45" spans="3:10" ht="15" customHeight="1">
      <c r="C45" s="383" t="s">
        <v>417</v>
      </c>
      <c r="D45" s="384" t="s">
        <v>418</v>
      </c>
      <c r="E45" s="767"/>
      <c r="F45" s="767"/>
      <c r="G45" s="768"/>
      <c r="H45" s="351"/>
      <c r="I45" s="351"/>
    </row>
    <row r="46" spans="3:10" ht="16">
      <c r="C46" s="376" t="s">
        <v>385</v>
      </c>
      <c r="D46" s="377" t="s">
        <v>393</v>
      </c>
      <c r="E46" s="823">
        <f t="shared" ref="E46:E50" si="21">$E$44*H46</f>
        <v>0</v>
      </c>
      <c r="F46" s="767"/>
      <c r="G46" s="768"/>
      <c r="H46" s="403">
        <v>0</v>
      </c>
      <c r="I46" s="351"/>
    </row>
    <row r="47" spans="3:10" ht="16">
      <c r="C47" s="376" t="s">
        <v>410</v>
      </c>
      <c r="D47" s="389" t="s">
        <v>396</v>
      </c>
      <c r="E47" s="823">
        <f>$E$44*H47</f>
        <v>-3853333.7150413226</v>
      </c>
      <c r="F47" s="767"/>
      <c r="G47" s="768"/>
      <c r="H47" s="403">
        <v>0.1</v>
      </c>
      <c r="I47" s="351"/>
      <c r="J47" s="728"/>
    </row>
    <row r="48" spans="3:10" ht="16">
      <c r="C48" s="376" t="s">
        <v>391</v>
      </c>
      <c r="D48" s="377" t="s">
        <v>391</v>
      </c>
      <c r="E48" s="823">
        <f>$E$44*H48-E33</f>
        <v>-33467563.460330583</v>
      </c>
      <c r="F48" s="767"/>
      <c r="G48" s="768"/>
      <c r="H48" s="403">
        <v>0.8</v>
      </c>
      <c r="I48" s="351"/>
    </row>
    <row r="49" spans="3:10" ht="16">
      <c r="C49" s="376" t="s">
        <v>397</v>
      </c>
      <c r="D49" s="377" t="s">
        <v>397</v>
      </c>
      <c r="E49" s="823">
        <f>$E$44*H49-E34</f>
        <v>-4553333.7150413226</v>
      </c>
      <c r="F49" s="767"/>
      <c r="G49" s="768"/>
      <c r="H49" s="403">
        <v>0.1</v>
      </c>
    </row>
    <row r="50" spans="3:10" ht="16">
      <c r="C50" s="376" t="s">
        <v>394</v>
      </c>
      <c r="D50" s="377" t="s">
        <v>394</v>
      </c>
      <c r="E50" s="823">
        <f t="shared" si="21"/>
        <v>0</v>
      </c>
      <c r="F50" s="767"/>
      <c r="G50" s="768"/>
      <c r="H50" s="403">
        <v>0</v>
      </c>
    </row>
    <row r="52" spans="3:10" ht="15" customHeight="1">
      <c r="F52" s="728"/>
      <c r="J52" s="728"/>
    </row>
    <row r="53" spans="3:10" ht="15" customHeight="1">
      <c r="F53" s="728"/>
    </row>
    <row r="55" spans="3:10" ht="15" customHeight="1">
      <c r="G55" s="728"/>
    </row>
  </sheetData>
  <mergeCells count="17">
    <mergeCell ref="E9:G9"/>
    <mergeCell ref="E10:F10"/>
    <mergeCell ref="E48:G48"/>
    <mergeCell ref="E49:G49"/>
    <mergeCell ref="E50:G50"/>
    <mergeCell ref="E12:G12"/>
    <mergeCell ref="E36:G36"/>
    <mergeCell ref="E37:G37"/>
    <mergeCell ref="E38:F42"/>
    <mergeCell ref="E44:G45"/>
    <mergeCell ref="E46:G46"/>
    <mergeCell ref="E47:G47"/>
    <mergeCell ref="E3:G3"/>
    <mergeCell ref="E5:F5"/>
    <mergeCell ref="E6:F6"/>
    <mergeCell ref="E7:F7"/>
    <mergeCell ref="E8:F8"/>
  </mergeCells>
  <pageMargins left="0" right="0" top="0" bottom="0" header="0" footer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F3AA69A854CD4AB8E018F1423272BF" ma:contentTypeVersion="13" ma:contentTypeDescription="Create a new document." ma:contentTypeScope="" ma:versionID="a3f5554c585a7cde3904181a8e22af3b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eb52fcb5728ee2e1c40aacbe8283fac1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590D8C-21D7-4FCD-BE6A-EF04CB8772A2}"/>
</file>

<file path=customXml/itemProps2.xml><?xml version="1.0" encoding="utf-8"?>
<ds:datastoreItem xmlns:ds="http://schemas.openxmlformats.org/officeDocument/2006/customXml" ds:itemID="{0288C32E-13CA-4C9C-B0EF-1EFE91FBCEE4}">
  <ds:schemaRefs>
    <ds:schemaRef ds:uri="http://schemas.microsoft.com/office/2006/metadata/properties"/>
    <ds:schemaRef ds:uri="http://schemas.microsoft.com/office/infopath/2007/PartnerControls"/>
    <ds:schemaRef ds:uri="514b3978-ef99-4369-97d8-b5595bc046fd"/>
    <ds:schemaRef ds:uri="2177d5e2-de1b-4c88-afa9-de15b879eef2"/>
  </ds:schemaRefs>
</ds:datastoreItem>
</file>

<file path=customXml/itemProps3.xml><?xml version="1.0" encoding="utf-8"?>
<ds:datastoreItem xmlns:ds="http://schemas.openxmlformats.org/officeDocument/2006/customXml" ds:itemID="{21E9684F-E5C0-4E49-A600-181D04E446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1</vt:i4>
      </vt:variant>
    </vt:vector>
  </HeadingPairs>
  <TitlesOfParts>
    <vt:vector size="29" baseType="lpstr">
      <vt:lpstr>Rentroll</vt:lpstr>
      <vt:lpstr>HMG</vt:lpstr>
      <vt:lpstr>OneReport</vt:lpstr>
      <vt:lpstr>Harmonogram</vt:lpstr>
      <vt:lpstr>Businessplan_prodej</vt:lpstr>
      <vt:lpstr>Cash-flow 04.02.2025</vt:lpstr>
      <vt:lpstr>Cash-flow</vt:lpstr>
      <vt:lpstr>Interest Calc EQ 14.4.2025</vt:lpstr>
      <vt:lpstr>Summary LIM</vt:lpstr>
      <vt:lpstr>Provoz</vt:lpstr>
      <vt:lpstr>List 10</vt:lpstr>
      <vt:lpstr>Kopie listu Businessplan_prodej</vt:lpstr>
      <vt:lpstr>Cash-flow PLAN</vt:lpstr>
      <vt:lpstr>Interest Calc EQ</vt:lpstr>
      <vt:lpstr>Cash-flow FAKT</vt:lpstr>
      <vt:lpstr>Cash-flow FAKT (Report)</vt:lpstr>
      <vt:lpstr>Cash-flow Plan vc 2 etapa</vt:lpstr>
      <vt:lpstr>Kopie listu Cash-flow Plan vc 2</vt:lpstr>
      <vt:lpstr> Interest Calc EQ FAKT</vt:lpstr>
      <vt:lpstr>Cash-flow M 22.7.</vt:lpstr>
      <vt:lpstr>PnL</vt:lpstr>
      <vt:lpstr>Interest Calc Cash-flow M 22.7.</vt:lpstr>
      <vt:lpstr> Interest Calc Cash-flow Plan v</vt:lpstr>
      <vt:lpstr>EQ CF</vt:lpstr>
      <vt:lpstr>List 8</vt:lpstr>
      <vt:lpstr>Params</vt:lpstr>
      <vt:lpstr>Kopie listu Cash-flow 04.02.202</vt:lpstr>
      <vt:lpstr>Businessplan_pravo_stavby</vt:lpstr>
      <vt:lpstr>dokonceni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Dmitry Egorov</cp:lastModifiedBy>
  <cp:revision/>
  <dcterms:created xsi:type="dcterms:W3CDTF">2025-08-11T14:38:29Z</dcterms:created>
  <dcterms:modified xsi:type="dcterms:W3CDTF">2026-05-07T09:26:10Z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MediaServiceImageTags">
    <vt:lpwstr/>
  </property>
</Properties>
</file>