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6"/>
  <workbookPr/>
  <mc:AlternateContent xmlns:mc="http://schemas.openxmlformats.org/markup-compatibility/2006">
    <mc:Choice Requires="x15">
      <x15ac:absPath xmlns:x15ac="http://schemas.microsoft.com/office/spreadsheetml/2010/11/ac" url="/Users/dmitryegorov/Downloads/"/>
    </mc:Choice>
  </mc:AlternateContent>
  <xr:revisionPtr revIDLastSave="0" documentId="13_ncr:1_{001EFFFE-09B2-4F42-A5DC-AFBA2D343FEB}" xr6:coauthVersionLast="47" xr6:coauthVersionMax="47" xr10:uidLastSave="{00000000-0000-0000-0000-000000000000}"/>
  <bookViews>
    <workbookView xWindow="0" yWindow="680" windowWidth="38400" windowHeight="19720" activeTab="6" xr2:uid="{00000000-000D-0000-FFFF-FFFF00000000}"/>
  </bookViews>
  <sheets>
    <sheet name="Rentroll" sheetId="1" r:id="rId1"/>
    <sheet name="HMG" sheetId="2" state="hidden" r:id="rId2"/>
    <sheet name="OneReport" sheetId="3" state="hidden" r:id="rId3"/>
    <sheet name="Harmonogram" sheetId="4" state="hidden" r:id="rId4"/>
    <sheet name="Businessplan_prodej" sheetId="5" r:id="rId5"/>
    <sheet name="LEKVI ODRY OVERVIEW" sheetId="6" state="hidden" r:id="rId6"/>
    <sheet name="CF" sheetId="14" r:id="rId7"/>
    <sheet name="Cash-flow 6.2025" sheetId="7" state="hidden" r:id="rId8"/>
    <sheet name="Cash-flow" sheetId="8" state="hidden" r:id="rId9"/>
    <sheet name="Interest Calc EQ" sheetId="9" state="hidden" r:id="rId10"/>
    <sheet name="Params" sheetId="10" state="hidden" r:id="rId11"/>
    <sheet name="Shares" sheetId="11" state="hidden" r:id="rId12"/>
    <sheet name="vyberove konanie" sheetId="12" state="hidden" r:id="rId13"/>
    <sheet name="Businessplan_pravo_stavby" sheetId="13" state="hidden" r:id="rId14"/>
  </sheets>
  <definedNames>
    <definedName name="_xlnm._FilterDatabase" localSheetId="2" hidden="1">OneReport!$A$2:$G$10</definedName>
    <definedName name="dokonceni">Rentroll!$AA$1:$AA$3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35" i="14" l="1"/>
  <c r="AG61" i="14"/>
  <c r="AF29" i="14"/>
  <c r="AF45" i="14"/>
  <c r="AF47" i="14"/>
  <c r="AF44" i="14"/>
  <c r="AF43" i="14"/>
  <c r="AG26" i="14"/>
  <c r="AH26" i="14"/>
  <c r="AH34" i="14"/>
  <c r="AG34" i="14"/>
  <c r="AH30" i="14"/>
  <c r="BY30" i="14" s="1"/>
  <c r="H12" i="1"/>
  <c r="AG38" i="14"/>
  <c r="BY38" i="14" s="1"/>
  <c r="F39" i="5"/>
  <c r="I29" i="1"/>
  <c r="M29" i="1"/>
  <c r="AE20" i="14"/>
  <c r="AE29" i="14"/>
  <c r="AE44" i="14"/>
  <c r="AE43" i="14"/>
  <c r="AE16" i="14"/>
  <c r="AD14" i="14"/>
  <c r="AD11" i="14"/>
  <c r="AD47" i="14"/>
  <c r="AD44" i="14"/>
  <c r="AD43" i="14"/>
  <c r="AD29" i="14"/>
  <c r="T25" i="1"/>
  <c r="T24" i="1"/>
  <c r="M8" i="1"/>
  <c r="AC124" i="14"/>
  <c r="J10" i="5"/>
  <c r="J8" i="1"/>
  <c r="H8" i="1"/>
  <c r="H11" i="1"/>
  <c r="I11" i="1"/>
  <c r="AC40" i="14"/>
  <c r="AC44" i="14"/>
  <c r="AC43" i="14"/>
  <c r="O30" i="9"/>
  <c r="N24" i="5"/>
  <c r="AC29" i="14"/>
  <c r="AB61" i="14"/>
  <c r="AB54" i="14" s="1"/>
  <c r="AB102" i="14"/>
  <c r="AB103" i="14" s="1"/>
  <c r="AB32" i="14"/>
  <c r="AB41" i="14"/>
  <c r="AB52" i="14"/>
  <c r="AC52" i="14"/>
  <c r="AB49" i="14"/>
  <c r="AB29" i="14"/>
  <c r="AB47" i="14"/>
  <c r="AB40" i="14"/>
  <c r="AB39" i="14" s="1"/>
  <c r="AH38" i="14"/>
  <c r="I8" i="1"/>
  <c r="I9" i="1"/>
  <c r="K9" i="1" s="1"/>
  <c r="AI103" i="14"/>
  <c r="AH103" i="14"/>
  <c r="AG103" i="14"/>
  <c r="AF103" i="14"/>
  <c r="AE103" i="14"/>
  <c r="AD103" i="14"/>
  <c r="AC103" i="14"/>
  <c r="AG29" i="14"/>
  <c r="Z103" i="14"/>
  <c r="AA103" i="14"/>
  <c r="AA52" i="14"/>
  <c r="AA48" i="14" s="1"/>
  <c r="AA45" i="14"/>
  <c r="AA32" i="14"/>
  <c r="AA29" i="14"/>
  <c r="Z44" i="14"/>
  <c r="Z29" i="14"/>
  <c r="Z52" i="14"/>
  <c r="Z16" i="14"/>
  <c r="BY16" i="14" s="1"/>
  <c r="Z6" i="14"/>
  <c r="Z124" i="14" s="1"/>
  <c r="Z129" i="14" s="1"/>
  <c r="Z21" i="14"/>
  <c r="BY21" i="14" s="1"/>
  <c r="Z40" i="14"/>
  <c r="Y52" i="14"/>
  <c r="Y45" i="14"/>
  <c r="Y44" i="14"/>
  <c r="Y43" i="14"/>
  <c r="X43" i="14"/>
  <c r="X39" i="14" s="1"/>
  <c r="X52" i="14"/>
  <c r="J9" i="5"/>
  <c r="J11" i="5"/>
  <c r="J12" i="5"/>
  <c r="J13" i="5"/>
  <c r="J14" i="5"/>
  <c r="J15" i="5"/>
  <c r="J16" i="5"/>
  <c r="J17" i="5"/>
  <c r="J18" i="5"/>
  <c r="M9" i="1"/>
  <c r="M6" i="1"/>
  <c r="I5" i="1"/>
  <c r="C34" i="14"/>
  <c r="C30" i="14"/>
  <c r="F30" i="5"/>
  <c r="W91" i="14"/>
  <c r="W89" i="14" s="1"/>
  <c r="W6" i="14"/>
  <c r="W124" i="14" s="1"/>
  <c r="W32" i="14"/>
  <c r="W44" i="14"/>
  <c r="W53" i="14"/>
  <c r="W43" i="14"/>
  <c r="D166" i="14"/>
  <c r="BX159" i="14"/>
  <c r="BW159" i="14"/>
  <c r="BV159" i="14"/>
  <c r="BU159" i="14"/>
  <c r="BT159" i="14"/>
  <c r="BS159" i="14"/>
  <c r="BR159" i="14"/>
  <c r="BQ159" i="14"/>
  <c r="BP159" i="14"/>
  <c r="BO159" i="14"/>
  <c r="BN159" i="14"/>
  <c r="BM159" i="14"/>
  <c r="BL159" i="14"/>
  <c r="BK159" i="14"/>
  <c r="BJ159" i="14"/>
  <c r="BI159" i="14"/>
  <c r="BH159" i="14"/>
  <c r="BG159" i="14"/>
  <c r="BF159" i="14"/>
  <c r="BE159" i="14"/>
  <c r="BD159" i="14"/>
  <c r="BC159" i="14"/>
  <c r="BB159" i="14"/>
  <c r="BA159" i="14"/>
  <c r="AZ159" i="14"/>
  <c r="AY159" i="14"/>
  <c r="AX159" i="14"/>
  <c r="AW159" i="14"/>
  <c r="AV159" i="14"/>
  <c r="AU159" i="14"/>
  <c r="AT159" i="14"/>
  <c r="AS159" i="14"/>
  <c r="AR159" i="14"/>
  <c r="AQ159" i="14"/>
  <c r="AP159" i="14"/>
  <c r="AO159" i="14"/>
  <c r="AN159" i="14"/>
  <c r="AM159" i="14"/>
  <c r="AL159" i="14"/>
  <c r="AK159" i="14"/>
  <c r="AF159" i="14"/>
  <c r="AE159" i="14"/>
  <c r="AD159" i="14"/>
  <c r="AC159" i="14"/>
  <c r="AB159" i="14"/>
  <c r="AA159" i="14"/>
  <c r="Z159" i="14"/>
  <c r="Y159" i="14"/>
  <c r="X159" i="14"/>
  <c r="W159" i="14"/>
  <c r="V159" i="14"/>
  <c r="U159" i="14"/>
  <c r="T159" i="14"/>
  <c r="S159" i="14"/>
  <c r="R159" i="14"/>
  <c r="Q159" i="14"/>
  <c r="P159" i="14"/>
  <c r="O159" i="14"/>
  <c r="N159" i="14"/>
  <c r="M159" i="14"/>
  <c r="L159" i="14"/>
  <c r="K159" i="14"/>
  <c r="J159" i="14"/>
  <c r="I159" i="14"/>
  <c r="H159" i="14"/>
  <c r="F159" i="14"/>
  <c r="E159" i="14"/>
  <c r="BX157" i="14"/>
  <c r="BW157" i="14"/>
  <c r="BV157" i="14"/>
  <c r="BU157" i="14"/>
  <c r="BU162" i="14" s="1"/>
  <c r="BT157" i="14"/>
  <c r="BT162" i="14" s="1"/>
  <c r="BS157" i="14"/>
  <c r="BS162" i="14" s="1"/>
  <c r="BR157" i="14"/>
  <c r="BR162" i="14" s="1"/>
  <c r="BQ157" i="14"/>
  <c r="BQ162" i="14" s="1"/>
  <c r="BP157" i="14"/>
  <c r="BO157" i="14"/>
  <c r="BN157" i="14"/>
  <c r="BM157" i="14"/>
  <c r="BM162" i="14" s="1"/>
  <c r="BL157" i="14"/>
  <c r="BL162" i="14" s="1"/>
  <c r="BK157" i="14"/>
  <c r="BK162" i="14" s="1"/>
  <c r="BJ157" i="14"/>
  <c r="BJ162" i="14" s="1"/>
  <c r="BI157" i="14"/>
  <c r="BI162" i="14" s="1"/>
  <c r="BH157" i="14"/>
  <c r="BG157" i="14"/>
  <c r="BF157" i="14"/>
  <c r="BE157" i="14"/>
  <c r="BE162" i="14" s="1"/>
  <c r="BD157" i="14"/>
  <c r="BD162" i="14" s="1"/>
  <c r="BC157" i="14"/>
  <c r="BC162" i="14" s="1"/>
  <c r="BB157" i="14"/>
  <c r="BB162" i="14" s="1"/>
  <c r="BA157" i="14"/>
  <c r="BA162" i="14" s="1"/>
  <c r="AZ157" i="14"/>
  <c r="AY157" i="14"/>
  <c r="AX157" i="14"/>
  <c r="AW157" i="14"/>
  <c r="AW162" i="14" s="1"/>
  <c r="AV157" i="14"/>
  <c r="AV162" i="14" s="1"/>
  <c r="AU157" i="14"/>
  <c r="AU162" i="14" s="1"/>
  <c r="AT157" i="14"/>
  <c r="AT162" i="14" s="1"/>
  <c r="AS157" i="14"/>
  <c r="AS162" i="14" s="1"/>
  <c r="AR157" i="14"/>
  <c r="AQ157" i="14"/>
  <c r="AP157" i="14"/>
  <c r="AO157" i="14"/>
  <c r="AO162" i="14" s="1"/>
  <c r="AN157" i="14"/>
  <c r="AN162" i="14" s="1"/>
  <c r="AM157" i="14"/>
  <c r="AM162" i="14" s="1"/>
  <c r="AL157" i="14"/>
  <c r="AL162" i="14" s="1"/>
  <c r="AK157" i="14"/>
  <c r="AK162" i="14" s="1"/>
  <c r="AK163" i="14" s="1"/>
  <c r="AL163" i="14" s="1"/>
  <c r="AF157" i="14"/>
  <c r="AE157" i="14"/>
  <c r="AD157" i="14"/>
  <c r="AC157" i="14"/>
  <c r="AC162" i="14" s="1"/>
  <c r="AB157" i="14"/>
  <c r="AB162" i="14" s="1"/>
  <c r="AA157" i="14"/>
  <c r="AA162" i="14" s="1"/>
  <c r="Z157" i="14"/>
  <c r="Z162" i="14" s="1"/>
  <c r="Y157" i="14"/>
  <c r="Y162" i="14" s="1"/>
  <c r="X157" i="14"/>
  <c r="W157" i="14"/>
  <c r="V157" i="14"/>
  <c r="U157" i="14"/>
  <c r="U162" i="14" s="1"/>
  <c r="T157" i="14"/>
  <c r="T162" i="14" s="1"/>
  <c r="S157" i="14"/>
  <c r="S162" i="14" s="1"/>
  <c r="R157" i="14"/>
  <c r="R162" i="14" s="1"/>
  <c r="Q157" i="14"/>
  <c r="Q162" i="14" s="1"/>
  <c r="P157" i="14"/>
  <c r="O157" i="14"/>
  <c r="N157" i="14"/>
  <c r="M157" i="14"/>
  <c r="M162" i="14" s="1"/>
  <c r="L157" i="14"/>
  <c r="L162" i="14" s="1"/>
  <c r="K157" i="14"/>
  <c r="K162" i="14" s="1"/>
  <c r="J157" i="14"/>
  <c r="J162" i="14" s="1"/>
  <c r="I157" i="14"/>
  <c r="I162" i="14" s="1"/>
  <c r="H157" i="14"/>
  <c r="F157" i="14"/>
  <c r="E157" i="14"/>
  <c r="D149" i="14"/>
  <c r="BX142" i="14"/>
  <c r="BW142" i="14"/>
  <c r="BV142" i="14"/>
  <c r="BU142" i="14"/>
  <c r="BT142" i="14"/>
  <c r="BS142" i="14"/>
  <c r="BR142" i="14"/>
  <c r="BQ142" i="14"/>
  <c r="BP142" i="14"/>
  <c r="BO142" i="14"/>
  <c r="BN142" i="14"/>
  <c r="BM142" i="14"/>
  <c r="BL142" i="14"/>
  <c r="BK142" i="14"/>
  <c r="BJ142" i="14"/>
  <c r="BI142" i="14"/>
  <c r="BH142" i="14"/>
  <c r="BG142" i="14"/>
  <c r="BF142" i="14"/>
  <c r="BE142" i="14"/>
  <c r="BD142" i="14"/>
  <c r="BC142" i="14"/>
  <c r="BB142" i="14"/>
  <c r="BA142" i="14"/>
  <c r="AZ142" i="14"/>
  <c r="AY142" i="14"/>
  <c r="AX142" i="14"/>
  <c r="AW142" i="14"/>
  <c r="AV142" i="14"/>
  <c r="AU142" i="14"/>
  <c r="AT142" i="14"/>
  <c r="AS142" i="14"/>
  <c r="AR142" i="14"/>
  <c r="AQ142" i="14"/>
  <c r="AP142" i="14"/>
  <c r="AO142" i="14"/>
  <c r="AN142" i="14"/>
  <c r="AM142" i="14"/>
  <c r="AL142" i="14"/>
  <c r="AK142" i="14"/>
  <c r="AF142" i="14"/>
  <c r="AE142" i="14"/>
  <c r="AD142" i="14"/>
  <c r="AC142" i="14"/>
  <c r="AB142" i="14"/>
  <c r="AA142" i="14"/>
  <c r="Z142" i="14"/>
  <c r="Y142" i="14"/>
  <c r="X142" i="14"/>
  <c r="W142" i="14"/>
  <c r="V142" i="14"/>
  <c r="U142" i="14"/>
  <c r="T142" i="14"/>
  <c r="S142" i="14"/>
  <c r="R142" i="14"/>
  <c r="Q142" i="14"/>
  <c r="P142" i="14"/>
  <c r="O142" i="14"/>
  <c r="N142" i="14"/>
  <c r="M142" i="14"/>
  <c r="L142" i="14"/>
  <c r="K142" i="14"/>
  <c r="J142" i="14"/>
  <c r="I142" i="14"/>
  <c r="H142" i="14"/>
  <c r="F142" i="14"/>
  <c r="E142" i="14"/>
  <c r="BX140" i="14"/>
  <c r="BW140" i="14"/>
  <c r="BV140" i="14"/>
  <c r="BU140" i="14"/>
  <c r="BT140" i="14"/>
  <c r="BT145" i="14" s="1"/>
  <c r="BS140" i="14"/>
  <c r="BS145" i="14" s="1"/>
  <c r="BR140" i="14"/>
  <c r="BR145" i="14" s="1"/>
  <c r="BQ140" i="14"/>
  <c r="BQ145" i="14" s="1"/>
  <c r="BP140" i="14"/>
  <c r="BP145" i="14" s="1"/>
  <c r="BO140" i="14"/>
  <c r="BN140" i="14"/>
  <c r="BM140" i="14"/>
  <c r="BL140" i="14"/>
  <c r="BL145" i="14" s="1"/>
  <c r="BK140" i="14"/>
  <c r="BK145" i="14" s="1"/>
  <c r="BJ140" i="14"/>
  <c r="BJ145" i="14" s="1"/>
  <c r="BI140" i="14"/>
  <c r="BI145" i="14" s="1"/>
  <c r="BH140" i="14"/>
  <c r="BH145" i="14" s="1"/>
  <c r="BG140" i="14"/>
  <c r="BF140" i="14"/>
  <c r="BE140" i="14"/>
  <c r="BD140" i="14"/>
  <c r="BD145" i="14" s="1"/>
  <c r="BC140" i="14"/>
  <c r="BC145" i="14" s="1"/>
  <c r="BB140" i="14"/>
  <c r="BB145" i="14" s="1"/>
  <c r="BA140" i="14"/>
  <c r="BA145" i="14" s="1"/>
  <c r="AZ140" i="14"/>
  <c r="AZ145" i="14" s="1"/>
  <c r="AY140" i="14"/>
  <c r="AX140" i="14"/>
  <c r="AW140" i="14"/>
  <c r="AV140" i="14"/>
  <c r="AV145" i="14" s="1"/>
  <c r="AU140" i="14"/>
  <c r="AU145" i="14" s="1"/>
  <c r="AT140" i="14"/>
  <c r="AT145" i="14" s="1"/>
  <c r="AS140" i="14"/>
  <c r="AS145" i="14" s="1"/>
  <c r="AR140" i="14"/>
  <c r="AR145" i="14" s="1"/>
  <c r="AQ140" i="14"/>
  <c r="AP140" i="14"/>
  <c r="AO140" i="14"/>
  <c r="AN140" i="14"/>
  <c r="AN145" i="14" s="1"/>
  <c r="AM140" i="14"/>
  <c r="AM145" i="14" s="1"/>
  <c r="AL140" i="14"/>
  <c r="AL145" i="14" s="1"/>
  <c r="AK140" i="14"/>
  <c r="AK145" i="14" s="1"/>
  <c r="AK146" i="14" s="1"/>
  <c r="AF140" i="14"/>
  <c r="AF145" i="14" s="1"/>
  <c r="AE140" i="14"/>
  <c r="AD140" i="14"/>
  <c r="AC140" i="14"/>
  <c r="AB140" i="14"/>
  <c r="AB145" i="14" s="1"/>
  <c r="AA140" i="14"/>
  <c r="AA145" i="14" s="1"/>
  <c r="Z140" i="14"/>
  <c r="Z145" i="14" s="1"/>
  <c r="Y140" i="14"/>
  <c r="Y145" i="14" s="1"/>
  <c r="X140" i="14"/>
  <c r="X145" i="14" s="1"/>
  <c r="W140" i="14"/>
  <c r="V140" i="14"/>
  <c r="U140" i="14"/>
  <c r="T140" i="14"/>
  <c r="T145" i="14" s="1"/>
  <c r="S140" i="14"/>
  <c r="S145" i="14" s="1"/>
  <c r="R140" i="14"/>
  <c r="R145" i="14" s="1"/>
  <c r="Q140" i="14"/>
  <c r="Q145" i="14" s="1"/>
  <c r="P140" i="14"/>
  <c r="P145" i="14" s="1"/>
  <c r="O140" i="14"/>
  <c r="N140" i="14"/>
  <c r="M140" i="14"/>
  <c r="L140" i="14"/>
  <c r="L145" i="14" s="1"/>
  <c r="K140" i="14"/>
  <c r="K145" i="14" s="1"/>
  <c r="J140" i="14"/>
  <c r="J145" i="14" s="1"/>
  <c r="I140" i="14"/>
  <c r="I145" i="14" s="1"/>
  <c r="H140" i="14"/>
  <c r="H145" i="14" s="1"/>
  <c r="F140" i="14"/>
  <c r="E140" i="14"/>
  <c r="BX126" i="14"/>
  <c r="BW126" i="14"/>
  <c r="BV126" i="14"/>
  <c r="BU126" i="14"/>
  <c r="BT126" i="14"/>
  <c r="BS126" i="14"/>
  <c r="BR126" i="14"/>
  <c r="BQ126" i="14"/>
  <c r="BP126" i="14"/>
  <c r="BO126" i="14"/>
  <c r="BN126" i="14"/>
  <c r="BM126" i="14"/>
  <c r="BL126" i="14"/>
  <c r="BK126" i="14"/>
  <c r="BJ126" i="14"/>
  <c r="BI126" i="14"/>
  <c r="BH126" i="14"/>
  <c r="BG126" i="14"/>
  <c r="BF126" i="14"/>
  <c r="BE126" i="14"/>
  <c r="BD126" i="14"/>
  <c r="BC126" i="14"/>
  <c r="BB126" i="14"/>
  <c r="BA126" i="14"/>
  <c r="AZ126" i="14"/>
  <c r="AY126" i="14"/>
  <c r="AX126" i="14"/>
  <c r="AW126" i="14"/>
  <c r="AV126" i="14"/>
  <c r="AU126" i="14"/>
  <c r="AT126" i="14"/>
  <c r="AS126" i="14"/>
  <c r="AR126" i="14"/>
  <c r="AQ126" i="14"/>
  <c r="AP126" i="14"/>
  <c r="AO126" i="14"/>
  <c r="AN126" i="14"/>
  <c r="AM126" i="14"/>
  <c r="AL126" i="14"/>
  <c r="AK126" i="14"/>
  <c r="AJ126" i="14"/>
  <c r="AH126" i="14"/>
  <c r="AG126" i="14"/>
  <c r="AF126" i="14"/>
  <c r="AE126" i="14"/>
  <c r="AD126" i="14"/>
  <c r="AC126" i="14"/>
  <c r="AB126" i="14"/>
  <c r="AA126" i="14"/>
  <c r="Z126" i="14"/>
  <c r="Y126" i="14"/>
  <c r="X126" i="14"/>
  <c r="W126" i="14"/>
  <c r="U126" i="14"/>
  <c r="T126" i="14"/>
  <c r="S126" i="14"/>
  <c r="R126" i="14"/>
  <c r="Q126" i="14"/>
  <c r="P126" i="14"/>
  <c r="O126" i="14"/>
  <c r="N126" i="14"/>
  <c r="M126" i="14"/>
  <c r="L126" i="14"/>
  <c r="K126" i="14"/>
  <c r="J126" i="14"/>
  <c r="I126" i="14"/>
  <c r="H126" i="14"/>
  <c r="G126" i="14"/>
  <c r="F126" i="14"/>
  <c r="E126" i="14"/>
  <c r="V125" i="14"/>
  <c r="BX124" i="14"/>
  <c r="BW124" i="14"/>
  <c r="BV124" i="14"/>
  <c r="BU124" i="14"/>
  <c r="BT124" i="14"/>
  <c r="BT129" i="14" s="1"/>
  <c r="BS124" i="14"/>
  <c r="BR124" i="14"/>
  <c r="BR129" i="14" s="1"/>
  <c r="BQ124" i="14"/>
  <c r="BQ129" i="14" s="1"/>
  <c r="BP124" i="14"/>
  <c r="BP129" i="14" s="1"/>
  <c r="BO124" i="14"/>
  <c r="BN124" i="14"/>
  <c r="BM124" i="14"/>
  <c r="BL124" i="14"/>
  <c r="BL129" i="14" s="1"/>
  <c r="BK124" i="14"/>
  <c r="BJ124" i="14"/>
  <c r="BJ129" i="14" s="1"/>
  <c r="BI124" i="14"/>
  <c r="BI129" i="14" s="1"/>
  <c r="BH124" i="14"/>
  <c r="BH129" i="14" s="1"/>
  <c r="BG124" i="14"/>
  <c r="BF124" i="14"/>
  <c r="BE124" i="14"/>
  <c r="BD124" i="14"/>
  <c r="BD129" i="14" s="1"/>
  <c r="BC124" i="14"/>
  <c r="BB124" i="14"/>
  <c r="BB129" i="14" s="1"/>
  <c r="BA124" i="14"/>
  <c r="BA129" i="14" s="1"/>
  <c r="AZ124" i="14"/>
  <c r="AZ129" i="14" s="1"/>
  <c r="AY124" i="14"/>
  <c r="AX124" i="14"/>
  <c r="AW124" i="14"/>
  <c r="AV124" i="14"/>
  <c r="AV129" i="14" s="1"/>
  <c r="AU124" i="14"/>
  <c r="AT124" i="14"/>
  <c r="AT129" i="14" s="1"/>
  <c r="AS124" i="14"/>
  <c r="AS129" i="14" s="1"/>
  <c r="AR124" i="14"/>
  <c r="AR129" i="14" s="1"/>
  <c r="AQ124" i="14"/>
  <c r="AP124" i="14"/>
  <c r="AO124" i="14"/>
  <c r="AN124" i="14"/>
  <c r="AN129" i="14" s="1"/>
  <c r="AM124" i="14"/>
  <c r="AL124" i="14"/>
  <c r="AL129" i="14" s="1"/>
  <c r="AK124" i="14"/>
  <c r="AK129" i="14" s="1"/>
  <c r="AJ124" i="14"/>
  <c r="AJ129" i="14" s="1"/>
  <c r="AH124" i="14"/>
  <c r="AG124" i="14"/>
  <c r="AF124" i="14"/>
  <c r="AE124" i="14"/>
  <c r="AE129" i="14" s="1"/>
  <c r="AD124" i="14"/>
  <c r="AD129" i="14" s="1"/>
  <c r="AC129" i="14"/>
  <c r="AB124" i="14"/>
  <c r="AB129" i="14" s="1"/>
  <c r="AA124" i="14"/>
  <c r="AA129" i="14" s="1"/>
  <c r="Y124" i="14"/>
  <c r="X124" i="14"/>
  <c r="W129" i="14"/>
  <c r="V124" i="14"/>
  <c r="V129" i="14" s="1"/>
  <c r="U124" i="14"/>
  <c r="U129" i="14" s="1"/>
  <c r="T124" i="14"/>
  <c r="T129" i="14" s="1"/>
  <c r="S124" i="14"/>
  <c r="S129" i="14" s="1"/>
  <c r="R124" i="14"/>
  <c r="R129" i="14" s="1"/>
  <c r="Q124" i="14"/>
  <c r="Q129" i="14" s="1"/>
  <c r="P124" i="14"/>
  <c r="P129" i="14" s="1"/>
  <c r="O124" i="14"/>
  <c r="O129" i="14" s="1"/>
  <c r="N124" i="14"/>
  <c r="N129" i="14" s="1"/>
  <c r="M124" i="14"/>
  <c r="M129" i="14" s="1"/>
  <c r="L124" i="14"/>
  <c r="L129" i="14" s="1"/>
  <c r="K124" i="14"/>
  <c r="K129" i="14" s="1"/>
  <c r="J124" i="14"/>
  <c r="J129" i="14" s="1"/>
  <c r="I124" i="14"/>
  <c r="I129" i="14" s="1"/>
  <c r="H124" i="14"/>
  <c r="H129" i="14" s="1"/>
  <c r="G124" i="14"/>
  <c r="G129" i="14" s="1"/>
  <c r="F124" i="14"/>
  <c r="F129" i="14" s="1"/>
  <c r="E124" i="14"/>
  <c r="E129" i="14" s="1"/>
  <c r="E130" i="14" s="1"/>
  <c r="F130" i="14" s="1"/>
  <c r="BX111" i="14"/>
  <c r="BW111" i="14"/>
  <c r="BV111" i="14"/>
  <c r="BU111" i="14"/>
  <c r="BT111" i="14"/>
  <c r="BS111" i="14"/>
  <c r="BR111" i="14"/>
  <c r="BQ111" i="14"/>
  <c r="BP111" i="14"/>
  <c r="BO111" i="14"/>
  <c r="BN111" i="14"/>
  <c r="BM111" i="14"/>
  <c r="BL111" i="14"/>
  <c r="BK111" i="14"/>
  <c r="BJ111" i="14"/>
  <c r="BI111" i="14"/>
  <c r="BH111" i="14"/>
  <c r="BG111" i="14"/>
  <c r="BF111" i="14"/>
  <c r="BE111" i="14"/>
  <c r="BD111" i="14"/>
  <c r="BC111" i="14"/>
  <c r="BB111" i="14"/>
  <c r="BA111" i="14"/>
  <c r="AZ111" i="14"/>
  <c r="AY111" i="14"/>
  <c r="AX111" i="14"/>
  <c r="AW111" i="14"/>
  <c r="AV111" i="14"/>
  <c r="AU111" i="14"/>
  <c r="AT111" i="14"/>
  <c r="AS111" i="14"/>
  <c r="AR111" i="14"/>
  <c r="AQ111" i="14"/>
  <c r="AP111" i="14"/>
  <c r="AO111" i="14"/>
  <c r="AN111" i="14"/>
  <c r="AM111" i="14"/>
  <c r="AL111" i="14"/>
  <c r="AK111" i="14"/>
  <c r="AJ111" i="14"/>
  <c r="AI111" i="14"/>
  <c r="AH111" i="14"/>
  <c r="AG111" i="14"/>
  <c r="AF111" i="14"/>
  <c r="AE111" i="14"/>
  <c r="AD111" i="14"/>
  <c r="AC111" i="14"/>
  <c r="AB111" i="14"/>
  <c r="AA111" i="14"/>
  <c r="Z111" i="14"/>
  <c r="Y111" i="14"/>
  <c r="X111" i="14"/>
  <c r="W111" i="14"/>
  <c r="V111" i="14"/>
  <c r="U111" i="14"/>
  <c r="T111" i="14"/>
  <c r="S111" i="14"/>
  <c r="R111" i="14"/>
  <c r="Q111" i="14"/>
  <c r="P111" i="14"/>
  <c r="O111" i="14"/>
  <c r="N111" i="14"/>
  <c r="M111" i="14"/>
  <c r="L111" i="14"/>
  <c r="K111" i="14"/>
  <c r="J111" i="14"/>
  <c r="I111" i="14"/>
  <c r="H111" i="14"/>
  <c r="G111" i="14"/>
  <c r="F111" i="14"/>
  <c r="E111" i="14"/>
  <c r="BX109" i="14"/>
  <c r="BW109" i="14"/>
  <c r="BW115" i="14" s="1"/>
  <c r="BV109" i="14"/>
  <c r="BV115" i="14" s="1"/>
  <c r="BU109" i="14"/>
  <c r="BU115" i="14" s="1"/>
  <c r="BT109" i="14"/>
  <c r="BT115" i="14" s="1"/>
  <c r="BS109" i="14"/>
  <c r="BS115" i="14" s="1"/>
  <c r="BR109" i="14"/>
  <c r="BR115" i="14" s="1"/>
  <c r="BQ109" i="14"/>
  <c r="BQ115" i="14" s="1"/>
  <c r="BP109" i="14"/>
  <c r="BP115" i="14" s="1"/>
  <c r="BO109" i="14"/>
  <c r="BO115" i="14" s="1"/>
  <c r="BN109" i="14"/>
  <c r="BN115" i="14" s="1"/>
  <c r="BM109" i="14"/>
  <c r="BM115" i="14" s="1"/>
  <c r="BL109" i="14"/>
  <c r="BL115" i="14" s="1"/>
  <c r="BK109" i="14"/>
  <c r="BK115" i="14" s="1"/>
  <c r="BJ109" i="14"/>
  <c r="BJ115" i="14" s="1"/>
  <c r="BI109" i="14"/>
  <c r="BI115" i="14" s="1"/>
  <c r="BH109" i="14"/>
  <c r="BH115" i="14" s="1"/>
  <c r="BG109" i="14"/>
  <c r="BG115" i="14" s="1"/>
  <c r="BF109" i="14"/>
  <c r="BF115" i="14" s="1"/>
  <c r="BE109" i="14"/>
  <c r="BE115" i="14" s="1"/>
  <c r="BD109" i="14"/>
  <c r="BD115" i="14" s="1"/>
  <c r="BC109" i="14"/>
  <c r="BC115" i="14" s="1"/>
  <c r="BB109" i="14"/>
  <c r="BB115" i="14" s="1"/>
  <c r="BA109" i="14"/>
  <c r="BA115" i="14" s="1"/>
  <c r="AZ109" i="14"/>
  <c r="AZ115" i="14" s="1"/>
  <c r="AY109" i="14"/>
  <c r="AY115" i="14" s="1"/>
  <c r="AX109" i="14"/>
  <c r="AX115" i="14" s="1"/>
  <c r="AW109" i="14"/>
  <c r="AW115" i="14" s="1"/>
  <c r="AV109" i="14"/>
  <c r="AV115" i="14" s="1"/>
  <c r="AU109" i="14"/>
  <c r="AU115" i="14" s="1"/>
  <c r="AT109" i="14"/>
  <c r="AT115" i="14" s="1"/>
  <c r="AS109" i="14"/>
  <c r="AS115" i="14" s="1"/>
  <c r="AR109" i="14"/>
  <c r="AR115" i="14" s="1"/>
  <c r="AQ109" i="14"/>
  <c r="AQ115" i="14" s="1"/>
  <c r="AP109" i="14"/>
  <c r="AP115" i="14" s="1"/>
  <c r="AO109" i="14"/>
  <c r="AO115" i="14" s="1"/>
  <c r="AN109" i="14"/>
  <c r="AN115" i="14" s="1"/>
  <c r="AM109" i="14"/>
  <c r="AM115" i="14" s="1"/>
  <c r="AL109" i="14"/>
  <c r="AL115" i="14" s="1"/>
  <c r="AK109" i="14"/>
  <c r="AK115" i="14" s="1"/>
  <c r="AJ109" i="14"/>
  <c r="AJ115" i="14" s="1"/>
  <c r="AI109" i="14"/>
  <c r="AI115" i="14" s="1"/>
  <c r="AH109" i="14"/>
  <c r="AH115" i="14" s="1"/>
  <c r="AG109" i="14"/>
  <c r="AG115" i="14" s="1"/>
  <c r="AF109" i="14"/>
  <c r="AF115" i="14" s="1"/>
  <c r="AE109" i="14"/>
  <c r="AE115" i="14" s="1"/>
  <c r="AD109" i="14"/>
  <c r="AD115" i="14" s="1"/>
  <c r="AC109" i="14"/>
  <c r="AC115" i="14" s="1"/>
  <c r="AB109" i="14"/>
  <c r="AB115" i="14" s="1"/>
  <c r="AA109" i="14"/>
  <c r="AA115" i="14" s="1"/>
  <c r="Z109" i="14"/>
  <c r="Z115" i="14" s="1"/>
  <c r="Y109" i="14"/>
  <c r="Y115" i="14" s="1"/>
  <c r="X109" i="14"/>
  <c r="X115" i="14" s="1"/>
  <c r="W109" i="14"/>
  <c r="W115" i="14" s="1"/>
  <c r="V109" i="14"/>
  <c r="V115" i="14" s="1"/>
  <c r="U109" i="14"/>
  <c r="U115" i="14" s="1"/>
  <c r="T109" i="14"/>
  <c r="T115" i="14" s="1"/>
  <c r="S109" i="14"/>
  <c r="S115" i="14" s="1"/>
  <c r="R109" i="14"/>
  <c r="R115" i="14" s="1"/>
  <c r="Q109" i="14"/>
  <c r="Q115" i="14" s="1"/>
  <c r="P109" i="14"/>
  <c r="P115" i="14" s="1"/>
  <c r="O109" i="14"/>
  <c r="O115" i="14" s="1"/>
  <c r="N109" i="14"/>
  <c r="N115" i="14" s="1"/>
  <c r="M109" i="14"/>
  <c r="M115" i="14" s="1"/>
  <c r="L109" i="14"/>
  <c r="L115" i="14" s="1"/>
  <c r="K109" i="14"/>
  <c r="K115" i="14" s="1"/>
  <c r="J109" i="14"/>
  <c r="J115" i="14" s="1"/>
  <c r="I109" i="14"/>
  <c r="I115" i="14" s="1"/>
  <c r="H109" i="14"/>
  <c r="H115" i="14" s="1"/>
  <c r="G109" i="14"/>
  <c r="G115" i="14" s="1"/>
  <c r="F109" i="14"/>
  <c r="F115" i="14" s="1"/>
  <c r="E109" i="14"/>
  <c r="BY95" i="14"/>
  <c r="BY94" i="14"/>
  <c r="BY93" i="14"/>
  <c r="BY92" i="14"/>
  <c r="BY90" i="14"/>
  <c r="BX89" i="14"/>
  <c r="BW89" i="14"/>
  <c r="BV89" i="14"/>
  <c r="BU89" i="14"/>
  <c r="BT89" i="14"/>
  <c r="BS89" i="14"/>
  <c r="BR89" i="14"/>
  <c r="BQ89" i="14"/>
  <c r="BP89" i="14"/>
  <c r="BO89" i="14"/>
  <c r="BN89" i="14"/>
  <c r="BM89" i="14"/>
  <c r="BL89" i="14"/>
  <c r="BK89" i="14"/>
  <c r="BJ89" i="14"/>
  <c r="BI89" i="14"/>
  <c r="BH89" i="14"/>
  <c r="BG89" i="14"/>
  <c r="BF89" i="14"/>
  <c r="BE89" i="14"/>
  <c r="BD89" i="14"/>
  <c r="BC89" i="14"/>
  <c r="BB89" i="14"/>
  <c r="BA89" i="14"/>
  <c r="AZ89" i="14"/>
  <c r="AY89" i="14"/>
  <c r="AX89" i="14"/>
  <c r="AW89" i="14"/>
  <c r="AV89" i="14"/>
  <c r="AU89" i="14"/>
  <c r="AT89" i="14"/>
  <c r="AS89" i="14"/>
  <c r="AR89" i="14"/>
  <c r="AQ89" i="14"/>
  <c r="AP89" i="14"/>
  <c r="AO89" i="14"/>
  <c r="AN89" i="14"/>
  <c r="AM89" i="14"/>
  <c r="AL89" i="14"/>
  <c r="AK89" i="14"/>
  <c r="AJ89" i="14"/>
  <c r="AH89" i="14"/>
  <c r="AG89" i="14"/>
  <c r="AF89" i="14"/>
  <c r="AE89" i="14"/>
  <c r="AD89" i="14"/>
  <c r="AC89" i="14"/>
  <c r="AB89" i="14"/>
  <c r="AA89" i="14"/>
  <c r="Z89" i="14"/>
  <c r="Y89" i="14"/>
  <c r="X89" i="14"/>
  <c r="V89" i="14"/>
  <c r="U89" i="14"/>
  <c r="T89" i="14"/>
  <c r="S89" i="14"/>
  <c r="R89" i="14"/>
  <c r="Q89" i="14"/>
  <c r="P89" i="14"/>
  <c r="O89" i="14"/>
  <c r="N89" i="14"/>
  <c r="M89" i="14"/>
  <c r="L89" i="14"/>
  <c r="K89" i="14"/>
  <c r="J89" i="14"/>
  <c r="I89" i="14"/>
  <c r="H89" i="14"/>
  <c r="G89" i="14"/>
  <c r="F89" i="14"/>
  <c r="E89" i="14"/>
  <c r="BY88" i="14"/>
  <c r="BY87" i="14"/>
  <c r="BY86" i="14" s="1"/>
  <c r="BX86" i="14"/>
  <c r="BW86" i="14"/>
  <c r="BV86" i="14"/>
  <c r="BU86" i="14"/>
  <c r="BT86" i="14"/>
  <c r="BS86" i="14"/>
  <c r="BR86" i="14"/>
  <c r="BQ86" i="14"/>
  <c r="BP86" i="14"/>
  <c r="BO86" i="14"/>
  <c r="BN86" i="14"/>
  <c r="BM86" i="14"/>
  <c r="BL86" i="14"/>
  <c r="BK86" i="14"/>
  <c r="BJ86" i="14"/>
  <c r="BI86" i="14"/>
  <c r="BH86" i="14"/>
  <c r="BG86" i="14"/>
  <c r="BF86" i="14"/>
  <c r="BE86" i="14"/>
  <c r="BD86" i="14"/>
  <c r="BC86" i="14"/>
  <c r="BB86" i="14"/>
  <c r="BA86" i="14"/>
  <c r="AZ86" i="14"/>
  <c r="AY86" i="14"/>
  <c r="AX86" i="14"/>
  <c r="AW86" i="14"/>
  <c r="AV86" i="14"/>
  <c r="AU86" i="14"/>
  <c r="AT86" i="14"/>
  <c r="AS86" i="14"/>
  <c r="AR86" i="14"/>
  <c r="AQ86" i="14"/>
  <c r="AP86" i="14"/>
  <c r="AO86" i="14"/>
  <c r="AN86" i="14"/>
  <c r="AM86" i="14"/>
  <c r="AL86" i="14"/>
  <c r="AK86" i="14"/>
  <c r="AJ86" i="14"/>
  <c r="AI86" i="14"/>
  <c r="AH86" i="14"/>
  <c r="AG86" i="14"/>
  <c r="AF86" i="14"/>
  <c r="AE86" i="14"/>
  <c r="AD86" i="14"/>
  <c r="AC86" i="14"/>
  <c r="AB86" i="14"/>
  <c r="AA86" i="14"/>
  <c r="Z86" i="14"/>
  <c r="Y86" i="14"/>
  <c r="X86" i="14"/>
  <c r="W86" i="14"/>
  <c r="V86" i="14"/>
  <c r="U86" i="14"/>
  <c r="T86" i="14"/>
  <c r="S86" i="14"/>
  <c r="R86" i="14"/>
  <c r="Q86" i="14"/>
  <c r="P86" i="14"/>
  <c r="O86" i="14"/>
  <c r="N86" i="14"/>
  <c r="M86" i="14"/>
  <c r="L86" i="14"/>
  <c r="K86" i="14"/>
  <c r="J86" i="14"/>
  <c r="I86" i="14"/>
  <c r="H86" i="14"/>
  <c r="G86" i="14"/>
  <c r="F86" i="14"/>
  <c r="E86" i="14"/>
  <c r="BY85" i="14"/>
  <c r="BY84" i="14"/>
  <c r="BY83" i="14"/>
  <c r="BY82" i="14"/>
  <c r="BY81" i="14"/>
  <c r="BY80" i="14"/>
  <c r="BY78" i="14"/>
  <c r="BY77" i="14"/>
  <c r="BY76" i="14"/>
  <c r="BY75" i="14"/>
  <c r="BY74" i="14"/>
  <c r="BY73" i="14"/>
  <c r="BY72" i="14"/>
  <c r="BY71" i="14"/>
  <c r="BY70" i="14"/>
  <c r="BY69" i="14"/>
  <c r="BY68" i="14"/>
  <c r="BY67" i="14"/>
  <c r="BY66" i="14"/>
  <c r="BY65" i="14"/>
  <c r="BY64" i="14"/>
  <c r="BY63" i="14"/>
  <c r="BX62" i="14"/>
  <c r="BW62" i="14"/>
  <c r="BV62" i="14"/>
  <c r="BU62" i="14"/>
  <c r="BT62" i="14"/>
  <c r="BS62" i="14"/>
  <c r="BR62" i="14"/>
  <c r="BQ62" i="14"/>
  <c r="BP62" i="14"/>
  <c r="BO62" i="14"/>
  <c r="BN62" i="14"/>
  <c r="BM62" i="14"/>
  <c r="BL62" i="14"/>
  <c r="BK62" i="14"/>
  <c r="BJ62" i="14"/>
  <c r="BI62" i="14"/>
  <c r="BH62" i="14"/>
  <c r="BG62" i="14"/>
  <c r="BF62" i="14"/>
  <c r="BE62" i="14"/>
  <c r="BD62" i="14"/>
  <c r="BC62" i="14"/>
  <c r="BB62" i="14"/>
  <c r="BA62" i="14"/>
  <c r="AZ62" i="14"/>
  <c r="AY62" i="14"/>
  <c r="AX62" i="14"/>
  <c r="AW62" i="14"/>
  <c r="AV62" i="14"/>
  <c r="AU62" i="14"/>
  <c r="AT62" i="14"/>
  <c r="AS62" i="14"/>
  <c r="AR62" i="14"/>
  <c r="AQ62" i="14"/>
  <c r="AP62" i="14"/>
  <c r="AO62" i="14"/>
  <c r="AN62" i="14"/>
  <c r="AM62" i="14"/>
  <c r="AL62" i="14"/>
  <c r="AK62" i="14"/>
  <c r="AJ62" i="14"/>
  <c r="AH62" i="14"/>
  <c r="AG62" i="14"/>
  <c r="AF62" i="14"/>
  <c r="AE62" i="14"/>
  <c r="AD62" i="14"/>
  <c r="AC62" i="14"/>
  <c r="AB62" i="14"/>
  <c r="AA62" i="14"/>
  <c r="Z62" i="14"/>
  <c r="Y62" i="14"/>
  <c r="X62" i="14"/>
  <c r="W62" i="14"/>
  <c r="V62" i="14"/>
  <c r="U62" i="14"/>
  <c r="T62" i="14"/>
  <c r="S62" i="14"/>
  <c r="R62" i="14"/>
  <c r="Q62" i="14"/>
  <c r="P62" i="14"/>
  <c r="O62" i="14"/>
  <c r="N62" i="14"/>
  <c r="M62" i="14"/>
  <c r="L62" i="14"/>
  <c r="K62" i="14"/>
  <c r="J62" i="14"/>
  <c r="I62" i="14"/>
  <c r="H62" i="14"/>
  <c r="G62" i="14"/>
  <c r="F62" i="14"/>
  <c r="E62" i="14"/>
  <c r="AI61" i="14"/>
  <c r="AH61" i="14"/>
  <c r="AH10" i="14" s="1"/>
  <c r="AE61" i="14"/>
  <c r="AE10" i="14" s="1"/>
  <c r="AD61" i="14"/>
  <c r="AD54" i="14" s="1"/>
  <c r="AC61" i="14"/>
  <c r="AC54" i="14" s="1"/>
  <c r="AA61" i="14"/>
  <c r="Z61" i="14"/>
  <c r="Y61" i="14"/>
  <c r="X61" i="14"/>
  <c r="BY60" i="14"/>
  <c r="D60" i="14"/>
  <c r="BY59" i="14"/>
  <c r="BY58" i="14"/>
  <c r="BY57" i="14"/>
  <c r="AI56" i="14"/>
  <c r="AI54" i="14" s="1"/>
  <c r="BY55" i="14"/>
  <c r="BX54" i="14"/>
  <c r="BW54" i="14"/>
  <c r="BV54" i="14"/>
  <c r="BU54" i="14"/>
  <c r="BT54" i="14"/>
  <c r="BS54" i="14"/>
  <c r="BR54" i="14"/>
  <c r="BQ54" i="14"/>
  <c r="BP54" i="14"/>
  <c r="BO54" i="14"/>
  <c r="BN54" i="14"/>
  <c r="BM54" i="14"/>
  <c r="BL54" i="14"/>
  <c r="BK54" i="14"/>
  <c r="BJ54" i="14"/>
  <c r="BI54" i="14"/>
  <c r="BH54" i="14"/>
  <c r="BG54" i="14"/>
  <c r="BF54" i="14"/>
  <c r="BE54" i="14"/>
  <c r="BD54" i="14"/>
  <c r="BC54" i="14"/>
  <c r="BB54" i="14"/>
  <c r="BA54" i="14"/>
  <c r="AZ54" i="14"/>
  <c r="AY54" i="14"/>
  <c r="AX54" i="14"/>
  <c r="AW54" i="14"/>
  <c r="AV54" i="14"/>
  <c r="AU54" i="14"/>
  <c r="AT54" i="14"/>
  <c r="AS54" i="14"/>
  <c r="AR54" i="14"/>
  <c r="AQ54" i="14"/>
  <c r="AP54" i="14"/>
  <c r="AO54" i="14"/>
  <c r="AN54" i="14"/>
  <c r="AM54" i="14"/>
  <c r="AL54" i="14"/>
  <c r="AK54" i="14"/>
  <c r="AJ54" i="14"/>
  <c r="AH54" i="14"/>
  <c r="AG54" i="14"/>
  <c r="AF54" i="14"/>
  <c r="AA54" i="14"/>
  <c r="Z54" i="14"/>
  <c r="Y54" i="14"/>
  <c r="W54" i="14"/>
  <c r="V54" i="14"/>
  <c r="U54" i="14"/>
  <c r="T54" i="14"/>
  <c r="S54" i="14"/>
  <c r="R54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BY53" i="14"/>
  <c r="AI52" i="14"/>
  <c r="AI48" i="14" s="1"/>
  <c r="AH52" i="14"/>
  <c r="AG52" i="14"/>
  <c r="AF52" i="14"/>
  <c r="AE52" i="14"/>
  <c r="AE48" i="14" s="1"/>
  <c r="AD52" i="14"/>
  <c r="AD48" i="14" s="1"/>
  <c r="W52" i="14"/>
  <c r="BY51" i="14"/>
  <c r="BY50" i="14"/>
  <c r="BX48" i="14"/>
  <c r="BW48" i="14"/>
  <c r="BV48" i="14"/>
  <c r="BU48" i="14"/>
  <c r="BT48" i="14"/>
  <c r="BS48" i="14"/>
  <c r="BR48" i="14"/>
  <c r="BQ48" i="14"/>
  <c r="BP48" i="14"/>
  <c r="BO48" i="14"/>
  <c r="BN48" i="14"/>
  <c r="BM48" i="14"/>
  <c r="BL48" i="14"/>
  <c r="BK48" i="14"/>
  <c r="BJ48" i="14"/>
  <c r="BI48" i="14"/>
  <c r="BH48" i="14"/>
  <c r="BG48" i="14"/>
  <c r="BF48" i="14"/>
  <c r="BE48" i="14"/>
  <c r="BD48" i="14"/>
  <c r="BC48" i="14"/>
  <c r="BB48" i="14"/>
  <c r="BA48" i="14"/>
  <c r="AZ48" i="14"/>
  <c r="AY48" i="14"/>
  <c r="AX48" i="14"/>
  <c r="AW48" i="14"/>
  <c r="AV48" i="14"/>
  <c r="AU48" i="14"/>
  <c r="AT48" i="14"/>
  <c r="AS48" i="14"/>
  <c r="AR48" i="14"/>
  <c r="AQ48" i="14"/>
  <c r="AP48" i="14"/>
  <c r="AO48" i="14"/>
  <c r="AN48" i="14"/>
  <c r="AM48" i="14"/>
  <c r="AL48" i="14"/>
  <c r="AK48" i="14"/>
  <c r="AJ48" i="14"/>
  <c r="AH48" i="14"/>
  <c r="AG48" i="14"/>
  <c r="AF48" i="14"/>
  <c r="AC48" i="14"/>
  <c r="Y48" i="14"/>
  <c r="X48" i="14"/>
  <c r="V48" i="14"/>
  <c r="U48" i="14"/>
  <c r="T48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W46" i="14"/>
  <c r="BY46" i="14" s="1"/>
  <c r="BY42" i="14"/>
  <c r="C42" i="14"/>
  <c r="AH41" i="14"/>
  <c r="AG41" i="14"/>
  <c r="AF41" i="14"/>
  <c r="AE41" i="14"/>
  <c r="AD41" i="14"/>
  <c r="AC41" i="14"/>
  <c r="AA41" i="14"/>
  <c r="Z41" i="14"/>
  <c r="Y41" i="14"/>
  <c r="AH40" i="14"/>
  <c r="AG40" i="14"/>
  <c r="AF40" i="14"/>
  <c r="AE40" i="14"/>
  <c r="AD40" i="14"/>
  <c r="W40" i="14"/>
  <c r="BX39" i="14"/>
  <c r="BW39" i="14"/>
  <c r="BV39" i="14"/>
  <c r="BU39" i="14"/>
  <c r="BT39" i="14"/>
  <c r="BS39" i="14"/>
  <c r="BR39" i="14"/>
  <c r="BQ39" i="14"/>
  <c r="BP39" i="14"/>
  <c r="BO39" i="14"/>
  <c r="BN39" i="14"/>
  <c r="BM39" i="14"/>
  <c r="BL39" i="14"/>
  <c r="BK39" i="14"/>
  <c r="BJ39" i="14"/>
  <c r="BI39" i="14"/>
  <c r="BH39" i="14"/>
  <c r="BG39" i="14"/>
  <c r="BF39" i="14"/>
  <c r="BE39" i="14"/>
  <c r="BD39" i="14"/>
  <c r="BC39" i="14"/>
  <c r="BB39" i="14"/>
  <c r="BA39" i="14"/>
  <c r="AZ39" i="14"/>
  <c r="AY39" i="14"/>
  <c r="AX39" i="14"/>
  <c r="AW39" i="14"/>
  <c r="AV39" i="14"/>
  <c r="AU39" i="14"/>
  <c r="AT39" i="14"/>
  <c r="AS39" i="14"/>
  <c r="AR39" i="14"/>
  <c r="AQ39" i="14"/>
  <c r="AP39" i="14"/>
  <c r="AO39" i="14"/>
  <c r="AN39" i="14"/>
  <c r="AM39" i="14"/>
  <c r="AL39" i="14"/>
  <c r="AK39" i="14"/>
  <c r="AJ39" i="14"/>
  <c r="V39" i="14"/>
  <c r="U39" i="14"/>
  <c r="T39" i="14"/>
  <c r="T15" i="14" s="1"/>
  <c r="T17" i="14" s="1"/>
  <c r="S39" i="14"/>
  <c r="S15" i="14" s="1"/>
  <c r="R39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BY37" i="14"/>
  <c r="BX36" i="14"/>
  <c r="BW36" i="14"/>
  <c r="BV36" i="14"/>
  <c r="BU36" i="14"/>
  <c r="BT36" i="14"/>
  <c r="BS36" i="14"/>
  <c r="BR36" i="14"/>
  <c r="BQ36" i="14"/>
  <c r="BP36" i="14"/>
  <c r="BO36" i="14"/>
  <c r="BN36" i="14"/>
  <c r="BM36" i="14"/>
  <c r="BL36" i="14"/>
  <c r="BK36" i="14"/>
  <c r="BJ36" i="14"/>
  <c r="BI36" i="14"/>
  <c r="BH36" i="14"/>
  <c r="BG36" i="14"/>
  <c r="BF36" i="14"/>
  <c r="BE36" i="14"/>
  <c r="BD36" i="14"/>
  <c r="BC36" i="14"/>
  <c r="BB36" i="14"/>
  <c r="BA36" i="14"/>
  <c r="AZ36" i="14"/>
  <c r="AY36" i="14"/>
  <c r="AX36" i="14"/>
  <c r="AW36" i="14"/>
  <c r="AV36" i="14"/>
  <c r="AU36" i="14"/>
  <c r="AT36" i="14"/>
  <c r="AS36" i="14"/>
  <c r="AR36" i="14"/>
  <c r="AQ36" i="14"/>
  <c r="AP36" i="14"/>
  <c r="AO36" i="14"/>
  <c r="AN36" i="14"/>
  <c r="AM36" i="14"/>
  <c r="AL36" i="14"/>
  <c r="AK36" i="14"/>
  <c r="AJ36" i="14"/>
  <c r="AI36" i="14"/>
  <c r="AH36" i="14"/>
  <c r="AF36" i="14"/>
  <c r="AE36" i="14"/>
  <c r="AD36" i="14"/>
  <c r="AC36" i="14"/>
  <c r="AB36" i="14"/>
  <c r="AA36" i="14"/>
  <c r="Z36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BY34" i="14"/>
  <c r="BY32" i="14"/>
  <c r="BY31" i="14"/>
  <c r="BX28" i="14"/>
  <c r="BW28" i="14"/>
  <c r="BV28" i="14"/>
  <c r="BU28" i="14"/>
  <c r="BT28" i="14"/>
  <c r="BS28" i="14"/>
  <c r="BR28" i="14"/>
  <c r="BQ28" i="14"/>
  <c r="BP28" i="14"/>
  <c r="BO28" i="14"/>
  <c r="BN28" i="14"/>
  <c r="BM28" i="14"/>
  <c r="BL28" i="14"/>
  <c r="BK28" i="14"/>
  <c r="BJ28" i="14"/>
  <c r="BI28" i="14"/>
  <c r="BH28" i="14"/>
  <c r="BG28" i="14"/>
  <c r="BF28" i="14"/>
  <c r="BE28" i="14"/>
  <c r="BD28" i="14"/>
  <c r="BC28" i="14"/>
  <c r="BB28" i="14"/>
  <c r="BA28" i="14"/>
  <c r="AZ28" i="14"/>
  <c r="AY28" i="14"/>
  <c r="AX28" i="14"/>
  <c r="AW28" i="14"/>
  <c r="AV28" i="14"/>
  <c r="AU28" i="14"/>
  <c r="AT28" i="14"/>
  <c r="AS28" i="14"/>
  <c r="AR28" i="14"/>
  <c r="AQ28" i="14"/>
  <c r="AP28" i="14"/>
  <c r="AO28" i="14"/>
  <c r="AN28" i="14"/>
  <c r="AM28" i="14"/>
  <c r="AL28" i="14"/>
  <c r="AK28" i="14"/>
  <c r="AJ28" i="14"/>
  <c r="AI28" i="14"/>
  <c r="X28" i="14"/>
  <c r="W28" i="14"/>
  <c r="V28" i="14"/>
  <c r="U28" i="14"/>
  <c r="T28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BY27" i="14"/>
  <c r="BY26" i="14"/>
  <c r="BY25" i="14" s="1"/>
  <c r="BX25" i="14"/>
  <c r="BW25" i="14"/>
  <c r="BV25" i="14"/>
  <c r="BU25" i="14"/>
  <c r="BT25" i="14"/>
  <c r="BS25" i="14"/>
  <c r="BR25" i="14"/>
  <c r="BQ25" i="14"/>
  <c r="BP25" i="14"/>
  <c r="BO25" i="14"/>
  <c r="BN25" i="14"/>
  <c r="BM25" i="14"/>
  <c r="BL25" i="14"/>
  <c r="BK25" i="14"/>
  <c r="BJ25" i="14"/>
  <c r="BI25" i="14"/>
  <c r="BH25" i="14"/>
  <c r="BG25" i="14"/>
  <c r="BF25" i="14"/>
  <c r="BE25" i="14"/>
  <c r="BD25" i="14"/>
  <c r="BC25" i="14"/>
  <c r="BB25" i="14"/>
  <c r="BA25" i="14"/>
  <c r="AZ25" i="14"/>
  <c r="AY25" i="14"/>
  <c r="AX25" i="14"/>
  <c r="AW25" i="14"/>
  <c r="AV25" i="14"/>
  <c r="AU25" i="14"/>
  <c r="AT25" i="14"/>
  <c r="AS25" i="14"/>
  <c r="AR25" i="14"/>
  <c r="AQ25" i="14"/>
  <c r="AP25" i="14"/>
  <c r="AO25" i="14"/>
  <c r="AN25" i="14"/>
  <c r="AM25" i="14"/>
  <c r="AL25" i="14"/>
  <c r="AK25" i="14"/>
  <c r="AJ25" i="14"/>
  <c r="AI25" i="14"/>
  <c r="AH25" i="14"/>
  <c r="AG25" i="14"/>
  <c r="AF25" i="14"/>
  <c r="AE25" i="14"/>
  <c r="AD25" i="14"/>
  <c r="AC25" i="14"/>
  <c r="AB25" i="14"/>
  <c r="AA25" i="14"/>
  <c r="Z25" i="14"/>
  <c r="Y25" i="14"/>
  <c r="X25" i="14"/>
  <c r="W25" i="14"/>
  <c r="V25" i="14"/>
  <c r="U25" i="14"/>
  <c r="T25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BY24" i="14"/>
  <c r="W23" i="14"/>
  <c r="BY23" i="14" s="1"/>
  <c r="W22" i="14"/>
  <c r="BY22" i="14" s="1"/>
  <c r="V20" i="14"/>
  <c r="BY20" i="14" s="1"/>
  <c r="U19" i="14"/>
  <c r="V19" i="14" s="1"/>
  <c r="BX18" i="14"/>
  <c r="BW18" i="14"/>
  <c r="BV18" i="14"/>
  <c r="BU18" i="14"/>
  <c r="BT18" i="14"/>
  <c r="BT97" i="14" s="1"/>
  <c r="BS18" i="14"/>
  <c r="BR18" i="14"/>
  <c r="BQ18" i="14"/>
  <c r="BP18" i="14"/>
  <c r="BO18" i="14"/>
  <c r="BN18" i="14"/>
  <c r="BM18" i="14"/>
  <c r="BL18" i="14"/>
  <c r="BL97" i="14" s="1"/>
  <c r="BK18" i="14"/>
  <c r="BJ18" i="14"/>
  <c r="BI18" i="14"/>
  <c r="BH18" i="14"/>
  <c r="BG18" i="14"/>
  <c r="BF18" i="14"/>
  <c r="BE18" i="14"/>
  <c r="BD18" i="14"/>
  <c r="BD97" i="14" s="1"/>
  <c r="BC18" i="14"/>
  <c r="BB18" i="14"/>
  <c r="BA18" i="14"/>
  <c r="AZ18" i="14"/>
  <c r="AY18" i="14"/>
  <c r="AX18" i="14"/>
  <c r="AW18" i="14"/>
  <c r="AV18" i="14"/>
  <c r="AV97" i="14" s="1"/>
  <c r="AU18" i="14"/>
  <c r="AT18" i="14"/>
  <c r="AS18" i="14"/>
  <c r="AR18" i="14"/>
  <c r="AQ18" i="14"/>
  <c r="AP18" i="14"/>
  <c r="AO18" i="14"/>
  <c r="AN18" i="14"/>
  <c r="AN97" i="14" s="1"/>
  <c r="AM18" i="14"/>
  <c r="AL18" i="14"/>
  <c r="AK18" i="14"/>
  <c r="AJ18" i="14"/>
  <c r="AI18" i="14"/>
  <c r="AH18" i="14"/>
  <c r="AG18" i="14"/>
  <c r="AF18" i="14"/>
  <c r="AE18" i="14"/>
  <c r="AD18" i="14"/>
  <c r="AC18" i="14"/>
  <c r="AB18" i="14"/>
  <c r="AA18" i="14"/>
  <c r="Y18" i="14"/>
  <c r="X18" i="14"/>
  <c r="U18" i="14"/>
  <c r="T18" i="14"/>
  <c r="S18" i="14"/>
  <c r="R18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BX17" i="14"/>
  <c r="BW17" i="14"/>
  <c r="BV17" i="14"/>
  <c r="BU17" i="14"/>
  <c r="BT17" i="14"/>
  <c r="BS17" i="14"/>
  <c r="BR17" i="14"/>
  <c r="BQ17" i="14"/>
  <c r="BP17" i="14"/>
  <c r="BO17" i="14"/>
  <c r="BN17" i="14"/>
  <c r="BM17" i="14"/>
  <c r="BL17" i="14"/>
  <c r="BK17" i="14"/>
  <c r="BJ17" i="14"/>
  <c r="BI17" i="14"/>
  <c r="BH17" i="14"/>
  <c r="BG17" i="14"/>
  <c r="BF17" i="14"/>
  <c r="BE17" i="14"/>
  <c r="BD17" i="14"/>
  <c r="BC17" i="14"/>
  <c r="BB17" i="14"/>
  <c r="BA17" i="14"/>
  <c r="AZ17" i="14"/>
  <c r="AY17" i="14"/>
  <c r="AX17" i="14"/>
  <c r="AW17" i="14"/>
  <c r="AV17" i="14"/>
  <c r="AU17" i="14"/>
  <c r="AT17" i="14"/>
  <c r="AS17" i="14"/>
  <c r="AR17" i="14"/>
  <c r="AQ17" i="14"/>
  <c r="AP17" i="14"/>
  <c r="AO17" i="14"/>
  <c r="AN17" i="14"/>
  <c r="AM17" i="14"/>
  <c r="AL17" i="14"/>
  <c r="AK17" i="14"/>
  <c r="AJ17" i="14"/>
  <c r="R17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U15" i="14"/>
  <c r="V14" i="14" s="1"/>
  <c r="BY11" i="14"/>
  <c r="AG10" i="14"/>
  <c r="AF10" i="14"/>
  <c r="AD10" i="14"/>
  <c r="AA10" i="14"/>
  <c r="Z10" i="14"/>
  <c r="Y10" i="14"/>
  <c r="W10" i="14"/>
  <c r="V10" i="14"/>
  <c r="U10" i="14"/>
  <c r="BY9" i="14"/>
  <c r="BY8" i="14"/>
  <c r="BY7" i="14"/>
  <c r="BY5" i="14"/>
  <c r="BX3" i="14"/>
  <c r="BW3" i="14"/>
  <c r="BV3" i="14"/>
  <c r="BU3" i="14"/>
  <c r="BT3" i="14"/>
  <c r="BS3" i="14"/>
  <c r="BR3" i="14"/>
  <c r="BQ3" i="14"/>
  <c r="BP3" i="14"/>
  <c r="BO3" i="14"/>
  <c r="BN3" i="14"/>
  <c r="BM3" i="14"/>
  <c r="BL3" i="14"/>
  <c r="BK3" i="14"/>
  <c r="BJ3" i="14"/>
  <c r="BI3" i="14"/>
  <c r="BH3" i="14"/>
  <c r="BG3" i="14"/>
  <c r="BF3" i="14"/>
  <c r="BE3" i="14"/>
  <c r="BD3" i="14"/>
  <c r="BC3" i="14"/>
  <c r="BB3" i="14"/>
  <c r="BA3" i="14"/>
  <c r="AZ3" i="14"/>
  <c r="AY3" i="14"/>
  <c r="AX3" i="14"/>
  <c r="AW3" i="14"/>
  <c r="AV3" i="14"/>
  <c r="AU3" i="14"/>
  <c r="AT3" i="14"/>
  <c r="AS3" i="14"/>
  <c r="AR3" i="14"/>
  <c r="AQ3" i="14"/>
  <c r="AP3" i="14"/>
  <c r="AO3" i="14"/>
  <c r="AN3" i="14"/>
  <c r="AM3" i="14"/>
  <c r="AL3" i="14"/>
  <c r="AK3" i="14"/>
  <c r="AJ3" i="14"/>
  <c r="AI3" i="14"/>
  <c r="AH3" i="14"/>
  <c r="AG3" i="14"/>
  <c r="AF3" i="14"/>
  <c r="AE3" i="14"/>
  <c r="AD3" i="14"/>
  <c r="AB3" i="14"/>
  <c r="AA3" i="14"/>
  <c r="Z3" i="14"/>
  <c r="Y3" i="14"/>
  <c r="X3" i="14"/>
  <c r="W3" i="14"/>
  <c r="V3" i="14"/>
  <c r="U3" i="14"/>
  <c r="T3" i="14"/>
  <c r="S3" i="14"/>
  <c r="R3" i="14"/>
  <c r="Q3" i="14"/>
  <c r="P3" i="14"/>
  <c r="O3" i="14"/>
  <c r="N3" i="14"/>
  <c r="M3" i="14"/>
  <c r="L3" i="14"/>
  <c r="K3" i="14"/>
  <c r="J3" i="14"/>
  <c r="I3" i="14"/>
  <c r="H3" i="14"/>
  <c r="G3" i="14"/>
  <c r="F3" i="14"/>
  <c r="E3" i="14"/>
  <c r="AH41" i="7"/>
  <c r="AG41" i="7"/>
  <c r="AF41" i="7"/>
  <c r="AE41" i="7"/>
  <c r="AD41" i="7"/>
  <c r="AC41" i="7"/>
  <c r="AB41" i="7"/>
  <c r="AA41" i="7"/>
  <c r="Z41" i="7"/>
  <c r="Y41" i="7"/>
  <c r="Y42" i="7"/>
  <c r="W46" i="7"/>
  <c r="W21" i="7"/>
  <c r="W23" i="7"/>
  <c r="W22" i="7"/>
  <c r="Y26" i="7"/>
  <c r="Z26" i="7"/>
  <c r="AA26" i="7"/>
  <c r="AB26" i="7"/>
  <c r="E23" i="1"/>
  <c r="Z61" i="7"/>
  <c r="K10" i="1"/>
  <c r="M4" i="1"/>
  <c r="G5" i="11"/>
  <c r="F37" i="6"/>
  <c r="C42" i="7"/>
  <c r="H1" i="3"/>
  <c r="V127" i="7"/>
  <c r="AI127" i="7" s="1"/>
  <c r="AC10" i="14" l="1"/>
  <c r="X15" i="14"/>
  <c r="BY40" i="14"/>
  <c r="F145" i="14"/>
  <c r="O145" i="14"/>
  <c r="W145" i="14"/>
  <c r="AE145" i="14"/>
  <c r="AQ145" i="14"/>
  <c r="AY145" i="14"/>
  <c r="BG145" i="14"/>
  <c r="BO145" i="14"/>
  <c r="BW145" i="14"/>
  <c r="H162" i="14"/>
  <c r="P162" i="14"/>
  <c r="X162" i="14"/>
  <c r="AF162" i="14"/>
  <c r="AR162" i="14"/>
  <c r="AZ162" i="14"/>
  <c r="BH162" i="14"/>
  <c r="BP162" i="14"/>
  <c r="BY52" i="14"/>
  <c r="AE54" i="14"/>
  <c r="G130" i="14"/>
  <c r="H130" i="14" s="1"/>
  <c r="I130" i="14" s="1"/>
  <c r="J130" i="14" s="1"/>
  <c r="K130" i="14" s="1"/>
  <c r="L130" i="14" s="1"/>
  <c r="M130" i="14" s="1"/>
  <c r="N130" i="14" s="1"/>
  <c r="O130" i="14" s="1"/>
  <c r="P130" i="14" s="1"/>
  <c r="Q130" i="14" s="1"/>
  <c r="R130" i="14" s="1"/>
  <c r="S130" i="14" s="1"/>
  <c r="T130" i="14" s="1"/>
  <c r="U130" i="14" s="1"/>
  <c r="V130" i="14" s="1"/>
  <c r="W130" i="14" s="1"/>
  <c r="AM163" i="14"/>
  <c r="AN163" i="14" s="1"/>
  <c r="AO163" i="14" s="1"/>
  <c r="AM129" i="14"/>
  <c r="AU129" i="14"/>
  <c r="BC129" i="14"/>
  <c r="BK129" i="14"/>
  <c r="BS129" i="14"/>
  <c r="AL146" i="14"/>
  <c r="AM146" i="14" s="1"/>
  <c r="AN146" i="14" s="1"/>
  <c r="BY36" i="14"/>
  <c r="G97" i="14"/>
  <c r="O97" i="14"/>
  <c r="O98" i="14" s="1"/>
  <c r="BU97" i="14"/>
  <c r="BU98" i="14" s="1"/>
  <c r="X129" i="14"/>
  <c r="AF129" i="14"/>
  <c r="AO129" i="14"/>
  <c r="AW129" i="14"/>
  <c r="BE129" i="14"/>
  <c r="BM129" i="14"/>
  <c r="BU129" i="14"/>
  <c r="H97" i="14"/>
  <c r="P97" i="14"/>
  <c r="Z18" i="14"/>
  <c r="W39" i="14"/>
  <c r="BY61" i="14"/>
  <c r="Y129" i="14"/>
  <c r="AG129" i="14"/>
  <c r="AP129" i="14"/>
  <c r="AX129" i="14"/>
  <c r="BF129" i="14"/>
  <c r="BN129" i="14"/>
  <c r="BV129" i="14"/>
  <c r="AH29" i="14"/>
  <c r="BY29" i="14" s="1"/>
  <c r="BY6" i="14"/>
  <c r="AI91" i="14" s="1"/>
  <c r="BY41" i="14"/>
  <c r="AH129" i="14"/>
  <c r="AQ129" i="14"/>
  <c r="AY129" i="14"/>
  <c r="BG129" i="14"/>
  <c r="BO129" i="14"/>
  <c r="BW129" i="14"/>
  <c r="M145" i="14"/>
  <c r="U145" i="14"/>
  <c r="D147" i="14" s="1"/>
  <c r="AC145" i="14"/>
  <c r="AO145" i="14"/>
  <c r="AW145" i="14"/>
  <c r="BE145" i="14"/>
  <c r="BM145" i="14"/>
  <c r="BU145" i="14"/>
  <c r="E162" i="14"/>
  <c r="N162" i="14"/>
  <c r="V162" i="14"/>
  <c r="AD162" i="14"/>
  <c r="AP162" i="14"/>
  <c r="AX162" i="14"/>
  <c r="BF162" i="14"/>
  <c r="BN162" i="14"/>
  <c r="BV162" i="14"/>
  <c r="E145" i="14"/>
  <c r="E146" i="14" s="1"/>
  <c r="N145" i="14"/>
  <c r="V145" i="14"/>
  <c r="AD145" i="14"/>
  <c r="AP145" i="14"/>
  <c r="AX145" i="14"/>
  <c r="BF145" i="14"/>
  <c r="BN145" i="14"/>
  <c r="BV145" i="14"/>
  <c r="F162" i="14"/>
  <c r="O162" i="14"/>
  <c r="W162" i="14"/>
  <c r="AE162" i="14"/>
  <c r="AQ162" i="14"/>
  <c r="AY162" i="14"/>
  <c r="BG162" i="14"/>
  <c r="BO162" i="14"/>
  <c r="BW162" i="14"/>
  <c r="G98" i="14"/>
  <c r="AV98" i="14"/>
  <c r="BL98" i="14"/>
  <c r="BT98" i="14"/>
  <c r="AW97" i="14"/>
  <c r="BM97" i="14"/>
  <c r="E97" i="14"/>
  <c r="M97" i="14"/>
  <c r="U97" i="14"/>
  <c r="AL97" i="14"/>
  <c r="AL98" i="14" s="1"/>
  <c r="AT97" i="14"/>
  <c r="BB97" i="14"/>
  <c r="BJ97" i="14"/>
  <c r="BR97" i="14"/>
  <c r="BR98" i="14" s="1"/>
  <c r="AG36" i="14"/>
  <c r="E98" i="14"/>
  <c r="E99" i="14" s="1"/>
  <c r="M98" i="14"/>
  <c r="AT98" i="14"/>
  <c r="BB98" i="14"/>
  <c r="BJ98" i="14"/>
  <c r="F97" i="14"/>
  <c r="N97" i="14"/>
  <c r="N98" i="14" s="1"/>
  <c r="W18" i="14"/>
  <c r="AM97" i="14"/>
  <c r="AM98" i="14" s="1"/>
  <c r="AU97" i="14"/>
  <c r="AU98" i="14" s="1"/>
  <c r="BC97" i="14"/>
  <c r="BC98" i="14" s="1"/>
  <c r="BK97" i="14"/>
  <c r="BK98" i="14" s="1"/>
  <c r="BS97" i="14"/>
  <c r="AN98" i="14"/>
  <c r="BD98" i="14"/>
  <c r="AO97" i="14"/>
  <c r="AO98" i="14" s="1"/>
  <c r="BE97" i="14"/>
  <c r="BE98" i="14" s="1"/>
  <c r="H98" i="14"/>
  <c r="BM98" i="14"/>
  <c r="I97" i="14"/>
  <c r="I98" i="14" s="1"/>
  <c r="AX97" i="14"/>
  <c r="AX98" i="14" s="1"/>
  <c r="BF97" i="14"/>
  <c r="BF98" i="14" s="1"/>
  <c r="BV97" i="14"/>
  <c r="BV98" i="14" s="1"/>
  <c r="J97" i="14"/>
  <c r="J98" i="14" s="1"/>
  <c r="R97" i="14"/>
  <c r="R98" i="14" s="1"/>
  <c r="AQ97" i="14"/>
  <c r="AY97" i="14"/>
  <c r="BG97" i="14"/>
  <c r="BO97" i="14"/>
  <c r="BO98" i="14" s="1"/>
  <c r="BW97" i="14"/>
  <c r="BW98" i="14" s="1"/>
  <c r="F98" i="14"/>
  <c r="F99" i="14" s="1"/>
  <c r="G99" i="14" s="1"/>
  <c r="H99" i="14" s="1"/>
  <c r="BS98" i="14"/>
  <c r="P98" i="14"/>
  <c r="AW98" i="14"/>
  <c r="Q97" i="14"/>
  <c r="Q98" i="14" s="1"/>
  <c r="AP97" i="14"/>
  <c r="AP98" i="14" s="1"/>
  <c r="BN97" i="14"/>
  <c r="BN98" i="14" s="1"/>
  <c r="AQ98" i="14"/>
  <c r="AY98" i="14"/>
  <c r="BG98" i="14"/>
  <c r="K97" i="14"/>
  <c r="K98" i="14" s="1"/>
  <c r="S97" i="14"/>
  <c r="AJ97" i="14"/>
  <c r="AJ98" i="14" s="1"/>
  <c r="AR97" i="14"/>
  <c r="AR98" i="14" s="1"/>
  <c r="AZ97" i="14"/>
  <c r="AZ98" i="14" s="1"/>
  <c r="BH97" i="14"/>
  <c r="BP97" i="14"/>
  <c r="BX97" i="14"/>
  <c r="BX98" i="14" s="1"/>
  <c r="W48" i="14"/>
  <c r="X10" i="14"/>
  <c r="BH98" i="14"/>
  <c r="BP98" i="14"/>
  <c r="L97" i="14"/>
  <c r="L98" i="14" s="1"/>
  <c r="T97" i="14"/>
  <c r="T98" i="14" s="1"/>
  <c r="AK97" i="14"/>
  <c r="AK98" i="14" s="1"/>
  <c r="AS97" i="14"/>
  <c r="AS98" i="14" s="1"/>
  <c r="BA97" i="14"/>
  <c r="BA98" i="14" s="1"/>
  <c r="BI97" i="14"/>
  <c r="BI98" i="14" s="1"/>
  <c r="BQ97" i="14"/>
  <c r="BQ98" i="14" s="1"/>
  <c r="X54" i="14"/>
  <c r="X97" i="14" s="1"/>
  <c r="AB15" i="14"/>
  <c r="BZ5" i="14"/>
  <c r="D132" i="14"/>
  <c r="U17" i="14"/>
  <c r="BY10" i="14"/>
  <c r="S17" i="14"/>
  <c r="S98" i="14" s="1"/>
  <c r="AI126" i="14"/>
  <c r="BY56" i="14"/>
  <c r="BY54" i="14" s="1"/>
  <c r="D117" i="14"/>
  <c r="D118" i="14" s="1"/>
  <c r="E115" i="14"/>
  <c r="D133" i="14"/>
  <c r="D134" i="14" s="1"/>
  <c r="AI125" i="14"/>
  <c r="D151" i="14"/>
  <c r="AC150" i="14"/>
  <c r="E163" i="14"/>
  <c r="BY41" i="7"/>
  <c r="CB42" i="7"/>
  <c r="X130" i="14" l="1"/>
  <c r="Y130" i="14" s="1"/>
  <c r="Z130" i="14" s="1"/>
  <c r="AA130" i="14" s="1"/>
  <c r="AB130" i="14" s="1"/>
  <c r="AC130" i="14" s="1"/>
  <c r="AD130" i="14" s="1"/>
  <c r="AE130" i="14" s="1"/>
  <c r="AF130" i="14" s="1"/>
  <c r="AG130" i="14" s="1"/>
  <c r="AH130" i="14" s="1"/>
  <c r="U98" i="14"/>
  <c r="F146" i="14"/>
  <c r="H146" i="14" s="1"/>
  <c r="I146" i="14" s="1"/>
  <c r="J146" i="14" s="1"/>
  <c r="K146" i="14" s="1"/>
  <c r="L146" i="14" s="1"/>
  <c r="M146" i="14" s="1"/>
  <c r="N146" i="14" s="1"/>
  <c r="I99" i="14"/>
  <c r="AP163" i="14"/>
  <c r="AQ163" i="14" s="1"/>
  <c r="AR163" i="14" s="1"/>
  <c r="AS163" i="14" s="1"/>
  <c r="AT163" i="14" s="1"/>
  <c r="AU163" i="14" s="1"/>
  <c r="AV163" i="14" s="1"/>
  <c r="AW163" i="14" s="1"/>
  <c r="AX163" i="14" s="1"/>
  <c r="AY163" i="14" s="1"/>
  <c r="AZ163" i="14" s="1"/>
  <c r="BA163" i="14" s="1"/>
  <c r="BB163" i="14" s="1"/>
  <c r="BC163" i="14" s="1"/>
  <c r="BD163" i="14" s="1"/>
  <c r="BE163" i="14" s="1"/>
  <c r="BF163" i="14" s="1"/>
  <c r="BG163" i="14" s="1"/>
  <c r="BH163" i="14" s="1"/>
  <c r="BI163" i="14" s="1"/>
  <c r="BJ163" i="14" s="1"/>
  <c r="BK163" i="14" s="1"/>
  <c r="BL163" i="14" s="1"/>
  <c r="BM163" i="14" s="1"/>
  <c r="BN163" i="14" s="1"/>
  <c r="BO163" i="14" s="1"/>
  <c r="BP163" i="14" s="1"/>
  <c r="BQ163" i="14" s="1"/>
  <c r="BR163" i="14" s="1"/>
  <c r="BS163" i="14" s="1"/>
  <c r="BT163" i="14" s="1"/>
  <c r="BU163" i="14" s="1"/>
  <c r="BV163" i="14" s="1"/>
  <c r="BW163" i="14" s="1"/>
  <c r="F163" i="14"/>
  <c r="H163" i="14" s="1"/>
  <c r="I163" i="14" s="1"/>
  <c r="J163" i="14" s="1"/>
  <c r="K163" i="14" s="1"/>
  <c r="L163" i="14" s="1"/>
  <c r="M163" i="14" s="1"/>
  <c r="N163" i="14" s="1"/>
  <c r="AO146" i="14"/>
  <c r="AP146" i="14" s="1"/>
  <c r="AQ146" i="14" s="1"/>
  <c r="AR146" i="14" s="1"/>
  <c r="AS146" i="14" s="1"/>
  <c r="AT146" i="14" s="1"/>
  <c r="AU146" i="14" s="1"/>
  <c r="AV146" i="14" s="1"/>
  <c r="AW146" i="14" s="1"/>
  <c r="AX146" i="14" s="1"/>
  <c r="AY146" i="14" s="1"/>
  <c r="AZ146" i="14" s="1"/>
  <c r="BA146" i="14" s="1"/>
  <c r="BB146" i="14" s="1"/>
  <c r="BC146" i="14" s="1"/>
  <c r="BD146" i="14" s="1"/>
  <c r="BE146" i="14" s="1"/>
  <c r="BF146" i="14" s="1"/>
  <c r="BG146" i="14" s="1"/>
  <c r="BH146" i="14" s="1"/>
  <c r="BI146" i="14" s="1"/>
  <c r="BJ146" i="14" s="1"/>
  <c r="BK146" i="14" s="1"/>
  <c r="BL146" i="14" s="1"/>
  <c r="BM146" i="14" s="1"/>
  <c r="BN146" i="14" s="1"/>
  <c r="BO146" i="14" s="1"/>
  <c r="BP146" i="14" s="1"/>
  <c r="BQ146" i="14" s="1"/>
  <c r="BR146" i="14" s="1"/>
  <c r="BS146" i="14" s="1"/>
  <c r="BT146" i="14" s="1"/>
  <c r="BU146" i="14" s="1"/>
  <c r="BV146" i="14" s="1"/>
  <c r="BW146" i="14" s="1"/>
  <c r="J99" i="14"/>
  <c r="K99" i="14" s="1"/>
  <c r="L99" i="14" s="1"/>
  <c r="M99" i="14" s="1"/>
  <c r="N99" i="14" s="1"/>
  <c r="O99" i="14" s="1"/>
  <c r="P99" i="14" s="1"/>
  <c r="Q99" i="14" s="1"/>
  <c r="R99" i="14" s="1"/>
  <c r="S99" i="14" s="1"/>
  <c r="T99" i="14" s="1"/>
  <c r="U99" i="14" s="1"/>
  <c r="W97" i="14"/>
  <c r="W15" i="14"/>
  <c r="W17" i="14" s="1"/>
  <c r="W98" i="14" s="1"/>
  <c r="O146" i="14"/>
  <c r="P146" i="14" s="1"/>
  <c r="Q146" i="14" s="1"/>
  <c r="R146" i="14" s="1"/>
  <c r="S146" i="14" s="1"/>
  <c r="T146" i="14" s="1"/>
  <c r="U146" i="14" s="1"/>
  <c r="V146" i="14" s="1"/>
  <c r="W146" i="14" s="1"/>
  <c r="X146" i="14" s="1"/>
  <c r="Y146" i="14" s="1"/>
  <c r="Z146" i="14" s="1"/>
  <c r="AA146" i="14" s="1"/>
  <c r="AB146" i="14" s="1"/>
  <c r="AC146" i="14" s="1"/>
  <c r="AD146" i="14" s="1"/>
  <c r="AE146" i="14" s="1"/>
  <c r="AF146" i="14" s="1"/>
  <c r="V18" i="14"/>
  <c r="BY19" i="14"/>
  <c r="BY18" i="14" s="1"/>
  <c r="BZ9" i="14"/>
  <c r="AI124" i="14"/>
  <c r="BY91" i="14"/>
  <c r="B61" i="5"/>
  <c r="AH40" i="7"/>
  <c r="W40" i="7"/>
  <c r="X40" i="7"/>
  <c r="Y40" i="7"/>
  <c r="Z40" i="7"/>
  <c r="AA40" i="7"/>
  <c r="AB40" i="7"/>
  <c r="AC40" i="7"/>
  <c r="AD40" i="7"/>
  <c r="AE40" i="7"/>
  <c r="AF40" i="7"/>
  <c r="AG40" i="7"/>
  <c r="D148" i="14" l="1"/>
  <c r="D150" i="14" s="1"/>
  <c r="D152" i="14" s="1"/>
  <c r="AI96" i="14"/>
  <c r="V97" i="14"/>
  <c r="V15" i="14"/>
  <c r="O163" i="14"/>
  <c r="P163" i="14" s="1"/>
  <c r="Q163" i="14" s="1"/>
  <c r="R163" i="14" s="1"/>
  <c r="S163" i="14" s="1"/>
  <c r="T163" i="14" s="1"/>
  <c r="U163" i="14" s="1"/>
  <c r="V163" i="14" s="1"/>
  <c r="W163" i="14" s="1"/>
  <c r="X163" i="14" s="1"/>
  <c r="Y163" i="14" s="1"/>
  <c r="Z163" i="14" s="1"/>
  <c r="AA163" i="14" s="1"/>
  <c r="AB163" i="14" s="1"/>
  <c r="AC163" i="14" s="1"/>
  <c r="AD163" i="14" s="1"/>
  <c r="AE163" i="14" s="1"/>
  <c r="AF163" i="14" s="1"/>
  <c r="F55" i="5"/>
  <c r="D165" i="14" l="1"/>
  <c r="D167" i="14" s="1"/>
  <c r="V17" i="14"/>
  <c r="V98" i="14" s="1"/>
  <c r="V99" i="14" s="1"/>
  <c r="W99" i="14" s="1"/>
  <c r="BY96" i="14"/>
  <c r="BZ90" i="14" s="1"/>
  <c r="BY97" i="14" s="1"/>
  <c r="AI89" i="14"/>
  <c r="BY42" i="7"/>
  <c r="X17" i="14" l="1"/>
  <c r="X98" i="14" s="1"/>
  <c r="X99" i="14" s="1"/>
  <c r="M7" i="1"/>
  <c r="N3" i="1"/>
  <c r="K11" i="1"/>
  <c r="K8" i="1"/>
  <c r="I7" i="1"/>
  <c r="K7" i="1" s="1"/>
  <c r="I6" i="1"/>
  <c r="K6" i="1" s="1"/>
  <c r="N14" i="5" l="1"/>
  <c r="L8" i="1"/>
  <c r="L9" i="1"/>
  <c r="L7" i="1"/>
  <c r="L11" i="1"/>
  <c r="L6" i="1"/>
  <c r="N11" i="1"/>
  <c r="N6" i="1"/>
  <c r="N7" i="1"/>
  <c r="O7" i="1" s="1"/>
  <c r="O8" i="1"/>
  <c r="N9" i="1"/>
  <c r="N10" i="1"/>
  <c r="O10" i="1" s="1"/>
  <c r="O9" i="1" l="1"/>
  <c r="N15" i="5"/>
  <c r="O6" i="1"/>
  <c r="P6" i="1"/>
  <c r="T20" i="1" s="1"/>
  <c r="O11" i="1"/>
  <c r="P11" i="1"/>
  <c r="Q6" i="1"/>
  <c r="Q11" i="1"/>
  <c r="Q7" i="1"/>
  <c r="P7" i="1"/>
  <c r="T21" i="1" s="1"/>
  <c r="Q8" i="1"/>
  <c r="Q9" i="1"/>
  <c r="P9" i="1"/>
  <c r="T23" i="1" s="1"/>
  <c r="P8" i="1"/>
  <c r="T22" i="1" s="1"/>
  <c r="D39" i="6" l="1"/>
  <c r="D36" i="6"/>
  <c r="F38" i="6"/>
  <c r="I7" i="6"/>
  <c r="D7" i="11"/>
  <c r="F8" i="5" s="1"/>
  <c r="E12" i="5" s="1"/>
  <c r="E42" i="13"/>
  <c r="E41" i="13"/>
  <c r="E43" i="13" s="1"/>
  <c r="R39" i="13"/>
  <c r="R40" i="13" s="1"/>
  <c r="R41" i="13" s="1"/>
  <c r="R42" i="13" s="1"/>
  <c r="E38" i="13"/>
  <c r="E37" i="13"/>
  <c r="E34" i="13"/>
  <c r="E33" i="13"/>
  <c r="Q30" i="13"/>
  <c r="E30" i="13"/>
  <c r="Q28" i="13"/>
  <c r="F21" i="13"/>
  <c r="F20" i="13"/>
  <c r="N19" i="13"/>
  <c r="F19" i="13"/>
  <c r="F18" i="13"/>
  <c r="R17" i="13"/>
  <c r="F17" i="13"/>
  <c r="K16" i="13"/>
  <c r="J16" i="13"/>
  <c r="I16" i="13"/>
  <c r="K15" i="13"/>
  <c r="J15" i="13"/>
  <c r="I15" i="13"/>
  <c r="K14" i="13"/>
  <c r="J14" i="13"/>
  <c r="I14" i="13"/>
  <c r="K13" i="13"/>
  <c r="J13" i="13"/>
  <c r="I13" i="13"/>
  <c r="M12" i="13"/>
  <c r="K12" i="13"/>
  <c r="J12" i="13"/>
  <c r="I12" i="13"/>
  <c r="K11" i="13"/>
  <c r="J11" i="13"/>
  <c r="I11" i="13"/>
  <c r="K10" i="13"/>
  <c r="I10" i="13"/>
  <c r="K9" i="13"/>
  <c r="J9" i="13"/>
  <c r="I9" i="13"/>
  <c r="E9" i="13"/>
  <c r="M8" i="13"/>
  <c r="K8" i="13"/>
  <c r="J8" i="13"/>
  <c r="I8" i="13"/>
  <c r="F8" i="13"/>
  <c r="L64" i="12"/>
  <c r="L52" i="12"/>
  <c r="L66" i="12" s="1"/>
  <c r="K52" i="12"/>
  <c r="K66" i="12" s="1"/>
  <c r="I52" i="12"/>
  <c r="I66" i="12" s="1"/>
  <c r="I68" i="12" s="1"/>
  <c r="I72" i="12" s="1"/>
  <c r="I73" i="12" s="1"/>
  <c r="H52" i="12"/>
  <c r="H66" i="12" s="1"/>
  <c r="H68" i="12" s="1"/>
  <c r="H72" i="12" s="1"/>
  <c r="H73" i="12" s="1"/>
  <c r="G52" i="12"/>
  <c r="G66" i="12" s="1"/>
  <c r="G68" i="12" s="1"/>
  <c r="G72" i="12" s="1"/>
  <c r="G73" i="12" s="1"/>
  <c r="F52" i="12"/>
  <c r="F66" i="12" s="1"/>
  <c r="E52" i="12"/>
  <c r="E66" i="12" s="1"/>
  <c r="M50" i="12"/>
  <c r="M66" i="12" s="1"/>
  <c r="G39" i="12"/>
  <c r="E39" i="12"/>
  <c r="E65" i="12" s="1"/>
  <c r="K38" i="12"/>
  <c r="K65" i="12" s="1"/>
  <c r="M37" i="12"/>
  <c r="M65" i="12" s="1"/>
  <c r="I37" i="12"/>
  <c r="H37" i="12"/>
  <c r="F37" i="12"/>
  <c r="F65" i="12" s="1"/>
  <c r="L36" i="12"/>
  <c r="L65" i="12" s="1"/>
  <c r="J22" i="12"/>
  <c r="J66" i="12" s="1"/>
  <c r="E21" i="12"/>
  <c r="E64" i="12" s="1"/>
  <c r="M19" i="12"/>
  <c r="M64" i="12" s="1"/>
  <c r="K19" i="12"/>
  <c r="K64" i="12" s="1"/>
  <c r="J19" i="12"/>
  <c r="J65" i="12" s="1"/>
  <c r="I19" i="12"/>
  <c r="H19" i="12"/>
  <c r="G19" i="12"/>
  <c r="F19" i="12"/>
  <c r="F64" i="12" s="1"/>
  <c r="J17" i="12"/>
  <c r="J64" i="12" s="1"/>
  <c r="M6" i="12"/>
  <c r="M63" i="12" s="1"/>
  <c r="M68" i="12" s="1"/>
  <c r="M72" i="12" s="1"/>
  <c r="M73" i="12" s="1"/>
  <c r="L6" i="12"/>
  <c r="L63" i="12" s="1"/>
  <c r="L68" i="12" s="1"/>
  <c r="L72" i="12" s="1"/>
  <c r="L73" i="12" s="1"/>
  <c r="K6" i="12"/>
  <c r="K63" i="12" s="1"/>
  <c r="K68" i="12" s="1"/>
  <c r="K72" i="12" s="1"/>
  <c r="K73" i="12" s="1"/>
  <c r="I6" i="12"/>
  <c r="H6" i="12"/>
  <c r="G6" i="12"/>
  <c r="F6" i="12"/>
  <c r="F63" i="12" s="1"/>
  <c r="F68" i="12" s="1"/>
  <c r="F72" i="12" s="1"/>
  <c r="F73" i="12" s="1"/>
  <c r="E6" i="12"/>
  <c r="E63" i="12" s="1"/>
  <c r="J5" i="12"/>
  <c r="J63" i="12" s="1"/>
  <c r="C32" i="10"/>
  <c r="D168" i="8"/>
  <c r="BX161" i="8"/>
  <c r="BW161" i="8"/>
  <c r="BV161" i="8"/>
  <c r="BU161" i="8"/>
  <c r="BT161" i="8"/>
  <c r="BS161" i="8"/>
  <c r="BR161" i="8"/>
  <c r="BQ161" i="8"/>
  <c r="BP161" i="8"/>
  <c r="BO161" i="8"/>
  <c r="BN161" i="8"/>
  <c r="BM161" i="8"/>
  <c r="BL161" i="8"/>
  <c r="BK161" i="8"/>
  <c r="BJ161" i="8"/>
  <c r="BI161" i="8"/>
  <c r="BH161" i="8"/>
  <c r="BG161" i="8"/>
  <c r="BF161" i="8"/>
  <c r="BE161" i="8"/>
  <c r="BD161" i="8"/>
  <c r="BC161" i="8"/>
  <c r="BB161" i="8"/>
  <c r="BA161" i="8"/>
  <c r="AZ161" i="8"/>
  <c r="AY161" i="8"/>
  <c r="AX161" i="8"/>
  <c r="AW161" i="8"/>
  <c r="AV161" i="8"/>
  <c r="AU161" i="8"/>
  <c r="AT161" i="8"/>
  <c r="AS161" i="8"/>
  <c r="AR161" i="8"/>
  <c r="AQ161" i="8"/>
  <c r="AP161" i="8"/>
  <c r="AO161" i="8"/>
  <c r="AN161" i="8"/>
  <c r="AM161" i="8"/>
  <c r="AL161" i="8"/>
  <c r="AK161" i="8"/>
  <c r="AJ161" i="8"/>
  <c r="AI161" i="8"/>
  <c r="AH161" i="8"/>
  <c r="AG161" i="8"/>
  <c r="AF161" i="8"/>
  <c r="AE161" i="8"/>
  <c r="AD161" i="8"/>
  <c r="AC161" i="8"/>
  <c r="AB161" i="8"/>
  <c r="AA161" i="8"/>
  <c r="Z161" i="8"/>
  <c r="Y161" i="8"/>
  <c r="X161" i="8"/>
  <c r="W161" i="8"/>
  <c r="V161" i="8"/>
  <c r="U161" i="8"/>
  <c r="T161" i="8"/>
  <c r="S161" i="8"/>
  <c r="R161" i="8"/>
  <c r="Q161" i="8"/>
  <c r="P161" i="8"/>
  <c r="O161" i="8"/>
  <c r="N161" i="8"/>
  <c r="M161" i="8"/>
  <c r="L161" i="8"/>
  <c r="K161" i="8"/>
  <c r="J161" i="8"/>
  <c r="I161" i="8"/>
  <c r="H161" i="8"/>
  <c r="G161" i="8"/>
  <c r="F161" i="8"/>
  <c r="E161" i="8"/>
  <c r="BX159" i="8"/>
  <c r="BW159" i="8"/>
  <c r="BW164" i="8" s="1"/>
  <c r="BV159" i="8"/>
  <c r="BV164" i="8" s="1"/>
  <c r="BU159" i="8"/>
  <c r="BU164" i="8" s="1"/>
  <c r="BT159" i="8"/>
  <c r="BT164" i="8" s="1"/>
  <c r="BS159" i="8"/>
  <c r="BS164" i="8" s="1"/>
  <c r="BR159" i="8"/>
  <c r="BR164" i="8" s="1"/>
  <c r="BQ159" i="8"/>
  <c r="BQ164" i="8" s="1"/>
  <c r="BP159" i="8"/>
  <c r="BP164" i="8" s="1"/>
  <c r="BO159" i="8"/>
  <c r="BO164" i="8" s="1"/>
  <c r="BN159" i="8"/>
  <c r="BN164" i="8" s="1"/>
  <c r="BM159" i="8"/>
  <c r="BM164" i="8" s="1"/>
  <c r="BL159" i="8"/>
  <c r="BL164" i="8" s="1"/>
  <c r="BK159" i="8"/>
  <c r="BK164" i="8" s="1"/>
  <c r="BJ159" i="8"/>
  <c r="BJ164" i="8" s="1"/>
  <c r="BI159" i="8"/>
  <c r="BI164" i="8" s="1"/>
  <c r="BH159" i="8"/>
  <c r="BH164" i="8" s="1"/>
  <c r="BG159" i="8"/>
  <c r="BG164" i="8" s="1"/>
  <c r="BF159" i="8"/>
  <c r="BF164" i="8" s="1"/>
  <c r="BE159" i="8"/>
  <c r="BE164" i="8" s="1"/>
  <c r="BD159" i="8"/>
  <c r="BD164" i="8" s="1"/>
  <c r="BC159" i="8"/>
  <c r="BC164" i="8" s="1"/>
  <c r="BB159" i="8"/>
  <c r="BB164" i="8" s="1"/>
  <c r="BA159" i="8"/>
  <c r="BA164" i="8" s="1"/>
  <c r="AZ159" i="8"/>
  <c r="AZ164" i="8" s="1"/>
  <c r="AY159" i="8"/>
  <c r="AY164" i="8" s="1"/>
  <c r="AX159" i="8"/>
  <c r="AX164" i="8" s="1"/>
  <c r="AW159" i="8"/>
  <c r="AW164" i="8" s="1"/>
  <c r="AV159" i="8"/>
  <c r="AV164" i="8" s="1"/>
  <c r="AU159" i="8"/>
  <c r="AU164" i="8" s="1"/>
  <c r="AT159" i="8"/>
  <c r="AT164" i="8" s="1"/>
  <c r="AS159" i="8"/>
  <c r="AS164" i="8" s="1"/>
  <c r="AR159" i="8"/>
  <c r="AR164" i="8" s="1"/>
  <c r="AQ159" i="8"/>
  <c r="AQ164" i="8" s="1"/>
  <c r="AP159" i="8"/>
  <c r="AP164" i="8" s="1"/>
  <c r="AO159" i="8"/>
  <c r="AO164" i="8" s="1"/>
  <c r="AN159" i="8"/>
  <c r="AN164" i="8" s="1"/>
  <c r="AM159" i="8"/>
  <c r="AM164" i="8" s="1"/>
  <c r="AL159" i="8"/>
  <c r="AL164" i="8" s="1"/>
  <c r="AK159" i="8"/>
  <c r="AK164" i="8" s="1"/>
  <c r="AJ159" i="8"/>
  <c r="AJ164" i="8" s="1"/>
  <c r="AI159" i="8"/>
  <c r="AI164" i="8" s="1"/>
  <c r="AH159" i="8"/>
  <c r="AH164" i="8" s="1"/>
  <c r="AG159" i="8"/>
  <c r="AG164" i="8" s="1"/>
  <c r="AF159" i="8"/>
  <c r="AF164" i="8" s="1"/>
  <c r="AE159" i="8"/>
  <c r="AE164" i="8" s="1"/>
  <c r="AD159" i="8"/>
  <c r="AD164" i="8" s="1"/>
  <c r="AC159" i="8"/>
  <c r="AC164" i="8" s="1"/>
  <c r="AB159" i="8"/>
  <c r="AB164" i="8" s="1"/>
  <c r="AA159" i="8"/>
  <c r="AA164" i="8" s="1"/>
  <c r="Z159" i="8"/>
  <c r="Z164" i="8" s="1"/>
  <c r="Y159" i="8"/>
  <c r="Y164" i="8" s="1"/>
  <c r="X159" i="8"/>
  <c r="X164" i="8" s="1"/>
  <c r="W159" i="8"/>
  <c r="W164" i="8" s="1"/>
  <c r="V159" i="8"/>
  <c r="V164" i="8" s="1"/>
  <c r="U159" i="8"/>
  <c r="U164" i="8" s="1"/>
  <c r="T159" i="8"/>
  <c r="T164" i="8" s="1"/>
  <c r="S159" i="8"/>
  <c r="S164" i="8" s="1"/>
  <c r="R159" i="8"/>
  <c r="R164" i="8" s="1"/>
  <c r="Q159" i="8"/>
  <c r="Q164" i="8" s="1"/>
  <c r="P159" i="8"/>
  <c r="P164" i="8" s="1"/>
  <c r="O159" i="8"/>
  <c r="O164" i="8" s="1"/>
  <c r="N159" i="8"/>
  <c r="N164" i="8" s="1"/>
  <c r="M159" i="8"/>
  <c r="M164" i="8" s="1"/>
  <c r="L159" i="8"/>
  <c r="L164" i="8" s="1"/>
  <c r="K159" i="8"/>
  <c r="K164" i="8" s="1"/>
  <c r="J159" i="8"/>
  <c r="J164" i="8" s="1"/>
  <c r="I159" i="8"/>
  <c r="I164" i="8" s="1"/>
  <c r="H159" i="8"/>
  <c r="H164" i="8" s="1"/>
  <c r="G159" i="8"/>
  <c r="G164" i="8" s="1"/>
  <c r="F159" i="8"/>
  <c r="F164" i="8" s="1"/>
  <c r="E159" i="8"/>
  <c r="E164" i="8" s="1"/>
  <c r="E165" i="8" s="1"/>
  <c r="F165" i="8" s="1"/>
  <c r="G165" i="8" s="1"/>
  <c r="D151" i="8"/>
  <c r="BX144" i="8"/>
  <c r="BW144" i="8"/>
  <c r="BV144" i="8"/>
  <c r="BU144" i="8"/>
  <c r="BT144" i="8"/>
  <c r="BS144" i="8"/>
  <c r="BR144" i="8"/>
  <c r="BQ144" i="8"/>
  <c r="BP144" i="8"/>
  <c r="BO144" i="8"/>
  <c r="BN144" i="8"/>
  <c r="BM144" i="8"/>
  <c r="BL144" i="8"/>
  <c r="BK144" i="8"/>
  <c r="BJ144" i="8"/>
  <c r="BI144" i="8"/>
  <c r="BH144" i="8"/>
  <c r="BG144" i="8"/>
  <c r="BF144" i="8"/>
  <c r="BE144" i="8"/>
  <c r="BD144" i="8"/>
  <c r="BC144" i="8"/>
  <c r="BB144" i="8"/>
  <c r="BA144" i="8"/>
  <c r="AZ144" i="8"/>
  <c r="AY144" i="8"/>
  <c r="AX144" i="8"/>
  <c r="AW144" i="8"/>
  <c r="AV144" i="8"/>
  <c r="AU144" i="8"/>
  <c r="AT144" i="8"/>
  <c r="AS144" i="8"/>
  <c r="AR144" i="8"/>
  <c r="AQ144" i="8"/>
  <c r="AP144" i="8"/>
  <c r="AO144" i="8"/>
  <c r="AN144" i="8"/>
  <c r="AM144" i="8"/>
  <c r="AL144" i="8"/>
  <c r="AK144" i="8"/>
  <c r="AJ144" i="8"/>
  <c r="AI144" i="8"/>
  <c r="AH144" i="8"/>
  <c r="AG144" i="8"/>
  <c r="AF144" i="8"/>
  <c r="AE144" i="8"/>
  <c r="AD144" i="8"/>
  <c r="AB144" i="8"/>
  <c r="AA144" i="8"/>
  <c r="Z144" i="8"/>
  <c r="Y144" i="8"/>
  <c r="X144" i="8"/>
  <c r="W144" i="8"/>
  <c r="V144" i="8"/>
  <c r="U144" i="8"/>
  <c r="T144" i="8"/>
  <c r="S144" i="8"/>
  <c r="R144" i="8"/>
  <c r="Q144" i="8"/>
  <c r="P144" i="8"/>
  <c r="O144" i="8"/>
  <c r="N144" i="8"/>
  <c r="M144" i="8"/>
  <c r="L144" i="8"/>
  <c r="K144" i="8"/>
  <c r="J144" i="8"/>
  <c r="I144" i="8"/>
  <c r="H144" i="8"/>
  <c r="G144" i="8"/>
  <c r="F144" i="8"/>
  <c r="E144" i="8"/>
  <c r="BX142" i="8"/>
  <c r="BW142" i="8"/>
  <c r="BW147" i="8" s="1"/>
  <c r="BV142" i="8"/>
  <c r="BV147" i="8" s="1"/>
  <c r="BU142" i="8"/>
  <c r="BU147" i="8" s="1"/>
  <c r="BT142" i="8"/>
  <c r="BT147" i="8" s="1"/>
  <c r="BS142" i="8"/>
  <c r="BS147" i="8" s="1"/>
  <c r="BR142" i="8"/>
  <c r="BR147" i="8" s="1"/>
  <c r="BQ142" i="8"/>
  <c r="BQ147" i="8" s="1"/>
  <c r="BP142" i="8"/>
  <c r="BP147" i="8" s="1"/>
  <c r="BO142" i="8"/>
  <c r="BO147" i="8" s="1"/>
  <c r="BN142" i="8"/>
  <c r="BN147" i="8" s="1"/>
  <c r="BM142" i="8"/>
  <c r="BM147" i="8" s="1"/>
  <c r="BL142" i="8"/>
  <c r="BL147" i="8" s="1"/>
  <c r="BK142" i="8"/>
  <c r="BK147" i="8" s="1"/>
  <c r="BJ142" i="8"/>
  <c r="BJ147" i="8" s="1"/>
  <c r="BI142" i="8"/>
  <c r="BI147" i="8" s="1"/>
  <c r="BH142" i="8"/>
  <c r="BH147" i="8" s="1"/>
  <c r="BG142" i="8"/>
  <c r="BG147" i="8" s="1"/>
  <c r="BF142" i="8"/>
  <c r="BF147" i="8" s="1"/>
  <c r="BE142" i="8"/>
  <c r="BE147" i="8" s="1"/>
  <c r="BD142" i="8"/>
  <c r="BD147" i="8" s="1"/>
  <c r="BC142" i="8"/>
  <c r="BC147" i="8" s="1"/>
  <c r="BB142" i="8"/>
  <c r="BB147" i="8" s="1"/>
  <c r="BA142" i="8"/>
  <c r="BA147" i="8" s="1"/>
  <c r="AZ142" i="8"/>
  <c r="AZ147" i="8" s="1"/>
  <c r="AY142" i="8"/>
  <c r="AY147" i="8" s="1"/>
  <c r="AX142" i="8"/>
  <c r="AX147" i="8" s="1"/>
  <c r="AW142" i="8"/>
  <c r="AW147" i="8" s="1"/>
  <c r="AV142" i="8"/>
  <c r="AV147" i="8" s="1"/>
  <c r="AU142" i="8"/>
  <c r="AU147" i="8" s="1"/>
  <c r="AT142" i="8"/>
  <c r="AT147" i="8" s="1"/>
  <c r="AS142" i="8"/>
  <c r="AS147" i="8" s="1"/>
  <c r="AR142" i="8"/>
  <c r="AR147" i="8" s="1"/>
  <c r="AQ142" i="8"/>
  <c r="AQ147" i="8" s="1"/>
  <c r="AP142" i="8"/>
  <c r="AP147" i="8" s="1"/>
  <c r="AO142" i="8"/>
  <c r="AO147" i="8" s="1"/>
  <c r="AN142" i="8"/>
  <c r="AN147" i="8" s="1"/>
  <c r="AM142" i="8"/>
  <c r="AM147" i="8" s="1"/>
  <c r="AL142" i="8"/>
  <c r="AL147" i="8" s="1"/>
  <c r="AK142" i="8"/>
  <c r="AK147" i="8" s="1"/>
  <c r="AJ142" i="8"/>
  <c r="AJ147" i="8" s="1"/>
  <c r="AI142" i="8"/>
  <c r="AI147" i="8" s="1"/>
  <c r="AH142" i="8"/>
  <c r="AH147" i="8" s="1"/>
  <c r="AG142" i="8"/>
  <c r="AG147" i="8" s="1"/>
  <c r="AF142" i="8"/>
  <c r="AF147" i="8" s="1"/>
  <c r="AE142" i="8"/>
  <c r="AE147" i="8" s="1"/>
  <c r="AD142" i="8"/>
  <c r="AD147" i="8" s="1"/>
  <c r="O142" i="8"/>
  <c r="O147" i="8" s="1"/>
  <c r="N142" i="8"/>
  <c r="N147" i="8" s="1"/>
  <c r="M142" i="8"/>
  <c r="M147" i="8" s="1"/>
  <c r="L142" i="8"/>
  <c r="K142" i="8"/>
  <c r="K147" i="8" s="1"/>
  <c r="J142" i="8"/>
  <c r="J147" i="8" s="1"/>
  <c r="I142" i="8"/>
  <c r="I147" i="8" s="1"/>
  <c r="H142" i="8"/>
  <c r="H147" i="8" s="1"/>
  <c r="G142" i="8"/>
  <c r="G147" i="8" s="1"/>
  <c r="F142" i="8"/>
  <c r="F147" i="8" s="1"/>
  <c r="E142" i="8"/>
  <c r="E147" i="8" s="1"/>
  <c r="E148" i="8" s="1"/>
  <c r="F148" i="8" s="1"/>
  <c r="G148" i="8" s="1"/>
  <c r="H148" i="8" s="1"/>
  <c r="I148" i="8" s="1"/>
  <c r="J148" i="8" s="1"/>
  <c r="K148" i="8" s="1"/>
  <c r="D135" i="8"/>
  <c r="BX128" i="8"/>
  <c r="BW128" i="8"/>
  <c r="BV128" i="8"/>
  <c r="BU128" i="8"/>
  <c r="BT128" i="8"/>
  <c r="BS128" i="8"/>
  <c r="BR128" i="8"/>
  <c r="BQ128" i="8"/>
  <c r="BP128" i="8"/>
  <c r="BO128" i="8"/>
  <c r="BN128" i="8"/>
  <c r="BM128" i="8"/>
  <c r="BL128" i="8"/>
  <c r="BK128" i="8"/>
  <c r="BJ128" i="8"/>
  <c r="BI128" i="8"/>
  <c r="BH128" i="8"/>
  <c r="BG128" i="8"/>
  <c r="BF128" i="8"/>
  <c r="BE128" i="8"/>
  <c r="BD128" i="8"/>
  <c r="BC128" i="8"/>
  <c r="BB128" i="8"/>
  <c r="BA128" i="8"/>
  <c r="AZ128" i="8"/>
  <c r="AY128" i="8"/>
  <c r="AX128" i="8"/>
  <c r="AW128" i="8"/>
  <c r="AV128" i="8"/>
  <c r="AU128" i="8"/>
  <c r="AT128" i="8"/>
  <c r="AS128" i="8"/>
  <c r="AR128" i="8"/>
  <c r="AQ128" i="8"/>
  <c r="AP128" i="8"/>
  <c r="AO128" i="8"/>
  <c r="AN128" i="8"/>
  <c r="AM128" i="8"/>
  <c r="AL128" i="8"/>
  <c r="AK128" i="8"/>
  <c r="AJ128" i="8"/>
  <c r="AI128" i="8"/>
  <c r="AH128" i="8"/>
  <c r="AG128" i="8"/>
  <c r="AF128" i="8"/>
  <c r="AE128" i="8"/>
  <c r="AD128" i="8"/>
  <c r="AB128" i="8"/>
  <c r="AA128" i="8"/>
  <c r="Z128" i="8"/>
  <c r="Y128" i="8"/>
  <c r="X128" i="8"/>
  <c r="W128" i="8"/>
  <c r="V128" i="8"/>
  <c r="U128" i="8"/>
  <c r="T128" i="8"/>
  <c r="S128" i="8"/>
  <c r="R128" i="8"/>
  <c r="Q128" i="8"/>
  <c r="P128" i="8"/>
  <c r="O128" i="8"/>
  <c r="N128" i="8"/>
  <c r="M128" i="8"/>
  <c r="L128" i="8"/>
  <c r="K128" i="8"/>
  <c r="J128" i="8"/>
  <c r="I128" i="8"/>
  <c r="H128" i="8"/>
  <c r="G128" i="8"/>
  <c r="F128" i="8"/>
  <c r="E128" i="8"/>
  <c r="P127" i="8"/>
  <c r="BX126" i="8"/>
  <c r="BW126" i="8"/>
  <c r="BW131" i="8" s="1"/>
  <c r="BV126" i="8"/>
  <c r="BV131" i="8" s="1"/>
  <c r="BU126" i="8"/>
  <c r="BU131" i="8" s="1"/>
  <c r="BT126" i="8"/>
  <c r="BT131" i="8" s="1"/>
  <c r="BS126" i="8"/>
  <c r="BS131" i="8" s="1"/>
  <c r="BR126" i="8"/>
  <c r="BR131" i="8" s="1"/>
  <c r="BQ126" i="8"/>
  <c r="BQ131" i="8" s="1"/>
  <c r="BP126" i="8"/>
  <c r="BP131" i="8" s="1"/>
  <c r="BO126" i="8"/>
  <c r="BO131" i="8" s="1"/>
  <c r="BN126" i="8"/>
  <c r="BN131" i="8" s="1"/>
  <c r="BM126" i="8"/>
  <c r="BM131" i="8" s="1"/>
  <c r="BL126" i="8"/>
  <c r="BL131" i="8" s="1"/>
  <c r="BK126" i="8"/>
  <c r="BK131" i="8" s="1"/>
  <c r="BJ126" i="8"/>
  <c r="BJ131" i="8" s="1"/>
  <c r="BI126" i="8"/>
  <c r="BI131" i="8" s="1"/>
  <c r="BH126" i="8"/>
  <c r="BH131" i="8" s="1"/>
  <c r="BG126" i="8"/>
  <c r="BG131" i="8" s="1"/>
  <c r="BF126" i="8"/>
  <c r="BF131" i="8" s="1"/>
  <c r="BE126" i="8"/>
  <c r="BD126" i="8"/>
  <c r="BD131" i="8" s="1"/>
  <c r="BC126" i="8"/>
  <c r="BC131" i="8" s="1"/>
  <c r="BB126" i="8"/>
  <c r="BB131" i="8" s="1"/>
  <c r="BA126" i="8"/>
  <c r="BA131" i="8" s="1"/>
  <c r="AZ126" i="8"/>
  <c r="AZ131" i="8" s="1"/>
  <c r="AY126" i="8"/>
  <c r="AY131" i="8" s="1"/>
  <c r="AX126" i="8"/>
  <c r="AX131" i="8" s="1"/>
  <c r="AW126" i="8"/>
  <c r="AW131" i="8" s="1"/>
  <c r="AV126" i="8"/>
  <c r="AV131" i="8" s="1"/>
  <c r="AU126" i="8"/>
  <c r="AU131" i="8" s="1"/>
  <c r="AT126" i="8"/>
  <c r="AT131" i="8" s="1"/>
  <c r="AS126" i="8"/>
  <c r="AS131" i="8" s="1"/>
  <c r="AR126" i="8"/>
  <c r="AR131" i="8" s="1"/>
  <c r="AQ126" i="8"/>
  <c r="AQ131" i="8" s="1"/>
  <c r="AP126" i="8"/>
  <c r="AP131" i="8" s="1"/>
  <c r="AO126" i="8"/>
  <c r="AO131" i="8" s="1"/>
  <c r="AN126" i="8"/>
  <c r="AN131" i="8" s="1"/>
  <c r="AM126" i="8"/>
  <c r="AM131" i="8" s="1"/>
  <c r="AL126" i="8"/>
  <c r="AL131" i="8" s="1"/>
  <c r="AK126" i="8"/>
  <c r="AK131" i="8" s="1"/>
  <c r="AJ126" i="8"/>
  <c r="AJ131" i="8" s="1"/>
  <c r="AI126" i="8"/>
  <c r="AI131" i="8" s="1"/>
  <c r="AH126" i="8"/>
  <c r="AH131" i="8" s="1"/>
  <c r="AG126" i="8"/>
  <c r="AF126" i="8"/>
  <c r="AF131" i="8" s="1"/>
  <c r="AE126" i="8"/>
  <c r="AE131" i="8" s="1"/>
  <c r="AD126" i="8"/>
  <c r="AD131" i="8" s="1"/>
  <c r="AB126" i="8"/>
  <c r="AB131" i="8" s="1"/>
  <c r="AA126" i="8"/>
  <c r="AA131" i="8" s="1"/>
  <c r="Z126" i="8"/>
  <c r="Z131" i="8" s="1"/>
  <c r="Y126" i="8"/>
  <c r="X126" i="8"/>
  <c r="X131" i="8" s="1"/>
  <c r="W126" i="8"/>
  <c r="W131" i="8" s="1"/>
  <c r="V126" i="8"/>
  <c r="V131" i="8" s="1"/>
  <c r="U126" i="8"/>
  <c r="U131" i="8" s="1"/>
  <c r="T126" i="8"/>
  <c r="T131" i="8" s="1"/>
  <c r="S126" i="8"/>
  <c r="S131" i="8" s="1"/>
  <c r="R126" i="8"/>
  <c r="R131" i="8" s="1"/>
  <c r="Q126" i="8"/>
  <c r="P126" i="8"/>
  <c r="P131" i="8" s="1"/>
  <c r="O126" i="8"/>
  <c r="O131" i="8" s="1"/>
  <c r="N126" i="8"/>
  <c r="N131" i="8" s="1"/>
  <c r="M126" i="8"/>
  <c r="M131" i="8" s="1"/>
  <c r="L126" i="8"/>
  <c r="L131" i="8" s="1"/>
  <c r="K126" i="8"/>
  <c r="K131" i="8" s="1"/>
  <c r="J126" i="8"/>
  <c r="J131" i="8" s="1"/>
  <c r="I126" i="8"/>
  <c r="H126" i="8"/>
  <c r="H131" i="8" s="1"/>
  <c r="G126" i="8"/>
  <c r="G131" i="8" s="1"/>
  <c r="F126" i="8"/>
  <c r="F131" i="8" s="1"/>
  <c r="E126" i="8"/>
  <c r="BX113" i="8"/>
  <c r="BW113" i="8"/>
  <c r="BV113" i="8"/>
  <c r="BU113" i="8"/>
  <c r="BT113" i="8"/>
  <c r="BS113" i="8"/>
  <c r="BR113" i="8"/>
  <c r="BQ113" i="8"/>
  <c r="BP113" i="8"/>
  <c r="BO113" i="8"/>
  <c r="BN113" i="8"/>
  <c r="BM113" i="8"/>
  <c r="BL113" i="8"/>
  <c r="BK113" i="8"/>
  <c r="BJ113" i="8"/>
  <c r="BI113" i="8"/>
  <c r="BH113" i="8"/>
  <c r="BG113" i="8"/>
  <c r="BF113" i="8"/>
  <c r="BE113" i="8"/>
  <c r="BD113" i="8"/>
  <c r="BC113" i="8"/>
  <c r="BB113" i="8"/>
  <c r="BA113" i="8"/>
  <c r="AZ113" i="8"/>
  <c r="AY113" i="8"/>
  <c r="AX113" i="8"/>
  <c r="AW113" i="8"/>
  <c r="AV113" i="8"/>
  <c r="AU113" i="8"/>
  <c r="AT113" i="8"/>
  <c r="AS113" i="8"/>
  <c r="AR113" i="8"/>
  <c r="AQ113" i="8"/>
  <c r="AP113" i="8"/>
  <c r="AO113" i="8"/>
  <c r="AN113" i="8"/>
  <c r="AM113" i="8"/>
  <c r="AL113" i="8"/>
  <c r="AK113" i="8"/>
  <c r="AJ113" i="8"/>
  <c r="AI113" i="8"/>
  <c r="AH113" i="8"/>
  <c r="AG113" i="8"/>
  <c r="AF113" i="8"/>
  <c r="AE113" i="8"/>
  <c r="AD113" i="8"/>
  <c r="AB113" i="8"/>
  <c r="AA113" i="8"/>
  <c r="Z113" i="8"/>
  <c r="Y113" i="8"/>
  <c r="X113" i="8"/>
  <c r="W113" i="8"/>
  <c r="V113" i="8"/>
  <c r="U113" i="8"/>
  <c r="T113" i="8"/>
  <c r="S113" i="8"/>
  <c r="R113" i="8"/>
  <c r="Q113" i="8"/>
  <c r="P113" i="8"/>
  <c r="O113" i="8"/>
  <c r="N113" i="8"/>
  <c r="M113" i="8"/>
  <c r="L113" i="8"/>
  <c r="K113" i="8"/>
  <c r="J113" i="8"/>
  <c r="I113" i="8"/>
  <c r="H113" i="8"/>
  <c r="G113" i="8"/>
  <c r="F113" i="8"/>
  <c r="E113" i="8"/>
  <c r="BX111" i="8"/>
  <c r="BW111" i="8"/>
  <c r="BV111" i="8"/>
  <c r="BV103" i="8" s="1"/>
  <c r="BU111" i="8"/>
  <c r="BU103" i="8" s="1"/>
  <c r="BT111" i="8"/>
  <c r="BS111" i="8"/>
  <c r="BS117" i="8" s="1"/>
  <c r="BR111" i="8"/>
  <c r="BR117" i="8" s="1"/>
  <c r="BQ111" i="8"/>
  <c r="BQ117" i="8" s="1"/>
  <c r="BP111" i="8"/>
  <c r="BP117" i="8" s="1"/>
  <c r="BO111" i="8"/>
  <c r="BN111" i="8"/>
  <c r="BN103" i="8" s="1"/>
  <c r="BM111" i="8"/>
  <c r="BM103" i="8" s="1"/>
  <c r="BL111" i="8"/>
  <c r="BK111" i="8"/>
  <c r="BK117" i="8" s="1"/>
  <c r="BJ111" i="8"/>
  <c r="BJ117" i="8" s="1"/>
  <c r="BI111" i="8"/>
  <c r="BI117" i="8" s="1"/>
  <c r="BH111" i="8"/>
  <c r="BH117" i="8" s="1"/>
  <c r="BG111" i="8"/>
  <c r="BF111" i="8"/>
  <c r="BF103" i="8" s="1"/>
  <c r="BE111" i="8"/>
  <c r="BE103" i="8" s="1"/>
  <c r="BD111" i="8"/>
  <c r="BC111" i="8"/>
  <c r="BC117" i="8" s="1"/>
  <c r="BB111" i="8"/>
  <c r="BB117" i="8" s="1"/>
  <c r="BA111" i="8"/>
  <c r="BA117" i="8" s="1"/>
  <c r="AZ111" i="8"/>
  <c r="AZ117" i="8" s="1"/>
  <c r="AY111" i="8"/>
  <c r="AX111" i="8"/>
  <c r="AX103" i="8" s="1"/>
  <c r="AW111" i="8"/>
  <c r="AW103" i="8" s="1"/>
  <c r="AV111" i="8"/>
  <c r="AU111" i="8"/>
  <c r="AU117" i="8" s="1"/>
  <c r="AT111" i="8"/>
  <c r="AT117" i="8" s="1"/>
  <c r="AS111" i="8"/>
  <c r="AS117" i="8" s="1"/>
  <c r="AR111" i="8"/>
  <c r="AR117" i="8" s="1"/>
  <c r="AQ111" i="8"/>
  <c r="AP111" i="8"/>
  <c r="AP103" i="8" s="1"/>
  <c r="AO111" i="8"/>
  <c r="AO103" i="8" s="1"/>
  <c r="AN111" i="8"/>
  <c r="AM111" i="8"/>
  <c r="AM117" i="8" s="1"/>
  <c r="AL111" i="8"/>
  <c r="AL117" i="8" s="1"/>
  <c r="AK111" i="8"/>
  <c r="AK117" i="8" s="1"/>
  <c r="AJ111" i="8"/>
  <c r="AJ117" i="8" s="1"/>
  <c r="AI111" i="8"/>
  <c r="AH111" i="8"/>
  <c r="AH103" i="8" s="1"/>
  <c r="AG111" i="8"/>
  <c r="AG103" i="8" s="1"/>
  <c r="AF111" i="8"/>
  <c r="AE111" i="8"/>
  <c r="AE117" i="8" s="1"/>
  <c r="AD111" i="8"/>
  <c r="AD117" i="8" s="1"/>
  <c r="AB111" i="8"/>
  <c r="AB142" i="8" s="1"/>
  <c r="AB147" i="8" s="1"/>
  <c r="AA111" i="8"/>
  <c r="AA117" i="8" s="1"/>
  <c r="Z111" i="8"/>
  <c r="Z103" i="8" s="1"/>
  <c r="Y111" i="8"/>
  <c r="Y117" i="8" s="1"/>
  <c r="X111" i="8"/>
  <c r="W111" i="8"/>
  <c r="V111" i="8"/>
  <c r="V117" i="8" s="1"/>
  <c r="U111" i="8"/>
  <c r="T111" i="8"/>
  <c r="T142" i="8" s="1"/>
  <c r="T147" i="8" s="1"/>
  <c r="S111" i="8"/>
  <c r="S117" i="8" s="1"/>
  <c r="R111" i="8"/>
  <c r="R103" i="8" s="1"/>
  <c r="Q111" i="8"/>
  <c r="P111" i="8"/>
  <c r="O111" i="8"/>
  <c r="O117" i="8" s="1"/>
  <c r="N111" i="8"/>
  <c r="N117" i="8" s="1"/>
  <c r="M111" i="8"/>
  <c r="M117" i="8" s="1"/>
  <c r="L111" i="8"/>
  <c r="K111" i="8"/>
  <c r="K117" i="8" s="1"/>
  <c r="J111" i="8"/>
  <c r="I111" i="8"/>
  <c r="I103" i="8" s="1"/>
  <c r="H111" i="8"/>
  <c r="G111" i="8"/>
  <c r="G117" i="8" s="1"/>
  <c r="F111" i="8"/>
  <c r="F117" i="8" s="1"/>
  <c r="E111" i="8"/>
  <c r="BW103" i="8"/>
  <c r="BS103" i="8"/>
  <c r="BR103" i="8"/>
  <c r="BQ103" i="8"/>
  <c r="BP103" i="8"/>
  <c r="BK103" i="8"/>
  <c r="BJ103" i="8"/>
  <c r="BI103" i="8"/>
  <c r="BH103" i="8"/>
  <c r="BG103" i="8"/>
  <c r="BC103" i="8"/>
  <c r="BB103" i="8"/>
  <c r="BA103" i="8"/>
  <c r="AZ103" i="8"/>
  <c r="AY103" i="8"/>
  <c r="AU103" i="8"/>
  <c r="AT103" i="8"/>
  <c r="AS103" i="8"/>
  <c r="AR103" i="8"/>
  <c r="AQ103" i="8"/>
  <c r="AM103" i="8"/>
  <c r="AL103" i="8"/>
  <c r="AK103" i="8"/>
  <c r="AJ103" i="8"/>
  <c r="AI103" i="8"/>
  <c r="AE103" i="8"/>
  <c r="AD103" i="8"/>
  <c r="AB103" i="8"/>
  <c r="AA103" i="8"/>
  <c r="W103" i="8"/>
  <c r="V103" i="8"/>
  <c r="U103" i="8"/>
  <c r="T103" i="8"/>
  <c r="S103" i="8"/>
  <c r="O103" i="8"/>
  <c r="N103" i="8"/>
  <c r="L103" i="8"/>
  <c r="K103" i="8"/>
  <c r="G103" i="8"/>
  <c r="F103" i="8"/>
  <c r="BY95" i="8"/>
  <c r="BY94" i="8"/>
  <c r="BY93" i="8"/>
  <c r="BY92" i="8"/>
  <c r="BX89" i="8"/>
  <c r="BW89" i="8"/>
  <c r="BV89" i="8"/>
  <c r="BU89" i="8"/>
  <c r="BT89" i="8"/>
  <c r="BS89" i="8"/>
  <c r="BR89" i="8"/>
  <c r="BQ89" i="8"/>
  <c r="BP89" i="8"/>
  <c r="BO89" i="8"/>
  <c r="BN89" i="8"/>
  <c r="BM89" i="8"/>
  <c r="BL89" i="8"/>
  <c r="BK89" i="8"/>
  <c r="BJ89" i="8"/>
  <c r="BI89" i="8"/>
  <c r="BH89" i="8"/>
  <c r="BG89" i="8"/>
  <c r="BF89" i="8"/>
  <c r="BE89" i="8"/>
  <c r="BD89" i="8"/>
  <c r="BC89" i="8"/>
  <c r="BB89" i="8"/>
  <c r="BA89" i="8"/>
  <c r="AZ89" i="8"/>
  <c r="AY89" i="8"/>
  <c r="AX89" i="8"/>
  <c r="AW89" i="8"/>
  <c r="AV89" i="8"/>
  <c r="AU89" i="8"/>
  <c r="AT89" i="8"/>
  <c r="AS89" i="8"/>
  <c r="AR89" i="8"/>
  <c r="AQ89" i="8"/>
  <c r="AP89" i="8"/>
  <c r="AO89" i="8"/>
  <c r="AN89" i="8"/>
  <c r="AM89" i="8"/>
  <c r="AL89" i="8"/>
  <c r="AK89" i="8"/>
  <c r="AJ89" i="8"/>
  <c r="AI89" i="8"/>
  <c r="AH89" i="8"/>
  <c r="AG89" i="8"/>
  <c r="AF89" i="8"/>
  <c r="AE89" i="8"/>
  <c r="AD89" i="8"/>
  <c r="AB89" i="8"/>
  <c r="AA89" i="8"/>
  <c r="Z89" i="8"/>
  <c r="Y89" i="8"/>
  <c r="X89" i="8"/>
  <c r="W89" i="8"/>
  <c r="V89" i="8"/>
  <c r="U89" i="8"/>
  <c r="T89" i="8"/>
  <c r="S89" i="8"/>
  <c r="R89" i="8"/>
  <c r="Q89" i="8"/>
  <c r="P89" i="8"/>
  <c r="O89" i="8"/>
  <c r="N89" i="8"/>
  <c r="M89" i="8"/>
  <c r="L89" i="8"/>
  <c r="K89" i="8"/>
  <c r="J89" i="8"/>
  <c r="I89" i="8"/>
  <c r="H89" i="8"/>
  <c r="G89" i="8"/>
  <c r="F89" i="8"/>
  <c r="E89" i="8"/>
  <c r="BY88" i="8"/>
  <c r="BY87" i="8"/>
  <c r="BX86" i="8"/>
  <c r="BW86" i="8"/>
  <c r="BV86" i="8"/>
  <c r="BU86" i="8"/>
  <c r="BT86" i="8"/>
  <c r="BS86" i="8"/>
  <c r="BR86" i="8"/>
  <c r="BQ86" i="8"/>
  <c r="BP86" i="8"/>
  <c r="BO86" i="8"/>
  <c r="BN86" i="8"/>
  <c r="BM86" i="8"/>
  <c r="BL86" i="8"/>
  <c r="BK86" i="8"/>
  <c r="BJ86" i="8"/>
  <c r="BI86" i="8"/>
  <c r="BH86" i="8"/>
  <c r="BG86" i="8"/>
  <c r="BF86" i="8"/>
  <c r="BE86" i="8"/>
  <c r="BD86" i="8"/>
  <c r="BC86" i="8"/>
  <c r="BB86" i="8"/>
  <c r="BA86" i="8"/>
  <c r="AZ86" i="8"/>
  <c r="AY86" i="8"/>
  <c r="AX86" i="8"/>
  <c r="AW86" i="8"/>
  <c r="AV86" i="8"/>
  <c r="AU86" i="8"/>
  <c r="AT86" i="8"/>
  <c r="AS86" i="8"/>
  <c r="AR86" i="8"/>
  <c r="AQ86" i="8"/>
  <c r="AP86" i="8"/>
  <c r="AO86" i="8"/>
  <c r="AN86" i="8"/>
  <c r="AM86" i="8"/>
  <c r="AL86" i="8"/>
  <c r="AK86" i="8"/>
  <c r="AJ86" i="8"/>
  <c r="AI86" i="8"/>
  <c r="AH86" i="8"/>
  <c r="AG86" i="8"/>
  <c r="AF86" i="8"/>
  <c r="AE86" i="8"/>
  <c r="AD86" i="8"/>
  <c r="AC86" i="8"/>
  <c r="AB86" i="8"/>
  <c r="AA86" i="8"/>
  <c r="Z86" i="8"/>
  <c r="Y86" i="8"/>
  <c r="X86" i="8"/>
  <c r="W86" i="8"/>
  <c r="V86" i="8"/>
  <c r="U86" i="8"/>
  <c r="T86" i="8"/>
  <c r="S86" i="8"/>
  <c r="R86" i="8"/>
  <c r="Q86" i="8"/>
  <c r="P86" i="8"/>
  <c r="O86" i="8"/>
  <c r="N86" i="8"/>
  <c r="M86" i="8"/>
  <c r="L86" i="8"/>
  <c r="K86" i="8"/>
  <c r="J86" i="8"/>
  <c r="I86" i="8"/>
  <c r="H86" i="8"/>
  <c r="G86" i="8"/>
  <c r="F86" i="8"/>
  <c r="E86" i="8"/>
  <c r="BY85" i="8"/>
  <c r="BY84" i="8"/>
  <c r="BY83" i="8"/>
  <c r="BY82" i="8"/>
  <c r="BY81" i="8"/>
  <c r="BY80" i="8"/>
  <c r="BY78" i="8"/>
  <c r="BY77" i="8"/>
  <c r="BY76" i="8"/>
  <c r="BY75" i="8"/>
  <c r="BY74" i="8"/>
  <c r="BY73" i="8"/>
  <c r="BY72" i="8"/>
  <c r="BY71" i="8"/>
  <c r="BY70" i="8"/>
  <c r="BY69" i="8"/>
  <c r="BY68" i="8"/>
  <c r="BY67" i="8"/>
  <c r="BY66" i="8"/>
  <c r="BY65" i="8"/>
  <c r="BY64" i="8"/>
  <c r="BY63" i="8"/>
  <c r="BX62" i="8"/>
  <c r="BW62" i="8"/>
  <c r="BV62" i="8"/>
  <c r="BU62" i="8"/>
  <c r="BT62" i="8"/>
  <c r="BS62" i="8"/>
  <c r="BR62" i="8"/>
  <c r="BQ62" i="8"/>
  <c r="BP62" i="8"/>
  <c r="BO62" i="8"/>
  <c r="BN62" i="8"/>
  <c r="BM62" i="8"/>
  <c r="BL62" i="8"/>
  <c r="BK62" i="8"/>
  <c r="BJ62" i="8"/>
  <c r="BI62" i="8"/>
  <c r="BH62" i="8"/>
  <c r="BG62" i="8"/>
  <c r="BF62" i="8"/>
  <c r="BE62" i="8"/>
  <c r="BD62" i="8"/>
  <c r="BC62" i="8"/>
  <c r="BB62" i="8"/>
  <c r="BA62" i="8"/>
  <c r="AZ62" i="8"/>
  <c r="AY62" i="8"/>
  <c r="AX62" i="8"/>
  <c r="AW62" i="8"/>
  <c r="AV62" i="8"/>
  <c r="AU62" i="8"/>
  <c r="AT62" i="8"/>
  <c r="AS62" i="8"/>
  <c r="AR62" i="8"/>
  <c r="AQ62" i="8"/>
  <c r="AP62" i="8"/>
  <c r="AO62" i="8"/>
  <c r="AN62" i="8"/>
  <c r="AM62" i="8"/>
  <c r="AL62" i="8"/>
  <c r="AK62" i="8"/>
  <c r="AJ62" i="8"/>
  <c r="AI62" i="8"/>
  <c r="AH62" i="8"/>
  <c r="AG62" i="8"/>
  <c r="AF62" i="8"/>
  <c r="AE62" i="8"/>
  <c r="AD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U61" i="8"/>
  <c r="U54" i="8" s="1"/>
  <c r="BY60" i="8"/>
  <c r="D60" i="8"/>
  <c r="BY59" i="8"/>
  <c r="BY58" i="8"/>
  <c r="BY57" i="8"/>
  <c r="BX54" i="8"/>
  <c r="BW54" i="8"/>
  <c r="BV54" i="8"/>
  <c r="BU54" i="8"/>
  <c r="BT54" i="8"/>
  <c r="BS54" i="8"/>
  <c r="BR54" i="8"/>
  <c r="BQ54" i="8"/>
  <c r="BP54" i="8"/>
  <c r="BO54" i="8"/>
  <c r="BN54" i="8"/>
  <c r="BM54" i="8"/>
  <c r="BL54" i="8"/>
  <c r="BK54" i="8"/>
  <c r="BJ54" i="8"/>
  <c r="BI54" i="8"/>
  <c r="BH54" i="8"/>
  <c r="BG54" i="8"/>
  <c r="BF54" i="8"/>
  <c r="BE54" i="8"/>
  <c r="BD54" i="8"/>
  <c r="BC54" i="8"/>
  <c r="BB54" i="8"/>
  <c r="BA54" i="8"/>
  <c r="AZ54" i="8"/>
  <c r="AY54" i="8"/>
  <c r="AX54" i="8"/>
  <c r="AW54" i="8"/>
  <c r="AV54" i="8"/>
  <c r="AU54" i="8"/>
  <c r="AT54" i="8"/>
  <c r="AS54" i="8"/>
  <c r="AR54" i="8"/>
  <c r="AQ54" i="8"/>
  <c r="AP54" i="8"/>
  <c r="AO54" i="8"/>
  <c r="AN54" i="8"/>
  <c r="AM54" i="8"/>
  <c r="AL54" i="8"/>
  <c r="AK54" i="8"/>
  <c r="AJ54" i="8"/>
  <c r="AI54" i="8"/>
  <c r="AH54" i="8"/>
  <c r="AG54" i="8"/>
  <c r="AF54" i="8"/>
  <c r="AE54" i="8"/>
  <c r="AD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BY53" i="8"/>
  <c r="BY51" i="8"/>
  <c r="BX48" i="8"/>
  <c r="BW48" i="8"/>
  <c r="BV48" i="8"/>
  <c r="BU48" i="8"/>
  <c r="BT48" i="8"/>
  <c r="BS48" i="8"/>
  <c r="BR48" i="8"/>
  <c r="BQ48" i="8"/>
  <c r="BP48" i="8"/>
  <c r="BO48" i="8"/>
  <c r="BN48" i="8"/>
  <c r="BM48" i="8"/>
  <c r="BL48" i="8"/>
  <c r="BK48" i="8"/>
  <c r="BJ48" i="8"/>
  <c r="BI48" i="8"/>
  <c r="BH48" i="8"/>
  <c r="BG48" i="8"/>
  <c r="BF48" i="8"/>
  <c r="BE48" i="8"/>
  <c r="BD48" i="8"/>
  <c r="BC48" i="8"/>
  <c r="BB48" i="8"/>
  <c r="BA48" i="8"/>
  <c r="AZ48" i="8"/>
  <c r="AY48" i="8"/>
  <c r="AX48" i="8"/>
  <c r="AW48" i="8"/>
  <c r="AV48" i="8"/>
  <c r="AU48" i="8"/>
  <c r="AT48" i="8"/>
  <c r="AS48" i="8"/>
  <c r="AR48" i="8"/>
  <c r="AQ48" i="8"/>
  <c r="AP48" i="8"/>
  <c r="AO48" i="8"/>
  <c r="AN48" i="8"/>
  <c r="AM48" i="8"/>
  <c r="AL48" i="8"/>
  <c r="AK48" i="8"/>
  <c r="AJ48" i="8"/>
  <c r="AI48" i="8"/>
  <c r="AH48" i="8"/>
  <c r="AG48" i="8"/>
  <c r="AF48" i="8"/>
  <c r="AE48" i="8"/>
  <c r="AD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BY47" i="8"/>
  <c r="BY46" i="8"/>
  <c r="CB44" i="8"/>
  <c r="CB43" i="8"/>
  <c r="CB85" i="8" s="1" a="1"/>
  <c r="CB85" i="8" s="1"/>
  <c r="BY42" i="8"/>
  <c r="CB41" i="8"/>
  <c r="CB84" i="8" s="1"/>
  <c r="BY41" i="8"/>
  <c r="CB40" i="8"/>
  <c r="CB83" i="8" s="1"/>
  <c r="CB39" i="8"/>
  <c r="CB82" i="8" s="1"/>
  <c r="BX38" i="8"/>
  <c r="BW38" i="8"/>
  <c r="BV38" i="8"/>
  <c r="BU38" i="8"/>
  <c r="BT38" i="8"/>
  <c r="BS38" i="8"/>
  <c r="BR38" i="8"/>
  <c r="BQ38" i="8"/>
  <c r="BP38" i="8"/>
  <c r="BO38" i="8"/>
  <c r="BN38" i="8"/>
  <c r="BM38" i="8"/>
  <c r="BL38" i="8"/>
  <c r="BK38" i="8"/>
  <c r="BJ38" i="8"/>
  <c r="BI38" i="8"/>
  <c r="BH38" i="8"/>
  <c r="BG38" i="8"/>
  <c r="BF38" i="8"/>
  <c r="BE38" i="8"/>
  <c r="BD38" i="8"/>
  <c r="BC38" i="8"/>
  <c r="BB38" i="8"/>
  <c r="BA38" i="8"/>
  <c r="AZ38" i="8"/>
  <c r="AY38" i="8"/>
  <c r="AX38" i="8"/>
  <c r="AW38" i="8"/>
  <c r="AV38" i="8"/>
  <c r="AU38" i="8"/>
  <c r="AT38" i="8"/>
  <c r="AS38" i="8"/>
  <c r="AR38" i="8"/>
  <c r="AQ38" i="8"/>
  <c r="AP38" i="8"/>
  <c r="AO38" i="8"/>
  <c r="AN38" i="8"/>
  <c r="AM38" i="8"/>
  <c r="AL38" i="8"/>
  <c r="AK38" i="8"/>
  <c r="AJ38" i="8"/>
  <c r="AI38" i="8"/>
  <c r="AH38" i="8"/>
  <c r="AG38" i="8"/>
  <c r="AF38" i="8"/>
  <c r="AE38" i="8"/>
  <c r="AE15" i="8" s="1"/>
  <c r="AD38" i="8"/>
  <c r="R38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CB37" i="8"/>
  <c r="CB80" i="8" s="1"/>
  <c r="BY37" i="8"/>
  <c r="CB36" i="8"/>
  <c r="CB79" i="8" s="1"/>
  <c r="BY36" i="8"/>
  <c r="BX35" i="8"/>
  <c r="BW35" i="8"/>
  <c r="BV35" i="8"/>
  <c r="BU35" i="8"/>
  <c r="BT35" i="8"/>
  <c r="BS35" i="8"/>
  <c r="BR35" i="8"/>
  <c r="BQ35" i="8"/>
  <c r="BP35" i="8"/>
  <c r="BO35" i="8"/>
  <c r="BN35" i="8"/>
  <c r="BM35" i="8"/>
  <c r="BL35" i="8"/>
  <c r="BK35" i="8"/>
  <c r="BJ35" i="8"/>
  <c r="BI35" i="8"/>
  <c r="BH35" i="8"/>
  <c r="BG35" i="8"/>
  <c r="BF35" i="8"/>
  <c r="BE35" i="8"/>
  <c r="BD35" i="8"/>
  <c r="BC35" i="8"/>
  <c r="BB35" i="8"/>
  <c r="BA35" i="8"/>
  <c r="AZ35" i="8"/>
  <c r="AY35" i="8"/>
  <c r="AX35" i="8"/>
  <c r="AW35" i="8"/>
  <c r="AV35" i="8"/>
  <c r="AU35" i="8"/>
  <c r="AT35" i="8"/>
  <c r="AS35" i="8"/>
  <c r="AR35" i="8"/>
  <c r="AQ35" i="8"/>
  <c r="AP35" i="8"/>
  <c r="AO35" i="8"/>
  <c r="AN35" i="8"/>
  <c r="AM35" i="8"/>
  <c r="AL35" i="8"/>
  <c r="AK35" i="8"/>
  <c r="AJ35" i="8"/>
  <c r="AI35" i="8"/>
  <c r="AH35" i="8"/>
  <c r="AG35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CB34" i="8"/>
  <c r="CB77" i="8" s="1"/>
  <c r="CB33" i="8"/>
  <c r="CB76" i="8" s="1"/>
  <c r="BY33" i="8"/>
  <c r="CB32" i="8"/>
  <c r="CB75" i="8" s="1"/>
  <c r="CB31" i="8"/>
  <c r="CB74" i="8" s="1"/>
  <c r="BY31" i="8"/>
  <c r="CB30" i="8"/>
  <c r="CB73" i="8" s="1"/>
  <c r="BY30" i="8"/>
  <c r="CB29" i="8"/>
  <c r="CB72" i="8" s="1"/>
  <c r="BY29" i="8"/>
  <c r="CB28" i="8"/>
  <c r="CB71" i="8" s="1"/>
  <c r="BX27" i="8"/>
  <c r="BW27" i="8"/>
  <c r="BV27" i="8"/>
  <c r="BU27" i="8"/>
  <c r="BT27" i="8"/>
  <c r="BS27" i="8"/>
  <c r="BR27" i="8"/>
  <c r="BQ27" i="8"/>
  <c r="BP27" i="8"/>
  <c r="BO27" i="8"/>
  <c r="BN27" i="8"/>
  <c r="BM27" i="8"/>
  <c r="BL27" i="8"/>
  <c r="BK27" i="8"/>
  <c r="BJ27" i="8"/>
  <c r="BI27" i="8"/>
  <c r="BH27" i="8"/>
  <c r="BG27" i="8"/>
  <c r="BF27" i="8"/>
  <c r="BE27" i="8"/>
  <c r="BD27" i="8"/>
  <c r="BC27" i="8"/>
  <c r="BB27" i="8"/>
  <c r="BA27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N27" i="8"/>
  <c r="AM27" i="8"/>
  <c r="AL27" i="8"/>
  <c r="AK27" i="8"/>
  <c r="AJ27" i="8"/>
  <c r="AI27" i="8"/>
  <c r="AH27" i="8"/>
  <c r="AG27" i="8"/>
  <c r="AF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CB26" i="8"/>
  <c r="CB69" i="8" s="1"/>
  <c r="BY26" i="8"/>
  <c r="CB25" i="8"/>
  <c r="CB68" i="8" s="1"/>
  <c r="BY25" i="8"/>
  <c r="BY24" i="8" s="1"/>
  <c r="BX24" i="8"/>
  <c r="BW24" i="8"/>
  <c r="BV24" i="8"/>
  <c r="BU24" i="8"/>
  <c r="BT24" i="8"/>
  <c r="BS24" i="8"/>
  <c r="BR24" i="8"/>
  <c r="BQ24" i="8"/>
  <c r="BP24" i="8"/>
  <c r="BO24" i="8"/>
  <c r="BN24" i="8"/>
  <c r="BM24" i="8"/>
  <c r="BL24" i="8"/>
  <c r="BK24" i="8"/>
  <c r="BJ24" i="8"/>
  <c r="BI24" i="8"/>
  <c r="BH24" i="8"/>
  <c r="BG24" i="8"/>
  <c r="BF24" i="8"/>
  <c r="BE24" i="8"/>
  <c r="BD24" i="8"/>
  <c r="BC24" i="8"/>
  <c r="BB24" i="8"/>
  <c r="BA24" i="8"/>
  <c r="AZ24" i="8"/>
  <c r="AY24" i="8"/>
  <c r="AX24" i="8"/>
  <c r="AW24" i="8"/>
  <c r="AV24" i="8"/>
  <c r="AU24" i="8"/>
  <c r="AT24" i="8"/>
  <c r="AS24" i="8"/>
  <c r="AR24" i="8"/>
  <c r="AQ24" i="8"/>
  <c r="AP24" i="8"/>
  <c r="AO24" i="8"/>
  <c r="AN24" i="8"/>
  <c r="AM24" i="8"/>
  <c r="AL24" i="8"/>
  <c r="AK24" i="8"/>
  <c r="AJ24" i="8"/>
  <c r="AI24" i="8"/>
  <c r="AH24" i="8"/>
  <c r="AG24" i="8"/>
  <c r="AF24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BY23" i="8"/>
  <c r="BY22" i="8"/>
  <c r="BY21" i="8"/>
  <c r="BY20" i="8"/>
  <c r="BY19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BY16" i="8"/>
  <c r="CB16" i="8" s="1"/>
  <c r="AD15" i="8"/>
  <c r="BY12" i="8"/>
  <c r="AB11" i="8"/>
  <c r="AA11" i="8"/>
  <c r="Z11" i="8"/>
  <c r="Y11" i="8"/>
  <c r="X11" i="8"/>
  <c r="W11" i="8"/>
  <c r="V11" i="8"/>
  <c r="AC61" i="8" s="1"/>
  <c r="BY9" i="8"/>
  <c r="BY8" i="8"/>
  <c r="CB8" i="8" s="1"/>
  <c r="CB52" i="8" s="1"/>
  <c r="BY7" i="8"/>
  <c r="BY6" i="8"/>
  <c r="CB6" i="8" s="1"/>
  <c r="CB50" i="8" s="1"/>
  <c r="BY5" i="8"/>
  <c r="AC90" i="8" s="1"/>
  <c r="D168" i="7"/>
  <c r="BX161" i="7"/>
  <c r="BW161" i="7"/>
  <c r="BV161" i="7"/>
  <c r="BU161" i="7"/>
  <c r="BT161" i="7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S161" i="7"/>
  <c r="R161" i="7"/>
  <c r="Q161" i="7"/>
  <c r="P161" i="7"/>
  <c r="O161" i="7"/>
  <c r="N161" i="7"/>
  <c r="M161" i="7"/>
  <c r="L161" i="7"/>
  <c r="K161" i="7"/>
  <c r="J161" i="7"/>
  <c r="I161" i="7"/>
  <c r="H161" i="7"/>
  <c r="G161" i="7"/>
  <c r="F161" i="7"/>
  <c r="E161" i="7"/>
  <c r="BX159" i="7"/>
  <c r="BW159" i="7"/>
  <c r="BV159" i="7"/>
  <c r="BU159" i="7"/>
  <c r="BT159" i="7"/>
  <c r="BS159" i="7"/>
  <c r="BR159" i="7"/>
  <c r="BQ159" i="7"/>
  <c r="BP159" i="7"/>
  <c r="BO159" i="7"/>
  <c r="BN159" i="7"/>
  <c r="BM159" i="7"/>
  <c r="BL159" i="7"/>
  <c r="BK159" i="7"/>
  <c r="BJ159" i="7"/>
  <c r="BI159" i="7"/>
  <c r="BH159" i="7"/>
  <c r="BG159" i="7"/>
  <c r="BF159" i="7"/>
  <c r="BE159" i="7"/>
  <c r="BD159" i="7"/>
  <c r="BC159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J159" i="7"/>
  <c r="I159" i="7"/>
  <c r="H159" i="7"/>
  <c r="G159" i="7"/>
  <c r="F159" i="7"/>
  <c r="E159" i="7"/>
  <c r="D151" i="7"/>
  <c r="BX144" i="7"/>
  <c r="BW144" i="7"/>
  <c r="BV144" i="7"/>
  <c r="BU144" i="7"/>
  <c r="BT144" i="7"/>
  <c r="BS144" i="7"/>
  <c r="BR144" i="7"/>
  <c r="BQ144" i="7"/>
  <c r="BP144" i="7"/>
  <c r="BO144" i="7"/>
  <c r="BN144" i="7"/>
  <c r="BM144" i="7"/>
  <c r="BL144" i="7"/>
  <c r="BK144" i="7"/>
  <c r="BJ144" i="7"/>
  <c r="BI144" i="7"/>
  <c r="BH144" i="7"/>
  <c r="BG144" i="7"/>
  <c r="BF144" i="7"/>
  <c r="BE144" i="7"/>
  <c r="BD144" i="7"/>
  <c r="BC144" i="7"/>
  <c r="BB144" i="7"/>
  <c r="BA144" i="7"/>
  <c r="AZ144" i="7"/>
  <c r="AY144" i="7"/>
  <c r="AX144" i="7"/>
  <c r="AW144" i="7"/>
  <c r="AV144" i="7"/>
  <c r="AU144" i="7"/>
  <c r="AT144" i="7"/>
  <c r="AS144" i="7"/>
  <c r="AR144" i="7"/>
  <c r="AQ144" i="7"/>
  <c r="AP144" i="7"/>
  <c r="AO144" i="7"/>
  <c r="AN144" i="7"/>
  <c r="AM144" i="7"/>
  <c r="AL144" i="7"/>
  <c r="AK144" i="7"/>
  <c r="AF144" i="7"/>
  <c r="AE144" i="7"/>
  <c r="AD144" i="7"/>
  <c r="AC144" i="7"/>
  <c r="D153" i="7" s="1"/>
  <c r="AB144" i="7"/>
  <c r="AA144" i="7"/>
  <c r="Z144" i="7"/>
  <c r="Y144" i="7"/>
  <c r="X144" i="7"/>
  <c r="W144" i="7"/>
  <c r="V144" i="7"/>
  <c r="U144" i="7"/>
  <c r="T144" i="7"/>
  <c r="S144" i="7"/>
  <c r="R144" i="7"/>
  <c r="Q144" i="7"/>
  <c r="P144" i="7"/>
  <c r="O144" i="7"/>
  <c r="N144" i="7"/>
  <c r="M144" i="7"/>
  <c r="L144" i="7"/>
  <c r="K144" i="7"/>
  <c r="J144" i="7"/>
  <c r="I144" i="7"/>
  <c r="H144" i="7"/>
  <c r="G144" i="7"/>
  <c r="F144" i="7"/>
  <c r="E144" i="7"/>
  <c r="BX142" i="7"/>
  <c r="BW142" i="7"/>
  <c r="BV142" i="7"/>
  <c r="BU142" i="7"/>
  <c r="BT142" i="7"/>
  <c r="BS142" i="7"/>
  <c r="BR142" i="7"/>
  <c r="BQ142" i="7"/>
  <c r="BP142" i="7"/>
  <c r="BO142" i="7"/>
  <c r="BN142" i="7"/>
  <c r="BM142" i="7"/>
  <c r="BL142" i="7"/>
  <c r="BK142" i="7"/>
  <c r="BJ142" i="7"/>
  <c r="BI142" i="7"/>
  <c r="BH142" i="7"/>
  <c r="BG142" i="7"/>
  <c r="BF142" i="7"/>
  <c r="BE142" i="7"/>
  <c r="BD142" i="7"/>
  <c r="BC142" i="7"/>
  <c r="BB142" i="7"/>
  <c r="BA142" i="7"/>
  <c r="AZ142" i="7"/>
  <c r="AY142" i="7"/>
  <c r="AX142" i="7"/>
  <c r="AW142" i="7"/>
  <c r="AV142" i="7"/>
  <c r="AU142" i="7"/>
  <c r="AT142" i="7"/>
  <c r="AS142" i="7"/>
  <c r="AR142" i="7"/>
  <c r="AQ142" i="7"/>
  <c r="AP142" i="7"/>
  <c r="AO142" i="7"/>
  <c r="AN142" i="7"/>
  <c r="AM142" i="7"/>
  <c r="AL142" i="7"/>
  <c r="AK142" i="7"/>
  <c r="AF142" i="7"/>
  <c r="AE142" i="7"/>
  <c r="AD142" i="7"/>
  <c r="AC142" i="7"/>
  <c r="AB142" i="7"/>
  <c r="AA142" i="7"/>
  <c r="Z142" i="7"/>
  <c r="Y142" i="7"/>
  <c r="X142" i="7"/>
  <c r="W142" i="7"/>
  <c r="V142" i="7"/>
  <c r="U142" i="7"/>
  <c r="T142" i="7"/>
  <c r="S142" i="7"/>
  <c r="R142" i="7"/>
  <c r="Q142" i="7"/>
  <c r="P142" i="7"/>
  <c r="O142" i="7"/>
  <c r="N142" i="7"/>
  <c r="M142" i="7"/>
  <c r="L142" i="7"/>
  <c r="K142" i="7"/>
  <c r="J142" i="7"/>
  <c r="I142" i="7"/>
  <c r="H142" i="7"/>
  <c r="G142" i="7"/>
  <c r="F142" i="7"/>
  <c r="E142" i="7"/>
  <c r="BX128" i="7"/>
  <c r="BW128" i="7"/>
  <c r="BV128" i="7"/>
  <c r="BU128" i="7"/>
  <c r="BT128" i="7"/>
  <c r="BS128" i="7"/>
  <c r="BR128" i="7"/>
  <c r="BQ128" i="7"/>
  <c r="BP128" i="7"/>
  <c r="BO128" i="7"/>
  <c r="BN128" i="7"/>
  <c r="BM128" i="7"/>
  <c r="BL128" i="7"/>
  <c r="BK128" i="7"/>
  <c r="BJ128" i="7"/>
  <c r="BI128" i="7"/>
  <c r="BH128" i="7"/>
  <c r="BG128" i="7"/>
  <c r="BF128" i="7"/>
  <c r="BE128" i="7"/>
  <c r="BD128" i="7"/>
  <c r="BC128" i="7"/>
  <c r="BB128" i="7"/>
  <c r="BA128" i="7"/>
  <c r="AZ128" i="7"/>
  <c r="AY128" i="7"/>
  <c r="AX128" i="7"/>
  <c r="AW128" i="7"/>
  <c r="AV128" i="7"/>
  <c r="AU128" i="7"/>
  <c r="AT128" i="7"/>
  <c r="AS128" i="7"/>
  <c r="AR128" i="7"/>
  <c r="AQ128" i="7"/>
  <c r="AP128" i="7"/>
  <c r="AO128" i="7"/>
  <c r="AN128" i="7"/>
  <c r="AM128" i="7"/>
  <c r="AL128" i="7"/>
  <c r="AK128" i="7"/>
  <c r="AH128" i="7"/>
  <c r="AG128" i="7"/>
  <c r="AF128" i="7"/>
  <c r="AE128" i="7"/>
  <c r="AD128" i="7"/>
  <c r="AC128" i="7"/>
  <c r="AB128" i="7"/>
  <c r="AA128" i="7"/>
  <c r="Z128" i="7"/>
  <c r="Y128" i="7"/>
  <c r="X128" i="7"/>
  <c r="W128" i="7"/>
  <c r="U128" i="7"/>
  <c r="T128" i="7"/>
  <c r="S128" i="7"/>
  <c r="R128" i="7"/>
  <c r="Q128" i="7"/>
  <c r="P128" i="7"/>
  <c r="O128" i="7"/>
  <c r="N128" i="7"/>
  <c r="M128" i="7"/>
  <c r="L128" i="7"/>
  <c r="K128" i="7"/>
  <c r="J128" i="7"/>
  <c r="I128" i="7"/>
  <c r="H128" i="7"/>
  <c r="G128" i="7"/>
  <c r="F128" i="7"/>
  <c r="E128" i="7"/>
  <c r="BX126" i="7"/>
  <c r="BW126" i="7"/>
  <c r="BV126" i="7"/>
  <c r="BU126" i="7"/>
  <c r="BT126" i="7"/>
  <c r="BS126" i="7"/>
  <c r="BR126" i="7"/>
  <c r="BQ126" i="7"/>
  <c r="BP126" i="7"/>
  <c r="BO126" i="7"/>
  <c r="BN126" i="7"/>
  <c r="BM126" i="7"/>
  <c r="BL126" i="7"/>
  <c r="BK126" i="7"/>
  <c r="BJ126" i="7"/>
  <c r="BI126" i="7"/>
  <c r="BH126" i="7"/>
  <c r="BG126" i="7"/>
  <c r="BF126" i="7"/>
  <c r="BE126" i="7"/>
  <c r="BD126" i="7"/>
  <c r="BC126" i="7"/>
  <c r="BB126" i="7"/>
  <c r="BA126" i="7"/>
  <c r="AZ126" i="7"/>
  <c r="AY126" i="7"/>
  <c r="AX126" i="7"/>
  <c r="AW126" i="7"/>
  <c r="AV126" i="7"/>
  <c r="AU126" i="7"/>
  <c r="AT126" i="7"/>
  <c r="AS126" i="7"/>
  <c r="AR126" i="7"/>
  <c r="AQ126" i="7"/>
  <c r="AP126" i="7"/>
  <c r="AO126" i="7"/>
  <c r="AN126" i="7"/>
  <c r="AM126" i="7"/>
  <c r="AL126" i="7"/>
  <c r="AK126" i="7"/>
  <c r="AH126" i="7"/>
  <c r="AG126" i="7"/>
  <c r="AF126" i="7"/>
  <c r="AE126" i="7"/>
  <c r="AD126" i="7"/>
  <c r="AC126" i="7"/>
  <c r="AB126" i="7"/>
  <c r="AA126" i="7"/>
  <c r="Z126" i="7"/>
  <c r="Y126" i="7"/>
  <c r="X126" i="7"/>
  <c r="W126" i="7"/>
  <c r="V126" i="7"/>
  <c r="U126" i="7"/>
  <c r="T126" i="7"/>
  <c r="S126" i="7"/>
  <c r="R126" i="7"/>
  <c r="Q126" i="7"/>
  <c r="P126" i="7"/>
  <c r="O126" i="7"/>
  <c r="N126" i="7"/>
  <c r="M126" i="7"/>
  <c r="L126" i="7"/>
  <c r="K126" i="7"/>
  <c r="J126" i="7"/>
  <c r="I126" i="7"/>
  <c r="H126" i="7"/>
  <c r="G126" i="7"/>
  <c r="F126" i="7"/>
  <c r="E126" i="7"/>
  <c r="BX113" i="7"/>
  <c r="BW113" i="7"/>
  <c r="BV113" i="7"/>
  <c r="BU113" i="7"/>
  <c r="BT113" i="7"/>
  <c r="BS113" i="7"/>
  <c r="BR113" i="7"/>
  <c r="BQ113" i="7"/>
  <c r="BP113" i="7"/>
  <c r="BO113" i="7"/>
  <c r="BN113" i="7"/>
  <c r="BM113" i="7"/>
  <c r="BL113" i="7"/>
  <c r="BK113" i="7"/>
  <c r="BJ113" i="7"/>
  <c r="BI113" i="7"/>
  <c r="BH113" i="7"/>
  <c r="BG113" i="7"/>
  <c r="BF113" i="7"/>
  <c r="BE113" i="7"/>
  <c r="BD113" i="7"/>
  <c r="BC113" i="7"/>
  <c r="BB113" i="7"/>
  <c r="BA113" i="7"/>
  <c r="AZ113" i="7"/>
  <c r="AY113" i="7"/>
  <c r="AX113" i="7"/>
  <c r="AW113" i="7"/>
  <c r="AV113" i="7"/>
  <c r="AU113" i="7"/>
  <c r="AT113" i="7"/>
  <c r="AS113" i="7"/>
  <c r="AR113" i="7"/>
  <c r="AQ113" i="7"/>
  <c r="AP113" i="7"/>
  <c r="AO113" i="7"/>
  <c r="AN113" i="7"/>
  <c r="AM113" i="7"/>
  <c r="AL113" i="7"/>
  <c r="AK113" i="7"/>
  <c r="AJ113" i="7"/>
  <c r="AI113" i="7"/>
  <c r="AH113" i="7"/>
  <c r="AG113" i="7"/>
  <c r="AF113" i="7"/>
  <c r="AE113" i="7"/>
  <c r="AD113" i="7"/>
  <c r="AC113" i="7"/>
  <c r="AB113" i="7"/>
  <c r="AA113" i="7"/>
  <c r="Z113" i="7"/>
  <c r="Y113" i="7"/>
  <c r="X113" i="7"/>
  <c r="W113" i="7"/>
  <c r="V113" i="7"/>
  <c r="U113" i="7"/>
  <c r="T113" i="7"/>
  <c r="S113" i="7"/>
  <c r="R113" i="7"/>
  <c r="Q113" i="7"/>
  <c r="P113" i="7"/>
  <c r="O113" i="7"/>
  <c r="N113" i="7"/>
  <c r="M113" i="7"/>
  <c r="L113" i="7"/>
  <c r="K113" i="7"/>
  <c r="J113" i="7"/>
  <c r="I113" i="7"/>
  <c r="H113" i="7"/>
  <c r="G113" i="7"/>
  <c r="F113" i="7"/>
  <c r="E113" i="7"/>
  <c r="BX111" i="7"/>
  <c r="BW111" i="7"/>
  <c r="BV111" i="7"/>
  <c r="BV117" i="7" s="1"/>
  <c r="BU111" i="7"/>
  <c r="BT111" i="7"/>
  <c r="BT117" i="7" s="1"/>
  <c r="BS111" i="7"/>
  <c r="BR111" i="7"/>
  <c r="BR117" i="7" s="1"/>
  <c r="BQ111" i="7"/>
  <c r="BQ117" i="7" s="1"/>
  <c r="BP111" i="7"/>
  <c r="BO111" i="7"/>
  <c r="BO117" i="7" s="1"/>
  <c r="BN111" i="7"/>
  <c r="BM111" i="7"/>
  <c r="BL111" i="7"/>
  <c r="BL117" i="7" s="1"/>
  <c r="BK111" i="7"/>
  <c r="BJ111" i="7"/>
  <c r="BJ117" i="7" s="1"/>
  <c r="BI111" i="7"/>
  <c r="BI117" i="7" s="1"/>
  <c r="BH111" i="7"/>
  <c r="BG111" i="7"/>
  <c r="BG117" i="7" s="1"/>
  <c r="BF111" i="7"/>
  <c r="BE111" i="7"/>
  <c r="BD111" i="7"/>
  <c r="BD117" i="7" s="1"/>
  <c r="BC111" i="7"/>
  <c r="BB111" i="7"/>
  <c r="BB117" i="7" s="1"/>
  <c r="BA111" i="7"/>
  <c r="AZ111" i="7"/>
  <c r="AY111" i="7"/>
  <c r="AY117" i="7" s="1"/>
  <c r="AX111" i="7"/>
  <c r="AX117" i="7" s="1"/>
  <c r="AW111" i="7"/>
  <c r="AW117" i="7" s="1"/>
  <c r="AV111" i="7"/>
  <c r="AV117" i="7" s="1"/>
  <c r="AU111" i="7"/>
  <c r="AT111" i="7"/>
  <c r="AS111" i="7"/>
  <c r="AR111" i="7"/>
  <c r="AQ111" i="7"/>
  <c r="AQ117" i="7" s="1"/>
  <c r="AP111" i="7"/>
  <c r="AO111" i="7"/>
  <c r="AN111" i="7"/>
  <c r="AN117" i="7" s="1"/>
  <c r="AM111" i="7"/>
  <c r="AL111" i="7"/>
  <c r="AK111" i="7"/>
  <c r="AJ111" i="7"/>
  <c r="AI111" i="7"/>
  <c r="AI117" i="7" s="1"/>
  <c r="AH111" i="7"/>
  <c r="AH117" i="7" s="1"/>
  <c r="AG111" i="7"/>
  <c r="AG117" i="7" s="1"/>
  <c r="AF111" i="7"/>
  <c r="AE111" i="7"/>
  <c r="AD111" i="7"/>
  <c r="AC111" i="7"/>
  <c r="AB111" i="7"/>
  <c r="AA111" i="7"/>
  <c r="AA117" i="7" s="1"/>
  <c r="Z111" i="7"/>
  <c r="Y111" i="7"/>
  <c r="X111" i="7"/>
  <c r="X117" i="7" s="1"/>
  <c r="W111" i="7"/>
  <c r="V111" i="7"/>
  <c r="U111" i="7"/>
  <c r="T111" i="7"/>
  <c r="S111" i="7"/>
  <c r="S117" i="7" s="1"/>
  <c r="R111" i="7"/>
  <c r="R117" i="7" s="1"/>
  <c r="Q111" i="7"/>
  <c r="Q117" i="7" s="1"/>
  <c r="P111" i="7"/>
  <c r="P117" i="7" s="1"/>
  <c r="O111" i="7"/>
  <c r="N111" i="7"/>
  <c r="M111" i="7"/>
  <c r="L111" i="7"/>
  <c r="K111" i="7"/>
  <c r="K117" i="7" s="1"/>
  <c r="J111" i="7"/>
  <c r="I111" i="7"/>
  <c r="H111" i="7"/>
  <c r="H117" i="7" s="1"/>
  <c r="G111" i="7"/>
  <c r="G117" i="7" s="1"/>
  <c r="F111" i="7"/>
  <c r="F117" i="7" s="1"/>
  <c r="E111" i="7"/>
  <c r="BY95" i="7"/>
  <c r="BY94" i="7"/>
  <c r="BY93" i="7"/>
  <c r="BY92" i="7"/>
  <c r="BY90" i="7"/>
  <c r="BX89" i="7"/>
  <c r="BW89" i="7"/>
  <c r="BV89" i="7"/>
  <c r="BU89" i="7"/>
  <c r="BT89" i="7"/>
  <c r="BS89" i="7"/>
  <c r="BR89" i="7"/>
  <c r="BQ89" i="7"/>
  <c r="BP89" i="7"/>
  <c r="BO89" i="7"/>
  <c r="BN89" i="7"/>
  <c r="BM89" i="7"/>
  <c r="BL89" i="7"/>
  <c r="BK89" i="7"/>
  <c r="BJ89" i="7"/>
  <c r="BI89" i="7"/>
  <c r="BH89" i="7"/>
  <c r="BG89" i="7"/>
  <c r="BF89" i="7"/>
  <c r="BE89" i="7"/>
  <c r="BD89" i="7"/>
  <c r="BC89" i="7"/>
  <c r="BB89" i="7"/>
  <c r="BA89" i="7"/>
  <c r="AZ89" i="7"/>
  <c r="AY89" i="7"/>
  <c r="AX89" i="7"/>
  <c r="AW89" i="7"/>
  <c r="AV89" i="7"/>
  <c r="AU89" i="7"/>
  <c r="AT89" i="7"/>
  <c r="AS89" i="7"/>
  <c r="AR89" i="7"/>
  <c r="AQ89" i="7"/>
  <c r="AP89" i="7"/>
  <c r="AO89" i="7"/>
  <c r="AN89" i="7"/>
  <c r="AM89" i="7"/>
  <c r="AL89" i="7"/>
  <c r="AK89" i="7"/>
  <c r="AH89" i="7"/>
  <c r="AG89" i="7"/>
  <c r="AF89" i="7"/>
  <c r="AE89" i="7"/>
  <c r="AD89" i="7"/>
  <c r="AC89" i="7"/>
  <c r="AB89" i="7"/>
  <c r="AA89" i="7"/>
  <c r="Z89" i="7"/>
  <c r="Y89" i="7"/>
  <c r="X89" i="7"/>
  <c r="W89" i="7"/>
  <c r="V89" i="7"/>
  <c r="U89" i="7"/>
  <c r="T89" i="7"/>
  <c r="S89" i="7"/>
  <c r="R89" i="7"/>
  <c r="Q89" i="7"/>
  <c r="P89" i="7"/>
  <c r="O89" i="7"/>
  <c r="N89" i="7"/>
  <c r="M89" i="7"/>
  <c r="L89" i="7"/>
  <c r="K89" i="7"/>
  <c r="J89" i="7"/>
  <c r="I89" i="7"/>
  <c r="H89" i="7"/>
  <c r="G89" i="7"/>
  <c r="F89" i="7"/>
  <c r="E89" i="7"/>
  <c r="BY88" i="7"/>
  <c r="BY87" i="7"/>
  <c r="BX86" i="7"/>
  <c r="BW86" i="7"/>
  <c r="BV86" i="7"/>
  <c r="BU86" i="7"/>
  <c r="BT86" i="7"/>
  <c r="BS86" i="7"/>
  <c r="BR86" i="7"/>
  <c r="BQ86" i="7"/>
  <c r="BP86" i="7"/>
  <c r="BO86" i="7"/>
  <c r="BN86" i="7"/>
  <c r="BM86" i="7"/>
  <c r="BL86" i="7"/>
  <c r="BK86" i="7"/>
  <c r="BJ86" i="7"/>
  <c r="BI86" i="7"/>
  <c r="BH86" i="7"/>
  <c r="BG86" i="7"/>
  <c r="BF86" i="7"/>
  <c r="BE86" i="7"/>
  <c r="BD86" i="7"/>
  <c r="BC86" i="7"/>
  <c r="BB86" i="7"/>
  <c r="BA86" i="7"/>
  <c r="AZ86" i="7"/>
  <c r="AY86" i="7"/>
  <c r="AX86" i="7"/>
  <c r="AW86" i="7"/>
  <c r="AV86" i="7"/>
  <c r="AU86" i="7"/>
  <c r="AT86" i="7"/>
  <c r="AS86" i="7"/>
  <c r="AR86" i="7"/>
  <c r="AQ86" i="7"/>
  <c r="AP86" i="7"/>
  <c r="AO86" i="7"/>
  <c r="AN86" i="7"/>
  <c r="AM86" i="7"/>
  <c r="AL86" i="7"/>
  <c r="AK86" i="7"/>
  <c r="AJ86" i="7"/>
  <c r="AI86" i="7"/>
  <c r="AH86" i="7"/>
  <c r="AG86" i="7"/>
  <c r="AF86" i="7"/>
  <c r="AE86" i="7"/>
  <c r="AD86" i="7"/>
  <c r="AC86" i="7"/>
  <c r="AB86" i="7"/>
  <c r="AA86" i="7"/>
  <c r="Z86" i="7"/>
  <c r="Y86" i="7"/>
  <c r="X86" i="7"/>
  <c r="W86" i="7"/>
  <c r="V86" i="7"/>
  <c r="U86" i="7"/>
  <c r="T86" i="7"/>
  <c r="S86" i="7"/>
  <c r="R86" i="7"/>
  <c r="Q86" i="7"/>
  <c r="P86" i="7"/>
  <c r="O86" i="7"/>
  <c r="N86" i="7"/>
  <c r="M86" i="7"/>
  <c r="L86" i="7"/>
  <c r="K86" i="7"/>
  <c r="J86" i="7"/>
  <c r="I86" i="7"/>
  <c r="H86" i="7"/>
  <c r="G86" i="7"/>
  <c r="F86" i="7"/>
  <c r="E86" i="7"/>
  <c r="BY85" i="7"/>
  <c r="BY84" i="7"/>
  <c r="BY83" i="7"/>
  <c r="BY82" i="7"/>
  <c r="BY81" i="7"/>
  <c r="BY80" i="7"/>
  <c r="BY78" i="7"/>
  <c r="BY77" i="7"/>
  <c r="BY76" i="7"/>
  <c r="BY75" i="7"/>
  <c r="BY74" i="7"/>
  <c r="BY73" i="7"/>
  <c r="BY72" i="7"/>
  <c r="BY71" i="7"/>
  <c r="BY70" i="7"/>
  <c r="BY69" i="7"/>
  <c r="BY68" i="7"/>
  <c r="BY67" i="7"/>
  <c r="BY66" i="7"/>
  <c r="BY65" i="7"/>
  <c r="BY64" i="7"/>
  <c r="BY63" i="7"/>
  <c r="BX62" i="7"/>
  <c r="BW62" i="7"/>
  <c r="BV62" i="7"/>
  <c r="BU62" i="7"/>
  <c r="BT62" i="7"/>
  <c r="BS62" i="7"/>
  <c r="BR62" i="7"/>
  <c r="BQ62" i="7"/>
  <c r="BP62" i="7"/>
  <c r="BO62" i="7"/>
  <c r="BN62" i="7"/>
  <c r="BM62" i="7"/>
  <c r="BL62" i="7"/>
  <c r="BK62" i="7"/>
  <c r="BJ62" i="7"/>
  <c r="BI62" i="7"/>
  <c r="BH62" i="7"/>
  <c r="BG62" i="7"/>
  <c r="BF62" i="7"/>
  <c r="BE62" i="7"/>
  <c r="BD62" i="7"/>
  <c r="BC62" i="7"/>
  <c r="BB62" i="7"/>
  <c r="BA62" i="7"/>
  <c r="AZ62" i="7"/>
  <c r="AY62" i="7"/>
  <c r="AX62" i="7"/>
  <c r="AW62" i="7"/>
  <c r="AV62" i="7"/>
  <c r="AU62" i="7"/>
  <c r="AT62" i="7"/>
  <c r="AS62" i="7"/>
  <c r="AR62" i="7"/>
  <c r="AQ62" i="7"/>
  <c r="AP62" i="7"/>
  <c r="AO62" i="7"/>
  <c r="AN62" i="7"/>
  <c r="AM62" i="7"/>
  <c r="AL62" i="7"/>
  <c r="AK62" i="7"/>
  <c r="AH62" i="7"/>
  <c r="AG62" i="7"/>
  <c r="AF62" i="7"/>
  <c r="AE62" i="7"/>
  <c r="AD62" i="7"/>
  <c r="AC62" i="7"/>
  <c r="AB62" i="7"/>
  <c r="AA62" i="7"/>
  <c r="Z62" i="7"/>
  <c r="Y62" i="7"/>
  <c r="X62" i="7"/>
  <c r="W62" i="7"/>
  <c r="V62" i="7"/>
  <c r="U62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AI61" i="7"/>
  <c r="AH61" i="7"/>
  <c r="AH10" i="7" s="1"/>
  <c r="AG61" i="7"/>
  <c r="AG54" i="7" s="1"/>
  <c r="AF61" i="7"/>
  <c r="AF54" i="7" s="1"/>
  <c r="AE61" i="7"/>
  <c r="AD61" i="7"/>
  <c r="AD54" i="7" s="1"/>
  <c r="AC61" i="7"/>
  <c r="AC54" i="7" s="1"/>
  <c r="AB61" i="7"/>
  <c r="AB54" i="7" s="1"/>
  <c r="AA61" i="7"/>
  <c r="AA10" i="7" s="1"/>
  <c r="Z54" i="7"/>
  <c r="Y61" i="7"/>
  <c r="Y10" i="7" s="1"/>
  <c r="X61" i="7"/>
  <c r="X54" i="7" s="1"/>
  <c r="BY60" i="7"/>
  <c r="D60" i="7"/>
  <c r="BY59" i="7"/>
  <c r="BY58" i="7"/>
  <c r="BY57" i="7"/>
  <c r="BY55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BY53" i="7"/>
  <c r="BY51" i="7"/>
  <c r="BY50" i="7"/>
  <c r="BX48" i="7"/>
  <c r="BW48" i="7"/>
  <c r="BV48" i="7"/>
  <c r="BU48" i="7"/>
  <c r="BT48" i="7"/>
  <c r="BS48" i="7"/>
  <c r="BR48" i="7"/>
  <c r="BQ48" i="7"/>
  <c r="BP48" i="7"/>
  <c r="BO48" i="7"/>
  <c r="BN48" i="7"/>
  <c r="BM48" i="7"/>
  <c r="BL48" i="7"/>
  <c r="BK48" i="7"/>
  <c r="BJ48" i="7"/>
  <c r="BI48" i="7"/>
  <c r="BH48" i="7"/>
  <c r="BG48" i="7"/>
  <c r="BF48" i="7"/>
  <c r="BE48" i="7"/>
  <c r="BD48" i="7"/>
  <c r="BC48" i="7"/>
  <c r="BB48" i="7"/>
  <c r="BA48" i="7"/>
  <c r="AZ48" i="7"/>
  <c r="AY48" i="7"/>
  <c r="AX48" i="7"/>
  <c r="AW48" i="7"/>
  <c r="AV48" i="7"/>
  <c r="AU48" i="7"/>
  <c r="AT48" i="7"/>
  <c r="AS48" i="7"/>
  <c r="AR48" i="7"/>
  <c r="AQ48" i="7"/>
  <c r="AP48" i="7"/>
  <c r="AO48" i="7"/>
  <c r="AN48" i="7"/>
  <c r="AM48" i="7"/>
  <c r="AL48" i="7"/>
  <c r="AK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BY46" i="7"/>
  <c r="CB44" i="7"/>
  <c r="CB43" i="7"/>
  <c r="CB85" i="7" s="1" a="1"/>
  <c r="CB85" i="7" s="1"/>
  <c r="CB84" i="7"/>
  <c r="CB83" i="7"/>
  <c r="CB40" i="7"/>
  <c r="CB82" i="7" s="1"/>
  <c r="BX39" i="7"/>
  <c r="BW39" i="7"/>
  <c r="BV39" i="7"/>
  <c r="BU39" i="7"/>
  <c r="BT39" i="7"/>
  <c r="BS39" i="7"/>
  <c r="BR39" i="7"/>
  <c r="BQ39" i="7"/>
  <c r="BP39" i="7"/>
  <c r="BO39" i="7"/>
  <c r="BN39" i="7"/>
  <c r="BM39" i="7"/>
  <c r="BL39" i="7"/>
  <c r="BK39" i="7"/>
  <c r="BJ39" i="7"/>
  <c r="BI39" i="7"/>
  <c r="BH39" i="7"/>
  <c r="BG39" i="7"/>
  <c r="BF39" i="7"/>
  <c r="BE39" i="7"/>
  <c r="BD39" i="7"/>
  <c r="BC39" i="7"/>
  <c r="BB39" i="7"/>
  <c r="BA39" i="7"/>
  <c r="AZ39" i="7"/>
  <c r="AY39" i="7"/>
  <c r="AX39" i="7"/>
  <c r="AW39" i="7"/>
  <c r="AV39" i="7"/>
  <c r="AU39" i="7"/>
  <c r="AT39" i="7"/>
  <c r="AS39" i="7"/>
  <c r="AR39" i="7"/>
  <c r="AQ39" i="7"/>
  <c r="AP39" i="7"/>
  <c r="AO39" i="7"/>
  <c r="AN39" i="7"/>
  <c r="AM39" i="7"/>
  <c r="AL39" i="7"/>
  <c r="AK39" i="7"/>
  <c r="U39" i="7"/>
  <c r="T39" i="7"/>
  <c r="T15" i="7" s="1"/>
  <c r="T17" i="7" s="1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CB38" i="7"/>
  <c r="CB80" i="7" s="1"/>
  <c r="BY38" i="7"/>
  <c r="CB37" i="7"/>
  <c r="CB79" i="7" s="1"/>
  <c r="BY37" i="7"/>
  <c r="BX36" i="7"/>
  <c r="BW36" i="7"/>
  <c r="BV36" i="7"/>
  <c r="BU36" i="7"/>
  <c r="BT36" i="7"/>
  <c r="BS36" i="7"/>
  <c r="BR36" i="7"/>
  <c r="BQ36" i="7"/>
  <c r="BP36" i="7"/>
  <c r="BO36" i="7"/>
  <c r="BN36" i="7"/>
  <c r="BM36" i="7"/>
  <c r="BL36" i="7"/>
  <c r="BK36" i="7"/>
  <c r="BJ36" i="7"/>
  <c r="BI36" i="7"/>
  <c r="BH36" i="7"/>
  <c r="BG36" i="7"/>
  <c r="BF36" i="7"/>
  <c r="BE36" i="7"/>
  <c r="BD36" i="7"/>
  <c r="BC36" i="7"/>
  <c r="BB36" i="7"/>
  <c r="BA36" i="7"/>
  <c r="AZ36" i="7"/>
  <c r="AY36" i="7"/>
  <c r="AX36" i="7"/>
  <c r="AW36" i="7"/>
  <c r="AV36" i="7"/>
  <c r="AU36" i="7"/>
  <c r="AT36" i="7"/>
  <c r="AS36" i="7"/>
  <c r="AR36" i="7"/>
  <c r="AQ36" i="7"/>
  <c r="AP36" i="7"/>
  <c r="AO36" i="7"/>
  <c r="AN36" i="7"/>
  <c r="AM36" i="7"/>
  <c r="AL36" i="7"/>
  <c r="AK36" i="7"/>
  <c r="AJ36" i="7"/>
  <c r="AI36" i="7"/>
  <c r="AH36" i="7"/>
  <c r="AG36" i="7"/>
  <c r="AF36" i="7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CB35" i="7"/>
  <c r="CB77" i="7" s="1"/>
  <c r="CB34" i="7"/>
  <c r="CB76" i="7" s="1"/>
  <c r="BY34" i="7"/>
  <c r="CB33" i="7"/>
  <c r="CB75" i="7" s="1"/>
  <c r="CB32" i="7"/>
  <c r="CB74" i="7" s="1"/>
  <c r="BY32" i="7"/>
  <c r="CB31" i="7"/>
  <c r="CB73" i="7" s="1"/>
  <c r="BY31" i="7"/>
  <c r="CB30" i="7"/>
  <c r="CB72" i="7" s="1"/>
  <c r="BY30" i="7"/>
  <c r="CB29" i="7"/>
  <c r="CB71" i="7" s="1"/>
  <c r="BX28" i="7"/>
  <c r="BW28" i="7"/>
  <c r="BV28" i="7"/>
  <c r="BU28" i="7"/>
  <c r="BT28" i="7"/>
  <c r="BS28" i="7"/>
  <c r="BR28" i="7"/>
  <c r="BQ28" i="7"/>
  <c r="BP28" i="7"/>
  <c r="BO28" i="7"/>
  <c r="BN28" i="7"/>
  <c r="BM28" i="7"/>
  <c r="BL28" i="7"/>
  <c r="BK28" i="7"/>
  <c r="BJ28" i="7"/>
  <c r="BI28" i="7"/>
  <c r="BH28" i="7"/>
  <c r="BG28" i="7"/>
  <c r="BF28" i="7"/>
  <c r="BE28" i="7"/>
  <c r="BD28" i="7"/>
  <c r="BC28" i="7"/>
  <c r="BB28" i="7"/>
  <c r="BA28" i="7"/>
  <c r="AZ28" i="7"/>
  <c r="AY28" i="7"/>
  <c r="AX28" i="7"/>
  <c r="AW28" i="7"/>
  <c r="AV28" i="7"/>
  <c r="AU28" i="7"/>
  <c r="AT28" i="7"/>
  <c r="AS28" i="7"/>
  <c r="AR28" i="7"/>
  <c r="AQ28" i="7"/>
  <c r="AP28" i="7"/>
  <c r="AO28" i="7"/>
  <c r="AN28" i="7"/>
  <c r="AM28" i="7"/>
  <c r="AL28" i="7"/>
  <c r="AK28" i="7"/>
  <c r="AJ28" i="7"/>
  <c r="V28" i="7"/>
  <c r="U28" i="7"/>
  <c r="T28" i="7"/>
  <c r="S28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CB27" i="7"/>
  <c r="CB69" i="7" s="1"/>
  <c r="BY27" i="7"/>
  <c r="CB26" i="7"/>
  <c r="CB68" i="7" s="1"/>
  <c r="Z25" i="7"/>
  <c r="Y25" i="7"/>
  <c r="X25" i="7"/>
  <c r="W25" i="7"/>
  <c r="BX25" i="7"/>
  <c r="BW25" i="7"/>
  <c r="BV25" i="7"/>
  <c r="BU25" i="7"/>
  <c r="BT25" i="7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AF25" i="7"/>
  <c r="AE25" i="7"/>
  <c r="AD25" i="7"/>
  <c r="AC25" i="7"/>
  <c r="AB25" i="7"/>
  <c r="AA25" i="7"/>
  <c r="V25" i="7"/>
  <c r="U25" i="7"/>
  <c r="T25" i="7"/>
  <c r="S25" i="7"/>
  <c r="R25" i="7"/>
  <c r="Q25" i="7"/>
  <c r="P25" i="7"/>
  <c r="O25" i="7"/>
  <c r="N25" i="7"/>
  <c r="M25" i="7"/>
  <c r="L25" i="7"/>
  <c r="K25" i="7"/>
  <c r="J25" i="7"/>
  <c r="I25" i="7"/>
  <c r="H25" i="7"/>
  <c r="G25" i="7"/>
  <c r="F25" i="7"/>
  <c r="E25" i="7"/>
  <c r="BY24" i="7"/>
  <c r="BY22" i="7"/>
  <c r="V20" i="7"/>
  <c r="BY20" i="7" s="1"/>
  <c r="U19" i="7"/>
  <c r="V19" i="7" s="1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BX17" i="7"/>
  <c r="BW17" i="7"/>
  <c r="BV17" i="7"/>
  <c r="BU17" i="7"/>
  <c r="BT17" i="7"/>
  <c r="BS17" i="7"/>
  <c r="BR17" i="7"/>
  <c r="BQ17" i="7"/>
  <c r="BP17" i="7"/>
  <c r="BO17" i="7"/>
  <c r="BN17" i="7"/>
  <c r="BM17" i="7"/>
  <c r="BL17" i="7"/>
  <c r="BK17" i="7"/>
  <c r="BJ17" i="7"/>
  <c r="BI17" i="7"/>
  <c r="BH17" i="7"/>
  <c r="BG17" i="7"/>
  <c r="BF17" i="7"/>
  <c r="BE17" i="7"/>
  <c r="BD17" i="7"/>
  <c r="BC17" i="7"/>
  <c r="BB17" i="7"/>
  <c r="BA17" i="7"/>
  <c r="AZ17" i="7"/>
  <c r="AY17" i="7"/>
  <c r="AX17" i="7"/>
  <c r="AW17" i="7"/>
  <c r="AV17" i="7"/>
  <c r="AU17" i="7"/>
  <c r="AT17" i="7"/>
  <c r="AS17" i="7"/>
  <c r="AR17" i="7"/>
  <c r="AQ17" i="7"/>
  <c r="AP17" i="7"/>
  <c r="AO17" i="7"/>
  <c r="AN17" i="7"/>
  <c r="AM17" i="7"/>
  <c r="AL17" i="7"/>
  <c r="AK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BY16" i="7"/>
  <c r="CB16" i="7" s="1"/>
  <c r="BY11" i="7"/>
  <c r="W10" i="7"/>
  <c r="V10" i="7"/>
  <c r="U10" i="7"/>
  <c r="BY9" i="7"/>
  <c r="BY8" i="7"/>
  <c r="CB8" i="7" s="1"/>
  <c r="CB52" i="7" s="1"/>
  <c r="BY7" i="7"/>
  <c r="CB7" i="7" s="1"/>
  <c r="CB51" i="7" s="1"/>
  <c r="BY6" i="7"/>
  <c r="BY5" i="7"/>
  <c r="E94" i="6"/>
  <c r="I10" i="6"/>
  <c r="H95" i="6" s="1"/>
  <c r="I8" i="6"/>
  <c r="C86" i="5"/>
  <c r="F77" i="5"/>
  <c r="B77" i="5"/>
  <c r="B76" i="5"/>
  <c r="E75" i="5"/>
  <c r="B75" i="5"/>
  <c r="B73" i="5"/>
  <c r="B71" i="5"/>
  <c r="B66" i="5"/>
  <c r="B65" i="5"/>
  <c r="B64" i="5"/>
  <c r="B63" i="5"/>
  <c r="B62" i="5"/>
  <c r="B55" i="5"/>
  <c r="B54" i="5"/>
  <c r="B52" i="5"/>
  <c r="F47" i="5"/>
  <c r="B47" i="5"/>
  <c r="B46" i="5"/>
  <c r="B44" i="5"/>
  <c r="B39" i="5"/>
  <c r="B37" i="5"/>
  <c r="F36" i="5"/>
  <c r="B36" i="5"/>
  <c r="F35" i="5"/>
  <c r="B35" i="5"/>
  <c r="F34" i="5"/>
  <c r="B34" i="5"/>
  <c r="F32" i="5"/>
  <c r="F31" i="5"/>
  <c r="J29" i="5"/>
  <c r="J30" i="5" s="1"/>
  <c r="B29" i="5"/>
  <c r="B27" i="5"/>
  <c r="B22" i="5"/>
  <c r="E19" i="5"/>
  <c r="B19" i="5"/>
  <c r="K18" i="5"/>
  <c r="I18" i="5"/>
  <c r="K17" i="5"/>
  <c r="I17" i="5"/>
  <c r="B17" i="5"/>
  <c r="M16" i="5"/>
  <c r="K16" i="5"/>
  <c r="I16" i="5"/>
  <c r="M15" i="5"/>
  <c r="L15" i="5"/>
  <c r="K15" i="5"/>
  <c r="I15" i="5"/>
  <c r="R14" i="5"/>
  <c r="F76" i="5" s="1"/>
  <c r="M14" i="5"/>
  <c r="L14" i="5"/>
  <c r="K14" i="5"/>
  <c r="I14" i="5"/>
  <c r="M13" i="5"/>
  <c r="K13" i="5"/>
  <c r="I13" i="5"/>
  <c r="B13" i="5"/>
  <c r="M12" i="5"/>
  <c r="K12" i="5"/>
  <c r="I12" i="5"/>
  <c r="B12" i="5"/>
  <c r="M11" i="5"/>
  <c r="K11" i="5"/>
  <c r="I11" i="5"/>
  <c r="B11" i="5"/>
  <c r="M10" i="5"/>
  <c r="K10" i="5"/>
  <c r="I10" i="5"/>
  <c r="F10" i="5"/>
  <c r="B10" i="5"/>
  <c r="K9" i="5"/>
  <c r="I9" i="5"/>
  <c r="D9" i="5"/>
  <c r="B9" i="5"/>
  <c r="M8" i="5"/>
  <c r="K8" i="5"/>
  <c r="J8" i="5"/>
  <c r="I8" i="5"/>
  <c r="B8" i="5"/>
  <c r="E10" i="3"/>
  <c r="D10" i="3"/>
  <c r="B10" i="3"/>
  <c r="C10" i="3" s="1"/>
  <c r="A10" i="3"/>
  <c r="E9" i="3"/>
  <c r="D9" i="3"/>
  <c r="B9" i="3"/>
  <c r="C9" i="3" s="1"/>
  <c r="A9" i="3"/>
  <c r="E8" i="3"/>
  <c r="D8" i="3"/>
  <c r="B8" i="3"/>
  <c r="C8" i="3" s="1"/>
  <c r="A8" i="3"/>
  <c r="D7" i="3"/>
  <c r="B7" i="3"/>
  <c r="A7" i="3"/>
  <c r="D6" i="3"/>
  <c r="B6" i="3"/>
  <c r="A6" i="3"/>
  <c r="D5" i="3"/>
  <c r="B5" i="3"/>
  <c r="A5" i="3"/>
  <c r="E4" i="3"/>
  <c r="D4" i="3"/>
  <c r="B4" i="3"/>
  <c r="C4" i="3" s="1"/>
  <c r="A4" i="3"/>
  <c r="E3" i="3"/>
  <c r="D3" i="3"/>
  <c r="B3" i="3"/>
  <c r="A3" i="3"/>
  <c r="D2" i="3"/>
  <c r="C6" i="3"/>
  <c r="G1" i="3"/>
  <c r="B1" i="3"/>
  <c r="B10" i="2"/>
  <c r="B9" i="2"/>
  <c r="B8" i="2"/>
  <c r="B7" i="2"/>
  <c r="F6" i="2"/>
  <c r="E7" i="3" s="1"/>
  <c r="B6" i="2"/>
  <c r="F5" i="2"/>
  <c r="E6" i="3" s="1"/>
  <c r="B5" i="2"/>
  <c r="F4" i="2"/>
  <c r="E5" i="3" s="1"/>
  <c r="B4" i="2"/>
  <c r="B2" i="2"/>
  <c r="F13" i="1"/>
  <c r="F29" i="1" s="1"/>
  <c r="N12" i="1"/>
  <c r="O12" i="1" s="1"/>
  <c r="M17" i="5"/>
  <c r="L17" i="5"/>
  <c r="M16" i="13"/>
  <c r="M15" i="13"/>
  <c r="L15" i="13"/>
  <c r="M14" i="13"/>
  <c r="L14" i="13"/>
  <c r="N14" i="13" s="1"/>
  <c r="M13" i="13"/>
  <c r="L13" i="13"/>
  <c r="N5" i="1"/>
  <c r="O5" i="1" s="1"/>
  <c r="M11" i="13"/>
  <c r="N4" i="1"/>
  <c r="O4" i="1" s="1"/>
  <c r="M10" i="13"/>
  <c r="I4" i="1"/>
  <c r="K4" i="1" s="1"/>
  <c r="N10" i="5" s="1"/>
  <c r="M9" i="13"/>
  <c r="I3" i="1"/>
  <c r="K3" i="1" s="1"/>
  <c r="N2" i="1"/>
  <c r="I2" i="1"/>
  <c r="K2" i="1" s="1"/>
  <c r="N8" i="5" s="1"/>
  <c r="J97" i="8" l="1"/>
  <c r="AH97" i="8"/>
  <c r="BN97" i="8"/>
  <c r="AJ98" i="8"/>
  <c r="AZ98" i="8"/>
  <c r="BH98" i="8"/>
  <c r="BP98" i="8"/>
  <c r="AJ97" i="8"/>
  <c r="AZ97" i="8"/>
  <c r="BH97" i="8"/>
  <c r="BP97" i="8"/>
  <c r="BY35" i="8"/>
  <c r="R97" i="8"/>
  <c r="R98" i="8" s="1"/>
  <c r="AP97" i="8"/>
  <c r="AP98" i="8" s="1"/>
  <c r="AX97" i="8"/>
  <c r="AX98" i="8" s="1"/>
  <c r="BF97" i="8"/>
  <c r="BV97" i="8"/>
  <c r="BY18" i="8"/>
  <c r="K29" i="1"/>
  <c r="N29" i="1"/>
  <c r="O29" i="1" s="1"/>
  <c r="O2" i="1"/>
  <c r="E18" i="1"/>
  <c r="E19" i="1"/>
  <c r="M97" i="8"/>
  <c r="M98" i="8" s="1"/>
  <c r="AS97" i="8"/>
  <c r="AS98" i="8" s="1"/>
  <c r="BI97" i="8"/>
  <c r="BI98" i="8" s="1"/>
  <c r="F97" i="8"/>
  <c r="N97" i="8"/>
  <c r="AL97" i="8"/>
  <c r="AL98" i="8" s="1"/>
  <c r="AT97" i="8"/>
  <c r="AT98" i="8" s="1"/>
  <c r="BB97" i="8"/>
  <c r="BB98" i="8" s="1"/>
  <c r="BJ97" i="8"/>
  <c r="BJ98" i="8" s="1"/>
  <c r="BR97" i="8"/>
  <c r="BR98" i="8" s="1"/>
  <c r="U10" i="8"/>
  <c r="G97" i="8"/>
  <c r="G98" i="8" s="1"/>
  <c r="O97" i="8"/>
  <c r="O98" i="8" s="1"/>
  <c r="AM97" i="8"/>
  <c r="AM98" i="8" s="1"/>
  <c r="AU97" i="8"/>
  <c r="AU98" i="8" s="1"/>
  <c r="BC97" i="8"/>
  <c r="BC98" i="8" s="1"/>
  <c r="BS97" i="8"/>
  <c r="BS98" i="8" s="1"/>
  <c r="E97" i="8"/>
  <c r="AK97" i="8"/>
  <c r="AK98" i="8" s="1"/>
  <c r="BA97" i="8"/>
  <c r="BA98" i="8" s="1"/>
  <c r="H97" i="8"/>
  <c r="H98" i="8" s="1"/>
  <c r="AN97" i="8"/>
  <c r="AN98" i="8" s="1"/>
  <c r="BD97" i="8"/>
  <c r="BD98" i="8" s="1"/>
  <c r="BT97" i="8"/>
  <c r="BT98" i="8" s="1"/>
  <c r="BQ97" i="8"/>
  <c r="BQ98" i="8" s="1"/>
  <c r="AG97" i="8"/>
  <c r="BE97" i="8"/>
  <c r="BE98" i="8" s="1"/>
  <c r="BM97" i="8"/>
  <c r="BM98" i="8" s="1"/>
  <c r="P2" i="1"/>
  <c r="L11" i="5"/>
  <c r="K5" i="1"/>
  <c r="P5" i="1" s="1"/>
  <c r="T19" i="1" s="1"/>
  <c r="L18" i="5"/>
  <c r="K12" i="1"/>
  <c r="G3" i="7"/>
  <c r="F3" i="7"/>
  <c r="E3" i="7"/>
  <c r="N3" i="7"/>
  <c r="F6" i="3"/>
  <c r="F4" i="3"/>
  <c r="F8" i="3"/>
  <c r="F9" i="3"/>
  <c r="F10" i="3"/>
  <c r="AN147" i="7"/>
  <c r="AV147" i="7"/>
  <c r="BZ5" i="8"/>
  <c r="L97" i="8"/>
  <c r="L98" i="8" s="1"/>
  <c r="P97" i="8"/>
  <c r="P98" i="8" s="1"/>
  <c r="Q97" i="8"/>
  <c r="AR97" i="8"/>
  <c r="AR98" i="8" s="1"/>
  <c r="AV97" i="8"/>
  <c r="AV98" i="8" s="1"/>
  <c r="AW97" i="8"/>
  <c r="BK97" i="8"/>
  <c r="BK98" i="8" s="1"/>
  <c r="BX97" i="8"/>
  <c r="BX98" i="8" s="1"/>
  <c r="AF97" i="8"/>
  <c r="AF98" i="8" s="1"/>
  <c r="BL97" i="8"/>
  <c r="BL98" i="8" s="1"/>
  <c r="I97" i="8"/>
  <c r="AO97" i="8"/>
  <c r="BU97" i="8"/>
  <c r="H103" i="8"/>
  <c r="H117" i="8"/>
  <c r="P142" i="8"/>
  <c r="P147" i="8" s="1"/>
  <c r="P117" i="8"/>
  <c r="U117" i="8"/>
  <c r="U142" i="8"/>
  <c r="U147" i="8" s="1"/>
  <c r="W142" i="8"/>
  <c r="W147" i="8" s="1"/>
  <c r="W117" i="8"/>
  <c r="X142" i="8"/>
  <c r="X147" i="8" s="1"/>
  <c r="X117" i="8"/>
  <c r="AF103" i="8"/>
  <c r="AF117" i="8"/>
  <c r="AN103" i="8"/>
  <c r="AN117" i="8"/>
  <c r="AV103" i="8"/>
  <c r="AV117" i="8"/>
  <c r="BD103" i="8"/>
  <c r="BD117" i="8"/>
  <c r="BL103" i="8"/>
  <c r="BL117" i="8"/>
  <c r="BT103" i="8"/>
  <c r="BT117" i="8"/>
  <c r="J117" i="8"/>
  <c r="Z117" i="8"/>
  <c r="I131" i="8"/>
  <c r="Q131" i="8"/>
  <c r="Y131" i="8"/>
  <c r="AG131" i="8"/>
  <c r="BE131" i="8"/>
  <c r="E68" i="12"/>
  <c r="E72" i="12" s="1"/>
  <c r="E73" i="12" s="1"/>
  <c r="F36" i="6"/>
  <c r="D135" i="7"/>
  <c r="J103" i="7"/>
  <c r="Z103" i="7"/>
  <c r="BY86" i="7"/>
  <c r="R131" i="7"/>
  <c r="J131" i="7"/>
  <c r="Z10" i="7"/>
  <c r="AH54" i="7"/>
  <c r="H131" i="7"/>
  <c r="G147" i="7"/>
  <c r="O147" i="7"/>
  <c r="W147" i="7"/>
  <c r="AQ147" i="7"/>
  <c r="BO147" i="7"/>
  <c r="AA147" i="7"/>
  <c r="R103" i="7"/>
  <c r="BE103" i="7"/>
  <c r="BM103" i="7"/>
  <c r="S103" i="7"/>
  <c r="M131" i="7"/>
  <c r="AP131" i="7"/>
  <c r="Y54" i="7"/>
  <c r="O131" i="7"/>
  <c r="N131" i="7"/>
  <c r="F131" i="7"/>
  <c r="D134" i="7"/>
  <c r="AI91" i="7"/>
  <c r="AI126" i="7" s="1"/>
  <c r="I131" i="7"/>
  <c r="Q131" i="7"/>
  <c r="V131" i="7"/>
  <c r="C48" i="5"/>
  <c r="N27" i="5"/>
  <c r="L131" i="7"/>
  <c r="BU103" i="7"/>
  <c r="AO103" i="7"/>
  <c r="H103" i="7"/>
  <c r="AA131" i="7"/>
  <c r="AR131" i="7"/>
  <c r="AZ131" i="7"/>
  <c r="BH131" i="7"/>
  <c r="BP131" i="7"/>
  <c r="AS131" i="7"/>
  <c r="BA131" i="7"/>
  <c r="BI131" i="7"/>
  <c r="BQ131" i="7"/>
  <c r="N15" i="13"/>
  <c r="J19" i="5"/>
  <c r="G16" i="6"/>
  <c r="BU117" i="7"/>
  <c r="X103" i="7"/>
  <c r="F147" i="7"/>
  <c r="AG103" i="7"/>
  <c r="I103" i="7"/>
  <c r="Q103" i="7"/>
  <c r="Y103" i="7"/>
  <c r="AP103" i="7"/>
  <c r="L103" i="7"/>
  <c r="T103" i="7"/>
  <c r="AB103" i="7"/>
  <c r="BR103" i="7"/>
  <c r="N117" i="7"/>
  <c r="BO97" i="7"/>
  <c r="BO98" i="7" s="1"/>
  <c r="AG10" i="7"/>
  <c r="AQ97" i="7"/>
  <c r="AQ98" i="7" s="1"/>
  <c r="AF10" i="7"/>
  <c r="P131" i="7"/>
  <c r="BY36" i="7"/>
  <c r="AR97" i="7"/>
  <c r="AR98" i="7" s="1"/>
  <c r="AZ97" i="7"/>
  <c r="AZ98" i="7" s="1"/>
  <c r="BH97" i="7"/>
  <c r="BH98" i="7" s="1"/>
  <c r="BP97" i="7"/>
  <c r="BP98" i="7" s="1"/>
  <c r="BX97" i="7"/>
  <c r="BX98" i="7" s="1"/>
  <c r="N147" i="7"/>
  <c r="V147" i="7"/>
  <c r="AD147" i="7"/>
  <c r="AP147" i="7"/>
  <c r="AX147" i="7"/>
  <c r="BF147" i="7"/>
  <c r="BN147" i="7"/>
  <c r="BV147" i="7"/>
  <c r="G131" i="7"/>
  <c r="AO131" i="7"/>
  <c r="AB10" i="7"/>
  <c r="Y131" i="7"/>
  <c r="AX131" i="7"/>
  <c r="BF131" i="7"/>
  <c r="BN131" i="7"/>
  <c r="BV131" i="7"/>
  <c r="AD10" i="7"/>
  <c r="AA54" i="7"/>
  <c r="Z131" i="7"/>
  <c r="AH131" i="7"/>
  <c r="AQ131" i="7"/>
  <c r="BG131" i="7"/>
  <c r="BO131" i="7"/>
  <c r="T164" i="7"/>
  <c r="Z147" i="7"/>
  <c r="E164" i="7"/>
  <c r="E165" i="7" s="1"/>
  <c r="M164" i="7"/>
  <c r="U164" i="7"/>
  <c r="AW164" i="7"/>
  <c r="AW131" i="7"/>
  <c r="F164" i="7"/>
  <c r="N164" i="7"/>
  <c r="V164" i="7"/>
  <c r="AX164" i="7"/>
  <c r="BF164" i="7"/>
  <c r="AB147" i="7"/>
  <c r="E97" i="7"/>
  <c r="E98" i="7" s="1"/>
  <c r="E99" i="7" s="1"/>
  <c r="BS97" i="7"/>
  <c r="BS98" i="7" s="1"/>
  <c r="M97" i="7"/>
  <c r="M98" i="7" s="1"/>
  <c r="AM97" i="7"/>
  <c r="AU97" i="7"/>
  <c r="AU98" i="7" s="1"/>
  <c r="BK97" i="7"/>
  <c r="BK98" i="7" s="1"/>
  <c r="AY97" i="7"/>
  <c r="AY98" i="7" s="1"/>
  <c r="BC97" i="7"/>
  <c r="BC98" i="7" s="1"/>
  <c r="AK103" i="7"/>
  <c r="AL103" i="7"/>
  <c r="AT103" i="7"/>
  <c r="BN103" i="7"/>
  <c r="BV103" i="7"/>
  <c r="J164" i="7"/>
  <c r="R164" i="7"/>
  <c r="Z164" i="7"/>
  <c r="AL164" i="7"/>
  <c r="AT164" i="7"/>
  <c r="BB164" i="7"/>
  <c r="BJ164" i="7"/>
  <c r="BR164" i="7"/>
  <c r="AH103" i="7"/>
  <c r="AL117" i="7"/>
  <c r="AG131" i="7"/>
  <c r="J147" i="7"/>
  <c r="R147" i="7"/>
  <c r="AL147" i="7"/>
  <c r="AT147" i="7"/>
  <c r="BB147" i="7"/>
  <c r="BJ147" i="7"/>
  <c r="BR147" i="7"/>
  <c r="AI103" i="7"/>
  <c r="AY131" i="7"/>
  <c r="BW131" i="7"/>
  <c r="S147" i="7"/>
  <c r="AM147" i="7"/>
  <c r="BS147" i="7"/>
  <c r="AF103" i="7"/>
  <c r="U103" i="7"/>
  <c r="AC117" i="7"/>
  <c r="N103" i="7"/>
  <c r="AE103" i="7"/>
  <c r="AM117" i="7"/>
  <c r="AU117" i="7"/>
  <c r="BB103" i="7"/>
  <c r="U117" i="7"/>
  <c r="K131" i="7"/>
  <c r="S131" i="7"/>
  <c r="U147" i="7"/>
  <c r="AO147" i="7"/>
  <c r="AW147" i="7"/>
  <c r="BE147" i="7"/>
  <c r="AC164" i="7"/>
  <c r="AO164" i="7"/>
  <c r="BU164" i="7"/>
  <c r="AW103" i="7"/>
  <c r="AD103" i="7"/>
  <c r="AD117" i="7"/>
  <c r="P103" i="7"/>
  <c r="BF103" i="7"/>
  <c r="I117" i="7"/>
  <c r="Y117" i="7"/>
  <c r="AO117" i="7"/>
  <c r="BE117" i="7"/>
  <c r="BM117" i="7"/>
  <c r="T131" i="7"/>
  <c r="AD164" i="7"/>
  <c r="AP164" i="7"/>
  <c r="AC103" i="7"/>
  <c r="AT117" i="7"/>
  <c r="W103" i="7"/>
  <c r="AO97" i="7"/>
  <c r="AO98" i="7" s="1"/>
  <c r="AW97" i="7"/>
  <c r="AW98" i="7" s="1"/>
  <c r="BE97" i="7"/>
  <c r="BE98" i="7" s="1"/>
  <c r="BM97" i="7"/>
  <c r="BM98" i="7" s="1"/>
  <c r="BU97" i="7"/>
  <c r="BU98" i="7" s="1"/>
  <c r="BI103" i="7"/>
  <c r="J117" i="7"/>
  <c r="Z117" i="7"/>
  <c r="AP117" i="7"/>
  <c r="BF117" i="7"/>
  <c r="BN117" i="7"/>
  <c r="E131" i="7"/>
  <c r="E132" i="7" s="1"/>
  <c r="U131" i="7"/>
  <c r="AE147" i="7"/>
  <c r="AY147" i="7"/>
  <c r="BG147" i="7"/>
  <c r="BW147" i="7"/>
  <c r="W164" i="7"/>
  <c r="AE164" i="7"/>
  <c r="AQ164" i="7"/>
  <c r="AY164" i="7"/>
  <c r="BG164" i="7"/>
  <c r="V103" i="7"/>
  <c r="AX103" i="7"/>
  <c r="O103" i="7"/>
  <c r="BC117" i="7"/>
  <c r="AP97" i="7"/>
  <c r="AP98" i="7" s="1"/>
  <c r="AX97" i="7"/>
  <c r="AX98" i="7" s="1"/>
  <c r="BF97" i="7"/>
  <c r="BF98" i="7" s="1"/>
  <c r="BN97" i="7"/>
  <c r="BN98" i="7" s="1"/>
  <c r="BV97" i="7"/>
  <c r="BV98" i="7" s="1"/>
  <c r="BJ103" i="7"/>
  <c r="BO103" i="7"/>
  <c r="BW103" i="7"/>
  <c r="AK117" i="7"/>
  <c r="AE131" i="7"/>
  <c r="H147" i="7"/>
  <c r="P147" i="7"/>
  <c r="BP147" i="7"/>
  <c r="H164" i="7"/>
  <c r="X164" i="7"/>
  <c r="AF164" i="7"/>
  <c r="AR164" i="7"/>
  <c r="AZ164" i="7"/>
  <c r="BH164" i="7"/>
  <c r="BP164" i="7"/>
  <c r="CB6" i="7"/>
  <c r="CB50" i="7" s="1"/>
  <c r="BZ5" i="7"/>
  <c r="AJ126" i="7"/>
  <c r="BK117" i="7"/>
  <c r="BS117" i="7"/>
  <c r="AK131" i="7"/>
  <c r="AF117" i="7"/>
  <c r="AB131" i="7"/>
  <c r="BB131" i="7"/>
  <c r="AD131" i="7"/>
  <c r="AM131" i="7"/>
  <c r="AU131" i="7"/>
  <c r="BC131" i="7"/>
  <c r="BK131" i="7"/>
  <c r="BS131" i="7"/>
  <c r="X147" i="7"/>
  <c r="AF147" i="7"/>
  <c r="AR147" i="7"/>
  <c r="AZ147" i="7"/>
  <c r="BH147" i="7"/>
  <c r="X10" i="7"/>
  <c r="W131" i="7"/>
  <c r="AN131" i="7"/>
  <c r="AV131" i="7"/>
  <c r="BD131" i="7"/>
  <c r="BL131" i="7"/>
  <c r="BT131" i="7"/>
  <c r="I147" i="7"/>
  <c r="Q147" i="7"/>
  <c r="Y147" i="7"/>
  <c r="AK147" i="7"/>
  <c r="AK148" i="7" s="1"/>
  <c r="AS147" i="7"/>
  <c r="BA147" i="7"/>
  <c r="BI147" i="7"/>
  <c r="BQ147" i="7"/>
  <c r="AT131" i="7"/>
  <c r="BJ131" i="7"/>
  <c r="X131" i="7"/>
  <c r="AF131" i="7"/>
  <c r="BE131" i="7"/>
  <c r="BM131" i="7"/>
  <c r="BU131" i="7"/>
  <c r="K164" i="7"/>
  <c r="S164" i="7"/>
  <c r="AA164" i="7"/>
  <c r="AM164" i="7"/>
  <c r="AU164" i="7"/>
  <c r="BC164" i="7"/>
  <c r="BS164" i="7"/>
  <c r="AC131" i="7"/>
  <c r="AL131" i="7"/>
  <c r="BR131" i="7"/>
  <c r="K147" i="7"/>
  <c r="AU147" i="7"/>
  <c r="BC147" i="7"/>
  <c r="BK147" i="7"/>
  <c r="L164" i="7"/>
  <c r="AB164" i="7"/>
  <c r="BD164" i="7"/>
  <c r="L97" i="7"/>
  <c r="L98" i="7" s="1"/>
  <c r="T97" i="7"/>
  <c r="T98" i="7" s="1"/>
  <c r="S15" i="7"/>
  <c r="S17" i="7" s="1"/>
  <c r="I97" i="7"/>
  <c r="I98" i="7" s="1"/>
  <c r="K97" i="7"/>
  <c r="K98" i="7" s="1"/>
  <c r="H97" i="7"/>
  <c r="H98" i="7" s="1"/>
  <c r="P97" i="7"/>
  <c r="P98" i="7" s="1"/>
  <c r="Q97" i="7"/>
  <c r="Q98" i="7" s="1"/>
  <c r="AN97" i="7"/>
  <c r="AN98" i="7" s="1"/>
  <c r="AV97" i="7"/>
  <c r="AV98" i="7" s="1"/>
  <c r="BD97" i="7"/>
  <c r="BD98" i="7" s="1"/>
  <c r="BL97" i="7"/>
  <c r="BL98" i="7" s="1"/>
  <c r="BT97" i="7"/>
  <c r="BT98" i="7" s="1"/>
  <c r="BG97" i="7"/>
  <c r="BG98" i="7" s="1"/>
  <c r="AK97" i="7"/>
  <c r="AK98" i="7" s="1"/>
  <c r="AS97" i="7"/>
  <c r="AS98" i="7" s="1"/>
  <c r="BA97" i="7"/>
  <c r="BA98" i="7" s="1"/>
  <c r="BI97" i="7"/>
  <c r="BI98" i="7" s="1"/>
  <c r="BQ97" i="7"/>
  <c r="BQ98" i="7" s="1"/>
  <c r="G97" i="7"/>
  <c r="G98" i="7" s="1"/>
  <c r="O97" i="7"/>
  <c r="O98" i="7" s="1"/>
  <c r="BW97" i="7"/>
  <c r="BW98" i="7" s="1"/>
  <c r="C7" i="3"/>
  <c r="F7" i="3" s="1"/>
  <c r="C3" i="3"/>
  <c r="F3" i="3" s="1"/>
  <c r="C5" i="3"/>
  <c r="F5" i="3" s="1"/>
  <c r="BY21" i="7"/>
  <c r="I9" i="6"/>
  <c r="H94" i="6" s="1"/>
  <c r="L8" i="13"/>
  <c r="L8" i="5"/>
  <c r="I3" i="7"/>
  <c r="L3" i="7"/>
  <c r="L12" i="13"/>
  <c r="N12" i="13" s="1"/>
  <c r="J10" i="13"/>
  <c r="J17" i="13" s="1"/>
  <c r="C14" i="5"/>
  <c r="L13" i="5"/>
  <c r="AC52" i="8"/>
  <c r="U52" i="8"/>
  <c r="AB52" i="8"/>
  <c r="T52" i="8"/>
  <c r="AA52" i="8"/>
  <c r="S52" i="8"/>
  <c r="Z52" i="8"/>
  <c r="Y52" i="8"/>
  <c r="X52" i="8"/>
  <c r="W52" i="8"/>
  <c r="V52" i="8"/>
  <c r="AC52" i="7"/>
  <c r="AC48" i="7" s="1"/>
  <c r="AJ48" i="7"/>
  <c r="AB52" i="7"/>
  <c r="AB48" i="7" s="1"/>
  <c r="AI52" i="7"/>
  <c r="AI48" i="7" s="1"/>
  <c r="AA52" i="7"/>
  <c r="AA48" i="7" s="1"/>
  <c r="AG52" i="7"/>
  <c r="AG48" i="7" s="1"/>
  <c r="Y52" i="7"/>
  <c r="Y48" i="7" s="1"/>
  <c r="AH52" i="7"/>
  <c r="AH48" i="7" s="1"/>
  <c r="AF52" i="7"/>
  <c r="AF48" i="7" s="1"/>
  <c r="AE52" i="7"/>
  <c r="AE48" i="7" s="1"/>
  <c r="AD52" i="7"/>
  <c r="AD48" i="7" s="1"/>
  <c r="Z52" i="7"/>
  <c r="X52" i="7"/>
  <c r="W52" i="7"/>
  <c r="W48" i="7" s="1"/>
  <c r="M3" i="7"/>
  <c r="BN3" i="7"/>
  <c r="L11" i="13"/>
  <c r="N11" i="13" s="1"/>
  <c r="L9" i="13"/>
  <c r="N9" i="13" s="1"/>
  <c r="L9" i="5"/>
  <c r="L10" i="13"/>
  <c r="L10" i="5"/>
  <c r="P3" i="7"/>
  <c r="H3" i="7"/>
  <c r="O3" i="7"/>
  <c r="V3" i="7"/>
  <c r="U3" i="7"/>
  <c r="T3" i="7"/>
  <c r="G3" i="3"/>
  <c r="D1" i="3" s="1"/>
  <c r="L12" i="5"/>
  <c r="AB3" i="7"/>
  <c r="AJ3" i="7"/>
  <c r="AR3" i="7"/>
  <c r="AZ3" i="7"/>
  <c r="BH3" i="7"/>
  <c r="BR3" i="7"/>
  <c r="AY103" i="7"/>
  <c r="E147" i="7"/>
  <c r="E148" i="7" s="1"/>
  <c r="F148" i="7" s="1"/>
  <c r="M147" i="7"/>
  <c r="BM147" i="7"/>
  <c r="BU147" i="7"/>
  <c r="AK3" i="7"/>
  <c r="AS3" i="7"/>
  <c r="BA3" i="7"/>
  <c r="BI3" i="7"/>
  <c r="BV3" i="7"/>
  <c r="AD3" i="7"/>
  <c r="AL3" i="7"/>
  <c r="AT3" i="7"/>
  <c r="BB3" i="7"/>
  <c r="BJ3" i="7"/>
  <c r="BW3" i="7"/>
  <c r="BY61" i="7"/>
  <c r="AJ117" i="7"/>
  <c r="AJ103" i="7"/>
  <c r="AR117" i="7"/>
  <c r="AR103" i="7"/>
  <c r="AZ103" i="7"/>
  <c r="AZ117" i="7"/>
  <c r="BH103" i="7"/>
  <c r="BH117" i="7"/>
  <c r="BP103" i="7"/>
  <c r="BP117" i="7"/>
  <c r="BK103" i="7"/>
  <c r="BK164" i="7"/>
  <c r="W3" i="7"/>
  <c r="AE3" i="7"/>
  <c r="AM3" i="7"/>
  <c r="AU3" i="7"/>
  <c r="BC3" i="7"/>
  <c r="BK3" i="7"/>
  <c r="BX3" i="7"/>
  <c r="J97" i="7"/>
  <c r="J98" i="7" s="1"/>
  <c r="R97" i="7"/>
  <c r="R98" i="7" s="1"/>
  <c r="BG103" i="7"/>
  <c r="D119" i="7"/>
  <c r="D120" i="7" s="1"/>
  <c r="E117" i="7"/>
  <c r="E103" i="7"/>
  <c r="M103" i="7"/>
  <c r="M117" i="7"/>
  <c r="AS117" i="7"/>
  <c r="AS103" i="7"/>
  <c r="BA117" i="7"/>
  <c r="BA103" i="7"/>
  <c r="T117" i="7"/>
  <c r="AN164" i="7"/>
  <c r="AN103" i="7"/>
  <c r="AV103" i="7"/>
  <c r="AV164" i="7"/>
  <c r="BL103" i="7"/>
  <c r="BL164" i="7"/>
  <c r="BT103" i="7"/>
  <c r="BT164" i="7"/>
  <c r="X3" i="7"/>
  <c r="AF3" i="7"/>
  <c r="AN3" i="7"/>
  <c r="AV3" i="7"/>
  <c r="BD3" i="7"/>
  <c r="BM3" i="7"/>
  <c r="AE54" i="7"/>
  <c r="AE10" i="7"/>
  <c r="AC152" i="7"/>
  <c r="AC147" i="7"/>
  <c r="Q3" i="7"/>
  <c r="Y3" i="7"/>
  <c r="AG3" i="7"/>
  <c r="AO3" i="7"/>
  <c r="AW3" i="7"/>
  <c r="BE3" i="7"/>
  <c r="AC10" i="7"/>
  <c r="S97" i="7"/>
  <c r="AQ103" i="7"/>
  <c r="AM103" i="7"/>
  <c r="AU103" i="7"/>
  <c r="BC103" i="7"/>
  <c r="BW117" i="7"/>
  <c r="M9" i="5"/>
  <c r="M18" i="5"/>
  <c r="BV3" i="8"/>
  <c r="BU3" i="8"/>
  <c r="BT3" i="8"/>
  <c r="BS3" i="8"/>
  <c r="BR3" i="8"/>
  <c r="BQ3" i="8"/>
  <c r="BX3" i="8"/>
  <c r="BP3" i="8"/>
  <c r="BW3" i="8"/>
  <c r="BK3" i="8"/>
  <c r="BC3" i="8"/>
  <c r="AU3" i="8"/>
  <c r="AM3" i="8"/>
  <c r="AE3" i="8"/>
  <c r="W3" i="8"/>
  <c r="O3" i="8"/>
  <c r="G3" i="8"/>
  <c r="BJ3" i="8"/>
  <c r="BB3" i="8"/>
  <c r="AT3" i="8"/>
  <c r="AL3" i="8"/>
  <c r="AD3" i="8"/>
  <c r="V3" i="8"/>
  <c r="N3" i="8"/>
  <c r="F3" i="8"/>
  <c r="BI3" i="8"/>
  <c r="BA3" i="8"/>
  <c r="AS3" i="8"/>
  <c r="AK3" i="8"/>
  <c r="AC3" i="8"/>
  <c r="U3" i="8"/>
  <c r="M3" i="8"/>
  <c r="E3" i="8"/>
  <c r="BH3" i="8"/>
  <c r="AZ3" i="8"/>
  <c r="AR3" i="8"/>
  <c r="AJ3" i="8"/>
  <c r="AB3" i="8"/>
  <c r="BO3" i="8"/>
  <c r="BG3" i="8"/>
  <c r="AY3" i="8"/>
  <c r="AQ3" i="8"/>
  <c r="AI3" i="8"/>
  <c r="AA3" i="8"/>
  <c r="S3" i="8"/>
  <c r="K3" i="8"/>
  <c r="BN3" i="8"/>
  <c r="BF3" i="8"/>
  <c r="AX3" i="8"/>
  <c r="AP3" i="8"/>
  <c r="BM3" i="8"/>
  <c r="BE3" i="8"/>
  <c r="AW3" i="8"/>
  <c r="AO3" i="8"/>
  <c r="AG3" i="8"/>
  <c r="BL3" i="8"/>
  <c r="BD3" i="8"/>
  <c r="AV3" i="8"/>
  <c r="AN3" i="8"/>
  <c r="AF3" i="8"/>
  <c r="T3" i="8"/>
  <c r="BU3" i="7"/>
  <c r="R3" i="8"/>
  <c r="BT3" i="7"/>
  <c r="BL3" i="7"/>
  <c r="Q3" i="8"/>
  <c r="BS3" i="7"/>
  <c r="P3" i="8"/>
  <c r="AH3" i="8"/>
  <c r="L3" i="8"/>
  <c r="BQ3" i="7"/>
  <c r="Z3" i="8"/>
  <c r="J3" i="8"/>
  <c r="Y3" i="8"/>
  <c r="I3" i="8"/>
  <c r="X3" i="8"/>
  <c r="H3" i="8"/>
  <c r="J3" i="7"/>
  <c r="R3" i="7"/>
  <c r="Z3" i="7"/>
  <c r="AH3" i="7"/>
  <c r="AP3" i="7"/>
  <c r="AX3" i="7"/>
  <c r="BF3" i="7"/>
  <c r="BO3" i="7"/>
  <c r="AM98" i="7"/>
  <c r="AL97" i="7"/>
  <c r="AL98" i="7" s="1"/>
  <c r="AT97" i="7"/>
  <c r="AT98" i="7" s="1"/>
  <c r="BB97" i="7"/>
  <c r="BB98" i="7" s="1"/>
  <c r="BJ97" i="7"/>
  <c r="BJ98" i="7" s="1"/>
  <c r="BR97" i="7"/>
  <c r="BR98" i="7" s="1"/>
  <c r="U15" i="7"/>
  <c r="U18" i="7"/>
  <c r="U97" i="7" s="1"/>
  <c r="BY26" i="7"/>
  <c r="BY25" i="7" s="1"/>
  <c r="K103" i="7"/>
  <c r="AA103" i="7"/>
  <c r="G164" i="7"/>
  <c r="O164" i="7"/>
  <c r="BO164" i="7"/>
  <c r="BW164" i="7"/>
  <c r="K3" i="7"/>
  <c r="S3" i="7"/>
  <c r="AA3" i="7"/>
  <c r="AI3" i="7"/>
  <c r="AQ3" i="7"/>
  <c r="AY3" i="7"/>
  <c r="BG3" i="7"/>
  <c r="BP3" i="7"/>
  <c r="F97" i="7"/>
  <c r="F98" i="7" s="1"/>
  <c r="N97" i="7"/>
  <c r="N98" i="7" s="1"/>
  <c r="BQ103" i="7"/>
  <c r="L117" i="7"/>
  <c r="AB117" i="7"/>
  <c r="D136" i="7"/>
  <c r="L147" i="7"/>
  <c r="T147" i="7"/>
  <c r="BD147" i="7"/>
  <c r="BL147" i="7"/>
  <c r="BT147" i="7"/>
  <c r="P164" i="7"/>
  <c r="BS103" i="7"/>
  <c r="V117" i="7"/>
  <c r="AE117" i="7"/>
  <c r="W117" i="7"/>
  <c r="F103" i="7"/>
  <c r="O117" i="7"/>
  <c r="BM164" i="7"/>
  <c r="BV164" i="7"/>
  <c r="G103" i="7"/>
  <c r="BD103" i="7"/>
  <c r="BE164" i="7"/>
  <c r="BN164" i="7"/>
  <c r="I164" i="7"/>
  <c r="Q164" i="7"/>
  <c r="Y164" i="7"/>
  <c r="AK164" i="7"/>
  <c r="AK165" i="7" s="1"/>
  <c r="AS164" i="7"/>
  <c r="BA164" i="7"/>
  <c r="BI164" i="7"/>
  <c r="BQ164" i="7"/>
  <c r="CB5" i="8"/>
  <c r="E98" i="8"/>
  <c r="E99" i="8" s="1"/>
  <c r="F98" i="8"/>
  <c r="N98" i="8"/>
  <c r="Y61" i="8"/>
  <c r="AC91" i="8"/>
  <c r="E117" i="8"/>
  <c r="C8" i="9" a="1"/>
  <c r="AG117" i="8"/>
  <c r="BF117" i="8"/>
  <c r="CB7" i="8"/>
  <c r="CB51" i="8" s="1"/>
  <c r="K97" i="8"/>
  <c r="K98" i="8" s="1"/>
  <c r="AI97" i="8"/>
  <c r="AI98" i="8" s="1"/>
  <c r="AQ97" i="8"/>
  <c r="AQ98" i="8" s="1"/>
  <c r="AY97" i="8"/>
  <c r="AY98" i="8" s="1"/>
  <c r="BG97" i="8"/>
  <c r="BG98" i="8" s="1"/>
  <c r="BO97" i="8"/>
  <c r="BO98" i="8" s="1"/>
  <c r="BW97" i="8"/>
  <c r="BW98" i="8" s="1"/>
  <c r="Z61" i="8"/>
  <c r="E103" i="8"/>
  <c r="I117" i="8"/>
  <c r="AH117" i="8"/>
  <c r="BU117" i="8"/>
  <c r="BY90" i="8"/>
  <c r="AC111" i="8"/>
  <c r="D119" i="8" s="1"/>
  <c r="D120" i="8" s="1"/>
  <c r="BY11" i="8"/>
  <c r="AC96" i="8" s="1"/>
  <c r="BY96" i="8" s="1"/>
  <c r="BY86" i="8"/>
  <c r="AW117" i="8"/>
  <c r="BV117" i="8"/>
  <c r="L147" i="8"/>
  <c r="L148" i="8" s="1"/>
  <c r="M148" i="8" s="1"/>
  <c r="Z142" i="8"/>
  <c r="Z147" i="8" s="1"/>
  <c r="AB61" i="8"/>
  <c r="AA61" i="8"/>
  <c r="AX117" i="8"/>
  <c r="AA142" i="8"/>
  <c r="AA147" i="8" s="1"/>
  <c r="Q103" i="8"/>
  <c r="Q142" i="8"/>
  <c r="Q147" i="8" s="1"/>
  <c r="Y103" i="8"/>
  <c r="Y142" i="8"/>
  <c r="Y147" i="8" s="1"/>
  <c r="BM117" i="8"/>
  <c r="I98" i="8"/>
  <c r="Q98" i="8"/>
  <c r="AG98" i="8"/>
  <c r="AO98" i="8"/>
  <c r="AW98" i="8"/>
  <c r="BU98" i="8"/>
  <c r="V61" i="8"/>
  <c r="J103" i="8"/>
  <c r="AI117" i="8"/>
  <c r="AQ117" i="8"/>
  <c r="AY117" i="8"/>
  <c r="BG117" i="8"/>
  <c r="BO117" i="8"/>
  <c r="BW117" i="8"/>
  <c r="AO117" i="8"/>
  <c r="BN117" i="8"/>
  <c r="H165" i="8"/>
  <c r="I165" i="8" s="1"/>
  <c r="J165" i="8" s="1"/>
  <c r="K165" i="8" s="1"/>
  <c r="L165" i="8" s="1"/>
  <c r="M165" i="8" s="1"/>
  <c r="N165" i="8" s="1"/>
  <c r="O165" i="8" s="1"/>
  <c r="P165" i="8" s="1"/>
  <c r="Q165" i="8" s="1"/>
  <c r="R165" i="8" s="1"/>
  <c r="S165" i="8" s="1"/>
  <c r="T165" i="8" s="1"/>
  <c r="U165" i="8" s="1"/>
  <c r="V165" i="8" s="1"/>
  <c r="W165" i="8" s="1"/>
  <c r="X165" i="8" s="1"/>
  <c r="Y165" i="8" s="1"/>
  <c r="Z165" i="8" s="1"/>
  <c r="AA165" i="8" s="1"/>
  <c r="AB165" i="8" s="1"/>
  <c r="AC165" i="8" s="1"/>
  <c r="AD165" i="8" s="1"/>
  <c r="AE165" i="8" s="1"/>
  <c r="AF165" i="8" s="1"/>
  <c r="AG165" i="8" s="1"/>
  <c r="AH165" i="8" s="1"/>
  <c r="AI165" i="8" s="1"/>
  <c r="AJ165" i="8" s="1"/>
  <c r="AK165" i="8" s="1"/>
  <c r="AL165" i="8" s="1"/>
  <c r="AM165" i="8" s="1"/>
  <c r="AN165" i="8" s="1"/>
  <c r="AO165" i="8" s="1"/>
  <c r="AP165" i="8" s="1"/>
  <c r="AQ165" i="8" s="1"/>
  <c r="AR165" i="8" s="1"/>
  <c r="AS165" i="8" s="1"/>
  <c r="AT165" i="8" s="1"/>
  <c r="AU165" i="8" s="1"/>
  <c r="AV165" i="8" s="1"/>
  <c r="AW165" i="8" s="1"/>
  <c r="AX165" i="8" s="1"/>
  <c r="AY165" i="8" s="1"/>
  <c r="AZ165" i="8" s="1"/>
  <c r="BA165" i="8" s="1"/>
  <c r="BB165" i="8" s="1"/>
  <c r="BC165" i="8" s="1"/>
  <c r="BD165" i="8" s="1"/>
  <c r="BE165" i="8" s="1"/>
  <c r="BF165" i="8" s="1"/>
  <c r="BG165" i="8" s="1"/>
  <c r="BH165" i="8" s="1"/>
  <c r="BI165" i="8" s="1"/>
  <c r="BJ165" i="8" s="1"/>
  <c r="BK165" i="8" s="1"/>
  <c r="BL165" i="8" s="1"/>
  <c r="BM165" i="8" s="1"/>
  <c r="BN165" i="8" s="1"/>
  <c r="BO165" i="8" s="1"/>
  <c r="BP165" i="8" s="1"/>
  <c r="BQ165" i="8" s="1"/>
  <c r="BR165" i="8" s="1"/>
  <c r="BS165" i="8" s="1"/>
  <c r="BT165" i="8" s="1"/>
  <c r="BU165" i="8" s="1"/>
  <c r="BV165" i="8" s="1"/>
  <c r="BW165" i="8" s="1"/>
  <c r="J98" i="8"/>
  <c r="AH98" i="8"/>
  <c r="BF98" i="8"/>
  <c r="BN98" i="8"/>
  <c r="BV98" i="8"/>
  <c r="W61" i="8"/>
  <c r="AC89" i="8"/>
  <c r="M103" i="8"/>
  <c r="Q117" i="8"/>
  <c r="AP117" i="8"/>
  <c r="E131" i="8"/>
  <c r="R142" i="8"/>
  <c r="R147" i="8" s="1"/>
  <c r="D167" i="8"/>
  <c r="D169" i="8" s="1"/>
  <c r="X61" i="8"/>
  <c r="BO103" i="8"/>
  <c r="L117" i="8"/>
  <c r="T117" i="8"/>
  <c r="AB117" i="8"/>
  <c r="R117" i="8"/>
  <c r="BE117" i="8"/>
  <c r="S142" i="8"/>
  <c r="S147" i="8" s="1"/>
  <c r="V142" i="8"/>
  <c r="V147" i="8" s="1"/>
  <c r="M17" i="13"/>
  <c r="P103" i="8"/>
  <c r="X103" i="8"/>
  <c r="R8" i="9" a="1"/>
  <c r="N13" i="13"/>
  <c r="J68" i="12"/>
  <c r="J72" i="12" s="1"/>
  <c r="J73" i="12" s="1"/>
  <c r="F9" i="13"/>
  <c r="C10" i="13" s="1"/>
  <c r="F99" i="8" l="1"/>
  <c r="L29" i="1"/>
  <c r="P29" i="1"/>
  <c r="Q29" i="1"/>
  <c r="E31" i="1"/>
  <c r="P16" i="1"/>
  <c r="P17" i="1" s="1"/>
  <c r="T16" i="1"/>
  <c r="G99" i="8"/>
  <c r="H99" i="8" s="1"/>
  <c r="N23" i="5"/>
  <c r="G148" i="7"/>
  <c r="CB5" i="7"/>
  <c r="F132" i="7"/>
  <c r="CB20" i="7"/>
  <c r="CB63" i="7" s="1"/>
  <c r="M8" i="9" a="1"/>
  <c r="M76" i="9" s="1"/>
  <c r="F49" i="5"/>
  <c r="I26" i="6"/>
  <c r="M19" i="5"/>
  <c r="BY91" i="7"/>
  <c r="G132" i="7"/>
  <c r="H132" i="7" s="1"/>
  <c r="I132" i="7" s="1"/>
  <c r="J132" i="7" s="1"/>
  <c r="K132" i="7" s="1"/>
  <c r="L132" i="7" s="1"/>
  <c r="M132" i="7" s="1"/>
  <c r="N132" i="7" s="1"/>
  <c r="O132" i="7" s="1"/>
  <c r="P132" i="7" s="1"/>
  <c r="Q132" i="7" s="1"/>
  <c r="R132" i="7" s="1"/>
  <c r="S132" i="7" s="1"/>
  <c r="T132" i="7" s="1"/>
  <c r="U132" i="7" s="1"/>
  <c r="V132" i="7" s="1"/>
  <c r="W132" i="7" s="1"/>
  <c r="X132" i="7" s="1"/>
  <c r="Y132" i="7" s="1"/>
  <c r="Z132" i="7" s="1"/>
  <c r="AA132" i="7" s="1"/>
  <c r="AB132" i="7" s="1"/>
  <c r="AC132" i="7" s="1"/>
  <c r="AD132" i="7" s="1"/>
  <c r="AE132" i="7" s="1"/>
  <c r="AF132" i="7" s="1"/>
  <c r="AG132" i="7" s="1"/>
  <c r="AH132" i="7" s="1"/>
  <c r="AL165" i="7"/>
  <c r="AM165" i="7" s="1"/>
  <c r="AN165" i="7" s="1"/>
  <c r="AO165" i="7" s="1"/>
  <c r="AP165" i="7" s="1"/>
  <c r="AQ165" i="7" s="1"/>
  <c r="AR165" i="7" s="1"/>
  <c r="AS165" i="7" s="1"/>
  <c r="AT165" i="7" s="1"/>
  <c r="AU165" i="7" s="1"/>
  <c r="AV165" i="7" s="1"/>
  <c r="AW165" i="7" s="1"/>
  <c r="AX165" i="7" s="1"/>
  <c r="AY165" i="7" s="1"/>
  <c r="AZ165" i="7" s="1"/>
  <c r="BA165" i="7" s="1"/>
  <c r="BB165" i="7" s="1"/>
  <c r="BC165" i="7" s="1"/>
  <c r="BD165" i="7" s="1"/>
  <c r="BE165" i="7" s="1"/>
  <c r="BF165" i="7" s="1"/>
  <c r="BG165" i="7" s="1"/>
  <c r="BH165" i="7" s="1"/>
  <c r="BI165" i="7" s="1"/>
  <c r="BJ165" i="7" s="1"/>
  <c r="BK165" i="7" s="1"/>
  <c r="BL165" i="7" s="1"/>
  <c r="BM165" i="7" s="1"/>
  <c r="BN165" i="7" s="1"/>
  <c r="BO165" i="7" s="1"/>
  <c r="BP165" i="7" s="1"/>
  <c r="BQ165" i="7" s="1"/>
  <c r="BR165" i="7" s="1"/>
  <c r="BS165" i="7" s="1"/>
  <c r="BT165" i="7" s="1"/>
  <c r="BU165" i="7" s="1"/>
  <c r="BV165" i="7" s="1"/>
  <c r="BW165" i="7" s="1"/>
  <c r="F165" i="7"/>
  <c r="G165" i="7" s="1"/>
  <c r="H165" i="7" s="1"/>
  <c r="I165" i="7" s="1"/>
  <c r="J165" i="7" s="1"/>
  <c r="K165" i="7" s="1"/>
  <c r="L165" i="7" s="1"/>
  <c r="M165" i="7" s="1"/>
  <c r="N165" i="7" s="1"/>
  <c r="O165" i="7" s="1"/>
  <c r="P165" i="7" s="1"/>
  <c r="Q165" i="7" s="1"/>
  <c r="R165" i="7" s="1"/>
  <c r="S165" i="7" s="1"/>
  <c r="T165" i="7" s="1"/>
  <c r="U165" i="7" s="1"/>
  <c r="V165" i="7" s="1"/>
  <c r="W165" i="7" s="1"/>
  <c r="X165" i="7" s="1"/>
  <c r="Y165" i="7" s="1"/>
  <c r="Z165" i="7" s="1"/>
  <c r="AA165" i="7" s="1"/>
  <c r="AB165" i="7" s="1"/>
  <c r="AC165" i="7" s="1"/>
  <c r="AD165" i="7" s="1"/>
  <c r="AE165" i="7" s="1"/>
  <c r="AF165" i="7" s="1"/>
  <c r="AL148" i="7"/>
  <c r="AM148" i="7" s="1"/>
  <c r="AN148" i="7" s="1"/>
  <c r="AO148" i="7" s="1"/>
  <c r="AP148" i="7" s="1"/>
  <c r="AQ148" i="7" s="1"/>
  <c r="AR148" i="7" s="1"/>
  <c r="AS148" i="7" s="1"/>
  <c r="AT148" i="7" s="1"/>
  <c r="AU148" i="7" s="1"/>
  <c r="AV148" i="7" s="1"/>
  <c r="AW148" i="7" s="1"/>
  <c r="AX148" i="7" s="1"/>
  <c r="AY148" i="7" s="1"/>
  <c r="AZ148" i="7" s="1"/>
  <c r="BA148" i="7" s="1"/>
  <c r="BB148" i="7" s="1"/>
  <c r="BC148" i="7" s="1"/>
  <c r="BD148" i="7" s="1"/>
  <c r="BE148" i="7" s="1"/>
  <c r="BF148" i="7" s="1"/>
  <c r="BG148" i="7" s="1"/>
  <c r="BH148" i="7" s="1"/>
  <c r="BI148" i="7" s="1"/>
  <c r="BJ148" i="7" s="1"/>
  <c r="BK148" i="7" s="1"/>
  <c r="BL148" i="7" s="1"/>
  <c r="BM148" i="7" s="1"/>
  <c r="BN148" i="7" s="1"/>
  <c r="BO148" i="7" s="1"/>
  <c r="BP148" i="7" s="1"/>
  <c r="BQ148" i="7" s="1"/>
  <c r="BR148" i="7" s="1"/>
  <c r="BS148" i="7" s="1"/>
  <c r="BT148" i="7" s="1"/>
  <c r="BU148" i="7" s="1"/>
  <c r="BV148" i="7" s="1"/>
  <c r="BW148" i="7" s="1"/>
  <c r="H148" i="7"/>
  <c r="I148" i="7" s="1"/>
  <c r="J148" i="7" s="1"/>
  <c r="K148" i="7" s="1"/>
  <c r="L148" i="7" s="1"/>
  <c r="M148" i="7" s="1"/>
  <c r="D149" i="7"/>
  <c r="F99" i="7"/>
  <c r="G99" i="7" s="1"/>
  <c r="H99" i="7" s="1"/>
  <c r="I99" i="7" s="1"/>
  <c r="J99" i="7" s="1"/>
  <c r="K99" i="7" s="1"/>
  <c r="L99" i="7" s="1"/>
  <c r="M99" i="7" s="1"/>
  <c r="N99" i="7" s="1"/>
  <c r="O99" i="7" s="1"/>
  <c r="P99" i="7" s="1"/>
  <c r="Q99" i="7" s="1"/>
  <c r="R99" i="7" s="1"/>
  <c r="F15" i="5"/>
  <c r="F42" i="13"/>
  <c r="F39" i="13"/>
  <c r="R28" i="13"/>
  <c r="F43" i="13"/>
  <c r="F11" i="13"/>
  <c r="N22" i="13"/>
  <c r="F15" i="13"/>
  <c r="V54" i="8"/>
  <c r="V10" i="8"/>
  <c r="I99" i="8"/>
  <c r="J99" i="8" s="1"/>
  <c r="K99" i="8" s="1"/>
  <c r="L99" i="8" s="1"/>
  <c r="M99" i="8" s="1"/>
  <c r="N99" i="8" s="1"/>
  <c r="O99" i="8" s="1"/>
  <c r="P99" i="8" s="1"/>
  <c r="Q99" i="8" s="1"/>
  <c r="R99" i="8" s="1"/>
  <c r="CB49" i="8"/>
  <c r="CC5" i="8"/>
  <c r="BY61" i="8"/>
  <c r="V14" i="7"/>
  <c r="U17" i="7"/>
  <c r="U98" i="7" s="1"/>
  <c r="N13" i="1"/>
  <c r="N14" i="1" s="1"/>
  <c r="O3" i="1"/>
  <c r="I42" i="6"/>
  <c r="F75" i="5"/>
  <c r="N17" i="5"/>
  <c r="CB46" i="7"/>
  <c r="CB62" i="7" a="1"/>
  <c r="CB62" i="7" s="1"/>
  <c r="E132" i="8"/>
  <c r="F132" i="8" s="1"/>
  <c r="G132" i="8" s="1"/>
  <c r="H132" i="8" s="1"/>
  <c r="I132" i="8" s="1"/>
  <c r="J132" i="8" s="1"/>
  <c r="K132" i="8" s="1"/>
  <c r="L132" i="8" s="1"/>
  <c r="M132" i="8" s="1"/>
  <c r="N132" i="8" s="1"/>
  <c r="O132" i="8" s="1"/>
  <c r="P132" i="8" s="1"/>
  <c r="Q132" i="8" s="1"/>
  <c r="R132" i="8" s="1"/>
  <c r="S132" i="8" s="1"/>
  <c r="T132" i="8" s="1"/>
  <c r="U132" i="8" s="1"/>
  <c r="V132" i="8" s="1"/>
  <c r="W132" i="8" s="1"/>
  <c r="X132" i="8" s="1"/>
  <c r="Y132" i="8" s="1"/>
  <c r="Z132" i="8" s="1"/>
  <c r="AA132" i="8" s="1"/>
  <c r="AB132" i="8" s="1"/>
  <c r="AA10" i="8"/>
  <c r="AA54" i="8"/>
  <c r="Z10" i="8"/>
  <c r="Z54" i="8"/>
  <c r="L4" i="1"/>
  <c r="Q4" i="1" s="1"/>
  <c r="P4" i="1"/>
  <c r="T18" i="1" s="1"/>
  <c r="N13" i="5"/>
  <c r="CB24" i="7" a="1"/>
  <c r="CB24" i="7" s="1"/>
  <c r="CB66" i="7" s="1" a="1"/>
  <c r="CB66" i="7" s="1"/>
  <c r="CB19" i="7"/>
  <c r="CB88" i="7"/>
  <c r="X54" i="8"/>
  <c r="X10" i="8"/>
  <c r="CB54" i="8" a="1"/>
  <c r="CB54" i="8" s="1"/>
  <c r="CB62" i="8" a="1"/>
  <c r="CB62" i="8" s="1"/>
  <c r="CB47" i="8"/>
  <c r="CB22" i="8"/>
  <c r="CB65" i="8" s="1"/>
  <c r="CB18" i="8" a="1"/>
  <c r="CB18" i="8" s="1"/>
  <c r="CB88" i="8"/>
  <c r="CB46" i="8"/>
  <c r="CB21" i="8"/>
  <c r="CB64" i="8" s="1"/>
  <c r="CB24" i="8" a="1"/>
  <c r="CB24" i="8" s="1"/>
  <c r="CB67" i="8" s="1"/>
  <c r="CB87" i="8"/>
  <c r="CB45" i="8"/>
  <c r="CB27" i="8" a="1"/>
  <c r="CB27" i="8" s="1"/>
  <c r="CB70" i="8" s="1"/>
  <c r="CB20" i="8"/>
  <c r="CB63" i="8" s="1"/>
  <c r="CB48" i="8" a="1"/>
  <c r="CB48" i="8" s="1"/>
  <c r="CB86" i="8" a="1"/>
  <c r="CB86" i="8" s="1"/>
  <c r="CB35" i="8" a="1"/>
  <c r="CB35" i="8" s="1"/>
  <c r="CB78" i="8" s="1"/>
  <c r="CB23" i="8"/>
  <c r="CB66" i="8" s="1"/>
  <c r="CB19" i="8"/>
  <c r="CB38" i="8" a="1"/>
  <c r="CB38" i="8" s="1"/>
  <c r="CB81" i="8" s="1"/>
  <c r="N9" i="5"/>
  <c r="P3" i="1"/>
  <c r="T17" i="1" s="1"/>
  <c r="L3" i="1"/>
  <c r="F16" i="13"/>
  <c r="N10" i="13"/>
  <c r="L2" i="1"/>
  <c r="Q2" i="1" s="1"/>
  <c r="CB25" i="7" a="1"/>
  <c r="CB25" i="7" s="1"/>
  <c r="CB67" i="7" s="1"/>
  <c r="CB87" i="7"/>
  <c r="CB28" i="7" a="1"/>
  <c r="CB28" i="7" s="1"/>
  <c r="CB70" i="7" s="1"/>
  <c r="AB54" i="8"/>
  <c r="AB10" i="8"/>
  <c r="AC103" i="8"/>
  <c r="AC126" i="8"/>
  <c r="BY91" i="8"/>
  <c r="N148" i="8"/>
  <c r="O148" i="8" s="1"/>
  <c r="P148" i="8" s="1"/>
  <c r="Q148" i="8" s="1"/>
  <c r="R148" i="8" s="1"/>
  <c r="S148" i="8" s="1"/>
  <c r="T148" i="8" s="1"/>
  <c r="U148" i="8" s="1"/>
  <c r="V148" i="8" s="1"/>
  <c r="W148" i="8" s="1"/>
  <c r="X148" i="8" s="1"/>
  <c r="Y148" i="8" s="1"/>
  <c r="Z148" i="8" s="1"/>
  <c r="AA148" i="8" s="1"/>
  <c r="AB148" i="8" s="1"/>
  <c r="BZ90" i="8"/>
  <c r="BY97" i="8" s="1"/>
  <c r="Y10" i="8"/>
  <c r="Y54" i="8"/>
  <c r="S98" i="7"/>
  <c r="N11" i="5"/>
  <c r="L5" i="1"/>
  <c r="Q5" i="1" s="1"/>
  <c r="BY52" i="7"/>
  <c r="V48" i="7"/>
  <c r="AI28" i="7"/>
  <c r="CB21" i="7"/>
  <c r="CB64" i="7" s="1"/>
  <c r="CB36" i="7" a="1"/>
  <c r="CB36" i="7" s="1"/>
  <c r="CB78" i="7" s="1"/>
  <c r="CB45" i="7"/>
  <c r="BY10" i="7"/>
  <c r="CC5" i="7"/>
  <c r="CB49" i="7"/>
  <c r="N12" i="5"/>
  <c r="CB48" i="7" a="1"/>
  <c r="CB48" i="7" s="1"/>
  <c r="CB47" i="7"/>
  <c r="CB22" i="7"/>
  <c r="CB65" i="7" s="1"/>
  <c r="CB54" i="7" a="1"/>
  <c r="CB54" i="7" s="1"/>
  <c r="S40" i="8"/>
  <c r="CB86" i="7" a="1"/>
  <c r="CB86" i="7" s="1"/>
  <c r="CB18" i="7" a="1"/>
  <c r="CB18" i="7" s="1"/>
  <c r="BY19" i="7"/>
  <c r="R73" i="9"/>
  <c r="R65" i="9"/>
  <c r="R57" i="9"/>
  <c r="R49" i="9"/>
  <c r="R41" i="9"/>
  <c r="R33" i="9"/>
  <c r="R25" i="9"/>
  <c r="R17" i="9"/>
  <c r="R9" i="9"/>
  <c r="R74" i="9"/>
  <c r="R64" i="9"/>
  <c r="R55" i="9"/>
  <c r="R46" i="9"/>
  <c r="R37" i="9"/>
  <c r="R28" i="9"/>
  <c r="R19" i="9"/>
  <c r="R10" i="9"/>
  <c r="R72" i="9"/>
  <c r="R63" i="9"/>
  <c r="R54" i="9"/>
  <c r="R45" i="9"/>
  <c r="R36" i="9"/>
  <c r="R27" i="9"/>
  <c r="R18" i="9"/>
  <c r="R71" i="9"/>
  <c r="R62" i="9"/>
  <c r="R53" i="9"/>
  <c r="R44" i="9"/>
  <c r="R35" i="9"/>
  <c r="R26" i="9"/>
  <c r="R16" i="9"/>
  <c r="R8" i="9"/>
  <c r="S8" i="9" s="1"/>
  <c r="R77" i="9"/>
  <c r="R61" i="9"/>
  <c r="R48" i="9"/>
  <c r="R32" i="9"/>
  <c r="R20" i="9"/>
  <c r="R76" i="9"/>
  <c r="R60" i="9"/>
  <c r="R47" i="9"/>
  <c r="R31" i="9"/>
  <c r="R15" i="9"/>
  <c r="R75" i="9"/>
  <c r="R59" i="9"/>
  <c r="R43" i="9"/>
  <c r="R30" i="9"/>
  <c r="R14" i="9"/>
  <c r="R70" i="9"/>
  <c r="R58" i="9"/>
  <c r="R42" i="9"/>
  <c r="R29" i="9"/>
  <c r="R13" i="9"/>
  <c r="R69" i="9"/>
  <c r="R56" i="9"/>
  <c r="R40" i="9"/>
  <c r="R24" i="9"/>
  <c r="R12" i="9"/>
  <c r="R68" i="9"/>
  <c r="R52" i="9"/>
  <c r="R39" i="9"/>
  <c r="R23" i="9"/>
  <c r="R11" i="9"/>
  <c r="R79" i="9"/>
  <c r="R67" i="9"/>
  <c r="R51" i="9"/>
  <c r="R38" i="9"/>
  <c r="R22" i="9"/>
  <c r="R78" i="9"/>
  <c r="R66" i="9"/>
  <c r="R50" i="9"/>
  <c r="R34" i="9"/>
  <c r="R21" i="9"/>
  <c r="W54" i="8"/>
  <c r="W10" i="8"/>
  <c r="C74" i="9"/>
  <c r="C79" i="9"/>
  <c r="C70" i="9"/>
  <c r="C62" i="9"/>
  <c r="C54" i="9"/>
  <c r="C46" i="9"/>
  <c r="C38" i="9"/>
  <c r="C30" i="9"/>
  <c r="C22" i="9"/>
  <c r="C14" i="9"/>
  <c r="C78" i="9"/>
  <c r="C69" i="9"/>
  <c r="C61" i="9"/>
  <c r="C53" i="9"/>
  <c r="C45" i="9"/>
  <c r="C37" i="9"/>
  <c r="C29" i="9"/>
  <c r="C21" i="9"/>
  <c r="C13" i="9"/>
  <c r="C77" i="9"/>
  <c r="C68" i="9"/>
  <c r="C60" i="9"/>
  <c r="C52" i="9"/>
  <c r="C44" i="9"/>
  <c r="C36" i="9"/>
  <c r="C28" i="9"/>
  <c r="C20" i="9"/>
  <c r="C12" i="9"/>
  <c r="C67" i="9"/>
  <c r="C56" i="9"/>
  <c r="C42" i="9"/>
  <c r="C31" i="9"/>
  <c r="C17" i="9"/>
  <c r="C66" i="9"/>
  <c r="C55" i="9"/>
  <c r="C41" i="9"/>
  <c r="C27" i="9"/>
  <c r="C16" i="9"/>
  <c r="C65" i="9"/>
  <c r="C51" i="9"/>
  <c r="C40" i="9"/>
  <c r="C26" i="9"/>
  <c r="C15" i="9"/>
  <c r="C76" i="9"/>
  <c r="C64" i="9"/>
  <c r="C50" i="9"/>
  <c r="C39" i="9"/>
  <c r="C25" i="9"/>
  <c r="C11" i="9"/>
  <c r="C75" i="9"/>
  <c r="C63" i="9"/>
  <c r="C49" i="9"/>
  <c r="C35" i="9"/>
  <c r="C24" i="9"/>
  <c r="C10" i="9"/>
  <c r="C73" i="9"/>
  <c r="C59" i="9"/>
  <c r="C48" i="9"/>
  <c r="C34" i="9"/>
  <c r="C23" i="9"/>
  <c r="C9" i="9"/>
  <c r="C72" i="9"/>
  <c r="C58" i="9"/>
  <c r="C47" i="9"/>
  <c r="C33" i="9"/>
  <c r="C19" i="9"/>
  <c r="C71" i="9"/>
  <c r="C57" i="9"/>
  <c r="C43" i="9"/>
  <c r="C32" i="9"/>
  <c r="C18" i="9"/>
  <c r="C8" i="9"/>
  <c r="D8" i="9" s="1"/>
  <c r="N18" i="5"/>
  <c r="L12" i="1"/>
  <c r="Q12" i="1" s="1"/>
  <c r="P12" i="1"/>
  <c r="BY52" i="8"/>
  <c r="I11" i="6"/>
  <c r="G11" i="6" s="1"/>
  <c r="W28" i="7"/>
  <c r="N8" i="13"/>
  <c r="CB39" i="7" a="1"/>
  <c r="CB39" i="7" s="1"/>
  <c r="CB81" i="7" s="1"/>
  <c r="U40" i="8"/>
  <c r="AB40" i="8"/>
  <c r="T40" i="8"/>
  <c r="AA40" i="8"/>
  <c r="Z40" i="8"/>
  <c r="Y40" i="8"/>
  <c r="X40" i="8"/>
  <c r="W40" i="8"/>
  <c r="V40" i="8"/>
  <c r="J20" i="5" l="1"/>
  <c r="N19" i="5"/>
  <c r="U26" i="1"/>
  <c r="V26" i="1" s="1"/>
  <c r="T26" i="1"/>
  <c r="T27" i="1" s="1"/>
  <c r="AI79" i="7"/>
  <c r="AI62" i="7" s="1"/>
  <c r="AI79" i="14"/>
  <c r="AC79" i="8"/>
  <c r="BY79" i="8" s="1"/>
  <c r="BY62" i="8" s="1"/>
  <c r="BZ9" i="7"/>
  <c r="CA11" i="7" s="1"/>
  <c r="V18" i="7"/>
  <c r="BY23" i="7"/>
  <c r="BY18" i="7" s="1"/>
  <c r="M70" i="9"/>
  <c r="M43" i="9"/>
  <c r="M55" i="9"/>
  <c r="M59" i="9"/>
  <c r="M65" i="9"/>
  <c r="M35" i="9"/>
  <c r="M62" i="9"/>
  <c r="M21" i="9"/>
  <c r="M54" i="9"/>
  <c r="M46" i="9"/>
  <c r="M64" i="9"/>
  <c r="M8" i="9"/>
  <c r="N8" i="9" s="1"/>
  <c r="O8" i="9" s="1"/>
  <c r="M16" i="9"/>
  <c r="M74" i="9"/>
  <c r="M51" i="9"/>
  <c r="M22" i="9"/>
  <c r="M20" i="9"/>
  <c r="M41" i="9"/>
  <c r="M34" i="9"/>
  <c r="M36" i="9"/>
  <c r="M66" i="9"/>
  <c r="M67" i="9"/>
  <c r="M14" i="9"/>
  <c r="M45" i="9"/>
  <c r="M50" i="9"/>
  <c r="M73" i="9"/>
  <c r="M39" i="9"/>
  <c r="M52" i="9"/>
  <c r="M69" i="9"/>
  <c r="M15" i="9"/>
  <c r="M17" i="9"/>
  <c r="M18" i="9"/>
  <c r="M47" i="9"/>
  <c r="M25" i="9"/>
  <c r="M31" i="9"/>
  <c r="M33" i="9"/>
  <c r="M37" i="9"/>
  <c r="M56" i="9"/>
  <c r="M75" i="9"/>
  <c r="M44" i="9"/>
  <c r="M24" i="9"/>
  <c r="M42" i="9"/>
  <c r="M61" i="9"/>
  <c r="M63" i="9"/>
  <c r="M19" i="9"/>
  <c r="M48" i="9"/>
  <c r="M60" i="9"/>
  <c r="M40" i="9"/>
  <c r="M71" i="9"/>
  <c r="M77" i="9"/>
  <c r="M79" i="9"/>
  <c r="M38" i="9"/>
  <c r="M57" i="9"/>
  <c r="M68" i="9"/>
  <c r="M23" i="9"/>
  <c r="M13" i="9"/>
  <c r="M58" i="9"/>
  <c r="M32" i="9"/>
  <c r="M78" i="9"/>
  <c r="M27" i="9"/>
  <c r="M29" i="9"/>
  <c r="M30" i="9"/>
  <c r="M28" i="9"/>
  <c r="M53" i="9"/>
  <c r="M26" i="9"/>
  <c r="M72" i="9"/>
  <c r="M49" i="9"/>
  <c r="M9" i="9"/>
  <c r="M10" i="9"/>
  <c r="M11" i="9"/>
  <c r="M12" i="9"/>
  <c r="Q3" i="1"/>
  <c r="BY40" i="8"/>
  <c r="T8" i="9"/>
  <c r="S9" i="9"/>
  <c r="CC18" i="8"/>
  <c r="CB61" i="8"/>
  <c r="H8" i="9" a="1"/>
  <c r="D134" i="8"/>
  <c r="D136" i="8" s="1"/>
  <c r="F22" i="13"/>
  <c r="C23" i="13" s="1"/>
  <c r="AJ62" i="7"/>
  <c r="Y39" i="8"/>
  <c r="X39" i="8"/>
  <c r="W39" i="8"/>
  <c r="V39" i="8"/>
  <c r="U39" i="8"/>
  <c r="AB39" i="8"/>
  <c r="T39" i="8"/>
  <c r="AA39" i="8"/>
  <c r="S39" i="8"/>
  <c r="Z39" i="8"/>
  <c r="I25" i="6"/>
  <c r="H97" i="6" s="1"/>
  <c r="I99" i="6" s="1"/>
  <c r="N148" i="7"/>
  <c r="O148" i="7" s="1"/>
  <c r="P148" i="7" s="1"/>
  <c r="Q148" i="7" s="1"/>
  <c r="R148" i="7" s="1"/>
  <c r="S148" i="7" s="1"/>
  <c r="T148" i="7" s="1"/>
  <c r="U148" i="7" s="1"/>
  <c r="V148" i="7" s="1"/>
  <c r="W148" i="7" s="1"/>
  <c r="X148" i="7" s="1"/>
  <c r="Y148" i="7" s="1"/>
  <c r="Z148" i="7" s="1"/>
  <c r="AA148" i="7" s="1"/>
  <c r="AB148" i="7" s="1"/>
  <c r="AC148" i="7" s="1"/>
  <c r="AD148" i="7" s="1"/>
  <c r="AE148" i="7" s="1"/>
  <c r="AF148" i="7" s="1"/>
  <c r="D150" i="7"/>
  <c r="D152" i="7" s="1"/>
  <c r="D154" i="7" s="1"/>
  <c r="AC142" i="8"/>
  <c r="D167" i="7"/>
  <c r="D169" i="7" s="1"/>
  <c r="AC62" i="8"/>
  <c r="I12" i="6"/>
  <c r="BY10" i="8"/>
  <c r="BZ9" i="8" s="1"/>
  <c r="S99" i="7"/>
  <c r="T99" i="7" s="1"/>
  <c r="U99" i="7" s="1"/>
  <c r="D9" i="9"/>
  <c r="E8" i="9"/>
  <c r="CC18" i="7"/>
  <c r="CB61" i="7"/>
  <c r="CB10" i="7"/>
  <c r="BY79" i="7" l="1"/>
  <c r="BY62" i="7" s="1"/>
  <c r="CB9" i="7"/>
  <c r="AI96" i="7"/>
  <c r="AI89" i="7" s="1"/>
  <c r="BY79" i="14"/>
  <c r="BY62" i="14" s="1"/>
  <c r="AI62" i="14"/>
  <c r="CB10" i="8"/>
  <c r="CB11" i="7"/>
  <c r="CB55" i="7" s="1"/>
  <c r="N9" i="9"/>
  <c r="U38" i="8"/>
  <c r="V38" i="8"/>
  <c r="X38" i="8"/>
  <c r="F33" i="13"/>
  <c r="F28" i="13"/>
  <c r="F36" i="13"/>
  <c r="F35" i="13"/>
  <c r="F34" i="13"/>
  <c r="F29" i="13"/>
  <c r="F24" i="13"/>
  <c r="F38" i="13"/>
  <c r="F30" i="13"/>
  <c r="F37" i="13"/>
  <c r="Z38" i="8"/>
  <c r="T9" i="9"/>
  <c r="S10" i="9"/>
  <c r="H79" i="9"/>
  <c r="H71" i="9"/>
  <c r="H63" i="9"/>
  <c r="H55" i="9"/>
  <c r="H47" i="9"/>
  <c r="H39" i="9"/>
  <c r="H31" i="9"/>
  <c r="H23" i="9"/>
  <c r="H15" i="9"/>
  <c r="H8" i="9"/>
  <c r="I8" i="9" s="1"/>
  <c r="H77" i="9"/>
  <c r="H68" i="9"/>
  <c r="H59" i="9"/>
  <c r="H50" i="9"/>
  <c r="H41" i="9"/>
  <c r="H32" i="9"/>
  <c r="H22" i="9"/>
  <c r="H13" i="9"/>
  <c r="H76" i="9"/>
  <c r="H67" i="9"/>
  <c r="H58" i="9"/>
  <c r="H49" i="9"/>
  <c r="H40" i="9"/>
  <c r="H30" i="9"/>
  <c r="H21" i="9"/>
  <c r="H12" i="9"/>
  <c r="H75" i="9"/>
  <c r="H66" i="9"/>
  <c r="H57" i="9"/>
  <c r="H48" i="9"/>
  <c r="H38" i="9"/>
  <c r="H29" i="9"/>
  <c r="H20" i="9"/>
  <c r="H11" i="9"/>
  <c r="H65" i="9"/>
  <c r="H52" i="9"/>
  <c r="H36" i="9"/>
  <c r="H24" i="9"/>
  <c r="H64" i="9"/>
  <c r="H51" i="9"/>
  <c r="H35" i="9"/>
  <c r="H19" i="9"/>
  <c r="H78" i="9"/>
  <c r="H62" i="9"/>
  <c r="H46" i="9"/>
  <c r="H34" i="9"/>
  <c r="H18" i="9"/>
  <c r="H74" i="9"/>
  <c r="H61" i="9"/>
  <c r="H45" i="9"/>
  <c r="H33" i="9"/>
  <c r="H17" i="9"/>
  <c r="H73" i="9"/>
  <c r="H60" i="9"/>
  <c r="H44" i="9"/>
  <c r="H28" i="9"/>
  <c r="H16" i="9"/>
  <c r="H72" i="9"/>
  <c r="H56" i="9"/>
  <c r="H43" i="9"/>
  <c r="H27" i="9"/>
  <c r="H14" i="9"/>
  <c r="H70" i="9"/>
  <c r="H54" i="9"/>
  <c r="H42" i="9"/>
  <c r="H26" i="9"/>
  <c r="H10" i="9"/>
  <c r="H69" i="9"/>
  <c r="H53" i="9"/>
  <c r="H37" i="9"/>
  <c r="H25" i="9"/>
  <c r="H9" i="9"/>
  <c r="BY96" i="7"/>
  <c r="BZ90" i="7" s="1"/>
  <c r="BY97" i="7" s="1"/>
  <c r="AJ89" i="7"/>
  <c r="CB53" i="7"/>
  <c r="W38" i="8"/>
  <c r="BY39" i="8"/>
  <c r="Y38" i="8"/>
  <c r="E9" i="9"/>
  <c r="D10" i="9"/>
  <c r="CA9" i="8"/>
  <c r="BY40" i="7"/>
  <c r="V39" i="7"/>
  <c r="AA38" i="8"/>
  <c r="AJ39" i="7"/>
  <c r="O9" i="9"/>
  <c r="N10" i="9"/>
  <c r="CC9" i="7" l="1"/>
  <c r="CA11" i="8"/>
  <c r="CB11" i="8" s="1"/>
  <c r="CB55" i="8" s="1"/>
  <c r="CB9" i="8"/>
  <c r="S38" i="8"/>
  <c r="BY38" i="8"/>
  <c r="N11" i="9"/>
  <c r="O10" i="9"/>
  <c r="E10" i="9"/>
  <c r="D11" i="9"/>
  <c r="R30" i="13"/>
  <c r="V15" i="7"/>
  <c r="V97" i="7"/>
  <c r="T10" i="9"/>
  <c r="S11" i="9"/>
  <c r="CB53" i="8"/>
  <c r="CC9" i="8"/>
  <c r="J8" i="9"/>
  <c r="I9" i="9"/>
  <c r="N12" i="9" l="1"/>
  <c r="O11" i="9"/>
  <c r="X14" i="7"/>
  <c r="V17" i="7"/>
  <c r="V98" i="7" s="1"/>
  <c r="V99" i="7" s="1"/>
  <c r="E11" i="9"/>
  <c r="D12" i="9"/>
  <c r="T11" i="9"/>
  <c r="S12" i="9"/>
  <c r="I10" i="9"/>
  <c r="J9" i="9"/>
  <c r="O12" i="9" l="1"/>
  <c r="N13" i="9"/>
  <c r="S13" i="9"/>
  <c r="T12" i="9"/>
  <c r="D13" i="9"/>
  <c r="E12" i="9"/>
  <c r="AJ17" i="7"/>
  <c r="X48" i="7"/>
  <c r="I11" i="9"/>
  <c r="J10" i="9"/>
  <c r="T13" i="9" l="1"/>
  <c r="S14" i="9"/>
  <c r="J11" i="9"/>
  <c r="I12" i="9"/>
  <c r="D14" i="9"/>
  <c r="E13" i="9"/>
  <c r="O13" i="9"/>
  <c r="N14" i="9"/>
  <c r="E14" i="9" l="1"/>
  <c r="D15" i="9"/>
  <c r="T14" i="9"/>
  <c r="S15" i="9"/>
  <c r="J12" i="9"/>
  <c r="I13" i="9"/>
  <c r="O14" i="9"/>
  <c r="N15" i="9"/>
  <c r="S16" i="9" l="1"/>
  <c r="T15" i="9"/>
  <c r="I14" i="9"/>
  <c r="J13" i="9"/>
  <c r="E15" i="9"/>
  <c r="D16" i="9"/>
  <c r="O15" i="9"/>
  <c r="N16" i="9"/>
  <c r="I15" i="9" l="1"/>
  <c r="J14" i="9"/>
  <c r="E16" i="9"/>
  <c r="D17" i="9"/>
  <c r="O16" i="9"/>
  <c r="N17" i="9"/>
  <c r="T16" i="9"/>
  <c r="S17" i="9"/>
  <c r="O17" i="9" l="1"/>
  <c r="N18" i="9"/>
  <c r="S18" i="9"/>
  <c r="T17" i="9"/>
  <c r="D18" i="9"/>
  <c r="E17" i="9"/>
  <c r="I16" i="9"/>
  <c r="J15" i="9"/>
  <c r="E18" i="9" l="1"/>
  <c r="D19" i="9"/>
  <c r="S19" i="9"/>
  <c r="T18" i="9"/>
  <c r="O18" i="9"/>
  <c r="N19" i="9"/>
  <c r="J16" i="9"/>
  <c r="I17" i="9"/>
  <c r="I18" i="9" l="1"/>
  <c r="J17" i="9"/>
  <c r="S20" i="9"/>
  <c r="T19" i="9"/>
  <c r="D20" i="9"/>
  <c r="E19" i="9"/>
  <c r="O19" i="9"/>
  <c r="N20" i="9"/>
  <c r="O20" i="9" l="1"/>
  <c r="N21" i="9"/>
  <c r="S21" i="9"/>
  <c r="T20" i="9"/>
  <c r="E20" i="9"/>
  <c r="D21" i="9"/>
  <c r="J18" i="9"/>
  <c r="I19" i="9"/>
  <c r="E21" i="9" l="1"/>
  <c r="D22" i="9"/>
  <c r="J19" i="9"/>
  <c r="I20" i="9"/>
  <c r="S22" i="9"/>
  <c r="T21" i="9"/>
  <c r="O21" i="9"/>
  <c r="N22" i="9"/>
  <c r="O22" i="9" l="1"/>
  <c r="N23" i="9"/>
  <c r="I21" i="9"/>
  <c r="J20" i="9"/>
  <c r="E22" i="9"/>
  <c r="D23" i="9"/>
  <c r="S23" i="9"/>
  <c r="T22" i="9"/>
  <c r="S24" i="9" l="1"/>
  <c r="T23" i="9"/>
  <c r="D24" i="9"/>
  <c r="E23" i="9"/>
  <c r="J21" i="9"/>
  <c r="I22" i="9"/>
  <c r="O23" i="9"/>
  <c r="N24" i="9"/>
  <c r="O24" i="9" l="1"/>
  <c r="N25" i="9"/>
  <c r="I23" i="9"/>
  <c r="J22" i="9"/>
  <c r="E24" i="9"/>
  <c r="D25" i="9"/>
  <c r="S25" i="9"/>
  <c r="T24" i="9"/>
  <c r="S26" i="9" l="1"/>
  <c r="T25" i="9"/>
  <c r="D26" i="9"/>
  <c r="E25" i="9"/>
  <c r="I24" i="9"/>
  <c r="J23" i="9"/>
  <c r="O25" i="9"/>
  <c r="N26" i="9"/>
  <c r="O26" i="9" l="1"/>
  <c r="N27" i="9"/>
  <c r="I25" i="9"/>
  <c r="J24" i="9"/>
  <c r="D27" i="9"/>
  <c r="E26" i="9"/>
  <c r="S27" i="9"/>
  <c r="T26" i="9"/>
  <c r="S28" i="9" l="1"/>
  <c r="T27" i="9"/>
  <c r="E27" i="9"/>
  <c r="D28" i="9"/>
  <c r="J25" i="9"/>
  <c r="I26" i="9"/>
  <c r="O27" i="9"/>
  <c r="N28" i="9"/>
  <c r="O28" i="9" l="1"/>
  <c r="N29" i="9"/>
  <c r="I27" i="9"/>
  <c r="J26" i="9"/>
  <c r="D29" i="9"/>
  <c r="E28" i="9"/>
  <c r="S29" i="9"/>
  <c r="T28" i="9"/>
  <c r="S30" i="9" l="1"/>
  <c r="T29" i="9"/>
  <c r="E29" i="9"/>
  <c r="D30" i="9"/>
  <c r="J27" i="9"/>
  <c r="I28" i="9"/>
  <c r="O29" i="9"/>
  <c r="N30" i="9"/>
  <c r="N31" i="9" l="1"/>
  <c r="I29" i="9"/>
  <c r="J28" i="9"/>
  <c r="D31" i="9"/>
  <c r="E30" i="9"/>
  <c r="S31" i="9"/>
  <c r="T30" i="9"/>
  <c r="S32" i="9" l="1"/>
  <c r="T31" i="9"/>
  <c r="D32" i="9"/>
  <c r="E31" i="9"/>
  <c r="AC55" i="8" s="1"/>
  <c r="I30" i="9"/>
  <c r="J29" i="9"/>
  <c r="O31" i="9"/>
  <c r="N32" i="9"/>
  <c r="O32" i="9" l="1"/>
  <c r="N33" i="9"/>
  <c r="J30" i="9"/>
  <c r="I31" i="9"/>
  <c r="AC113" i="8"/>
  <c r="AC117" i="8" s="1"/>
  <c r="BY55" i="8"/>
  <c r="D33" i="9"/>
  <c r="E32" i="9"/>
  <c r="S33" i="9"/>
  <c r="T32" i="9"/>
  <c r="I32" i="9" l="1"/>
  <c r="J31" i="9"/>
  <c r="AC56" i="8" s="1"/>
  <c r="S34" i="9"/>
  <c r="T33" i="9"/>
  <c r="O33" i="9"/>
  <c r="N34" i="9"/>
  <c r="D34" i="9"/>
  <c r="E33" i="9"/>
  <c r="S35" i="9" l="1"/>
  <c r="T34" i="9"/>
  <c r="O34" i="9"/>
  <c r="N35" i="9"/>
  <c r="I33" i="9"/>
  <c r="J32" i="9"/>
  <c r="AC128" i="8"/>
  <c r="AC131" i="8" s="1"/>
  <c r="BY56" i="8"/>
  <c r="BY54" i="8" s="1"/>
  <c r="AC144" i="8"/>
  <c r="AC54" i="8"/>
  <c r="D35" i="9"/>
  <c r="E34" i="9"/>
  <c r="AC132" i="8" l="1"/>
  <c r="AD132" i="8" s="1"/>
  <c r="AE132" i="8" s="1"/>
  <c r="AF132" i="8" s="1"/>
  <c r="AG132" i="8" s="1"/>
  <c r="AH132" i="8" s="1"/>
  <c r="AI132" i="8" s="1"/>
  <c r="AJ132" i="8" s="1"/>
  <c r="AK132" i="8" s="1"/>
  <c r="AL132" i="8" s="1"/>
  <c r="AM132" i="8" s="1"/>
  <c r="AN132" i="8" s="1"/>
  <c r="AO132" i="8" s="1"/>
  <c r="AP132" i="8" s="1"/>
  <c r="AQ132" i="8" s="1"/>
  <c r="AR132" i="8" s="1"/>
  <c r="AS132" i="8" s="1"/>
  <c r="AT132" i="8" s="1"/>
  <c r="AU132" i="8" s="1"/>
  <c r="AV132" i="8" s="1"/>
  <c r="AW132" i="8" s="1"/>
  <c r="AX132" i="8" s="1"/>
  <c r="AY132" i="8" s="1"/>
  <c r="AZ132" i="8" s="1"/>
  <c r="BA132" i="8" s="1"/>
  <c r="BB132" i="8" s="1"/>
  <c r="BC132" i="8" s="1"/>
  <c r="BD132" i="8" s="1"/>
  <c r="BE132" i="8" s="1"/>
  <c r="BF132" i="8" s="1"/>
  <c r="BG132" i="8" s="1"/>
  <c r="BH132" i="8" s="1"/>
  <c r="BI132" i="8" s="1"/>
  <c r="BJ132" i="8" s="1"/>
  <c r="BK132" i="8" s="1"/>
  <c r="BL132" i="8" s="1"/>
  <c r="BM132" i="8" s="1"/>
  <c r="BN132" i="8" s="1"/>
  <c r="BO132" i="8" s="1"/>
  <c r="BP132" i="8" s="1"/>
  <c r="BQ132" i="8" s="1"/>
  <c r="BR132" i="8" s="1"/>
  <c r="BS132" i="8" s="1"/>
  <c r="BT132" i="8" s="1"/>
  <c r="BU132" i="8" s="1"/>
  <c r="BV132" i="8" s="1"/>
  <c r="BW132" i="8" s="1"/>
  <c r="J33" i="9"/>
  <c r="I34" i="9"/>
  <c r="O35" i="9"/>
  <c r="N36" i="9"/>
  <c r="E35" i="9"/>
  <c r="D36" i="9"/>
  <c r="AC152" i="8"/>
  <c r="S36" i="9"/>
  <c r="T35" i="9"/>
  <c r="D37" i="9" l="1"/>
  <c r="E36" i="9"/>
  <c r="S37" i="9"/>
  <c r="T36" i="9"/>
  <c r="O36" i="9"/>
  <c r="N37" i="9"/>
  <c r="I35" i="9"/>
  <c r="J34" i="9"/>
  <c r="O37" i="9" l="1"/>
  <c r="N38" i="9"/>
  <c r="J35" i="9"/>
  <c r="I36" i="9"/>
  <c r="S38" i="9"/>
  <c r="T37" i="9"/>
  <c r="E37" i="9"/>
  <c r="D38" i="9"/>
  <c r="P38" i="9" l="1"/>
  <c r="P37" i="9"/>
  <c r="AI56" i="7"/>
  <c r="AI128" i="7" s="1"/>
  <c r="E38" i="9"/>
  <c r="D39" i="9"/>
  <c r="S39" i="9"/>
  <c r="T38" i="9"/>
  <c r="I37" i="9"/>
  <c r="J36" i="9"/>
  <c r="O38" i="9"/>
  <c r="AJ128" i="7" s="1"/>
  <c r="N39" i="9"/>
  <c r="AI54" i="7" l="1"/>
  <c r="O39" i="9"/>
  <c r="N40" i="9"/>
  <c r="AJ54" i="7"/>
  <c r="AJ97" i="7" s="1"/>
  <c r="AJ98" i="7" s="1"/>
  <c r="BY56" i="7"/>
  <c r="I38" i="9"/>
  <c r="J37" i="9"/>
  <c r="S40" i="9"/>
  <c r="T39" i="9"/>
  <c r="D40" i="9"/>
  <c r="E39" i="9"/>
  <c r="J38" i="9" l="1"/>
  <c r="I39" i="9"/>
  <c r="S41" i="9"/>
  <c r="T40" i="9"/>
  <c r="BY54" i="7"/>
  <c r="F74" i="5"/>
  <c r="E40" i="9"/>
  <c r="D41" i="9"/>
  <c r="O40" i="9"/>
  <c r="N41" i="9"/>
  <c r="AB50" i="8" l="1"/>
  <c r="AB48" i="8" s="1"/>
  <c r="T50" i="8"/>
  <c r="T48" i="8" s="1"/>
  <c r="AA50" i="8"/>
  <c r="AA48" i="8" s="1"/>
  <c r="S50" i="8"/>
  <c r="Z50" i="8"/>
  <c r="Z48" i="8" s="1"/>
  <c r="Y50" i="8"/>
  <c r="Y48" i="8" s="1"/>
  <c r="X50" i="8"/>
  <c r="X48" i="8" s="1"/>
  <c r="W50" i="8"/>
  <c r="W48" i="8" s="1"/>
  <c r="V50" i="8"/>
  <c r="V48" i="8" s="1"/>
  <c r="AC50" i="8"/>
  <c r="AC48" i="8" s="1"/>
  <c r="U50" i="8"/>
  <c r="O41" i="9"/>
  <c r="N42" i="9"/>
  <c r="D42" i="9"/>
  <c r="E41" i="9"/>
  <c r="S42" i="9"/>
  <c r="T41" i="9"/>
  <c r="I40" i="9"/>
  <c r="J39" i="9"/>
  <c r="AJ131" i="7"/>
  <c r="O42" i="9" l="1"/>
  <c r="N43" i="9"/>
  <c r="S43" i="9"/>
  <c r="T42" i="9"/>
  <c r="S48" i="8"/>
  <c r="BY50" i="8"/>
  <c r="J40" i="9"/>
  <c r="I41" i="9"/>
  <c r="D43" i="9"/>
  <c r="E42" i="9"/>
  <c r="S44" i="9" l="1"/>
  <c r="T43" i="9"/>
  <c r="O43" i="9"/>
  <c r="N44" i="9"/>
  <c r="J41" i="9"/>
  <c r="I42" i="9"/>
  <c r="E43" i="9"/>
  <c r="D44" i="9"/>
  <c r="S45" i="9" l="1"/>
  <c r="T44" i="9"/>
  <c r="O44" i="9"/>
  <c r="N45" i="9"/>
  <c r="I43" i="9"/>
  <c r="J42" i="9"/>
  <c r="D45" i="9"/>
  <c r="E44" i="9"/>
  <c r="O45" i="9" l="1"/>
  <c r="N46" i="9"/>
  <c r="E45" i="9"/>
  <c r="D46" i="9"/>
  <c r="J43" i="9"/>
  <c r="I44" i="9"/>
  <c r="S46" i="9"/>
  <c r="T45" i="9"/>
  <c r="S47" i="9" l="1"/>
  <c r="T46" i="9"/>
  <c r="D47" i="9"/>
  <c r="E46" i="9"/>
  <c r="I45" i="9"/>
  <c r="J44" i="9"/>
  <c r="O46" i="9"/>
  <c r="N47" i="9"/>
  <c r="O47" i="9" l="1"/>
  <c r="N48" i="9"/>
  <c r="I46" i="9"/>
  <c r="J45" i="9"/>
  <c r="D48" i="9"/>
  <c r="E47" i="9"/>
  <c r="S48" i="9"/>
  <c r="T47" i="9"/>
  <c r="O48" i="9" l="1"/>
  <c r="N49" i="9"/>
  <c r="S49" i="9"/>
  <c r="T48" i="9"/>
  <c r="E48" i="9"/>
  <c r="D49" i="9"/>
  <c r="J46" i="9"/>
  <c r="I47" i="9"/>
  <c r="I48" i="9" l="1"/>
  <c r="J47" i="9"/>
  <c r="D50" i="9"/>
  <c r="E49" i="9"/>
  <c r="S50" i="9"/>
  <c r="T49" i="9"/>
  <c r="O49" i="9"/>
  <c r="N50" i="9"/>
  <c r="O50" i="9" l="1"/>
  <c r="N51" i="9"/>
  <c r="S51" i="9"/>
  <c r="T50" i="9"/>
  <c r="D51" i="9"/>
  <c r="E50" i="9"/>
  <c r="J48" i="9"/>
  <c r="I49" i="9"/>
  <c r="J49" i="9" l="1"/>
  <c r="I50" i="9"/>
  <c r="E51" i="9"/>
  <c r="D52" i="9"/>
  <c r="S52" i="9"/>
  <c r="T51" i="9"/>
  <c r="O51" i="9"/>
  <c r="N52" i="9"/>
  <c r="O52" i="9" l="1"/>
  <c r="N53" i="9"/>
  <c r="S53" i="9"/>
  <c r="T52" i="9"/>
  <c r="D53" i="9"/>
  <c r="E52" i="9"/>
  <c r="I51" i="9"/>
  <c r="J50" i="9"/>
  <c r="J51" i="9" l="1"/>
  <c r="I52" i="9"/>
  <c r="E53" i="9"/>
  <c r="D54" i="9"/>
  <c r="S54" i="9"/>
  <c r="T53" i="9"/>
  <c r="O53" i="9"/>
  <c r="N54" i="9"/>
  <c r="O54" i="9" l="1"/>
  <c r="N55" i="9"/>
  <c r="S55" i="9"/>
  <c r="T54" i="9"/>
  <c r="D55" i="9"/>
  <c r="E54" i="9"/>
  <c r="I53" i="9"/>
  <c r="J52" i="9"/>
  <c r="I54" i="9" l="1"/>
  <c r="J53" i="9"/>
  <c r="D56" i="9"/>
  <c r="E55" i="9"/>
  <c r="S56" i="9"/>
  <c r="T55" i="9"/>
  <c r="O55" i="9"/>
  <c r="N56" i="9"/>
  <c r="O56" i="9" l="1"/>
  <c r="N57" i="9"/>
  <c r="S57" i="9"/>
  <c r="T56" i="9"/>
  <c r="E56" i="9"/>
  <c r="D57" i="9"/>
  <c r="J54" i="9"/>
  <c r="I55" i="9"/>
  <c r="I56" i="9" l="1"/>
  <c r="J55" i="9"/>
  <c r="D58" i="9"/>
  <c r="E57" i="9"/>
  <c r="S58" i="9"/>
  <c r="T57" i="9"/>
  <c r="O57" i="9"/>
  <c r="N58" i="9"/>
  <c r="O58" i="9" l="1"/>
  <c r="N59" i="9"/>
  <c r="S59" i="9"/>
  <c r="T58" i="9"/>
  <c r="D59" i="9"/>
  <c r="E58" i="9"/>
  <c r="J56" i="9"/>
  <c r="I57" i="9"/>
  <c r="J57" i="9" l="1"/>
  <c r="I58" i="9"/>
  <c r="E59" i="9"/>
  <c r="D60" i="9"/>
  <c r="S60" i="9"/>
  <c r="T59" i="9"/>
  <c r="O59" i="9"/>
  <c r="N60" i="9"/>
  <c r="O60" i="9" l="1"/>
  <c r="N61" i="9"/>
  <c r="S61" i="9"/>
  <c r="T60" i="9"/>
  <c r="D61" i="9"/>
  <c r="E60" i="9"/>
  <c r="I59" i="9"/>
  <c r="J58" i="9"/>
  <c r="J59" i="9" l="1"/>
  <c r="I60" i="9"/>
  <c r="E61" i="9"/>
  <c r="D62" i="9"/>
  <c r="S62" i="9"/>
  <c r="T61" i="9"/>
  <c r="O61" i="9"/>
  <c r="N62" i="9"/>
  <c r="O62" i="9" l="1"/>
  <c r="N63" i="9"/>
  <c r="S63" i="9"/>
  <c r="T62" i="9"/>
  <c r="D63" i="9"/>
  <c r="E62" i="9"/>
  <c r="I61" i="9"/>
  <c r="J60" i="9"/>
  <c r="I62" i="9" l="1"/>
  <c r="J61" i="9"/>
  <c r="D64" i="9"/>
  <c r="E63" i="9"/>
  <c r="S64" i="9"/>
  <c r="T63" i="9"/>
  <c r="O63" i="9"/>
  <c r="N64" i="9"/>
  <c r="O64" i="9" l="1"/>
  <c r="N65" i="9"/>
  <c r="S65" i="9"/>
  <c r="T64" i="9"/>
  <c r="E64" i="9"/>
  <c r="D65" i="9"/>
  <c r="J62" i="9"/>
  <c r="I63" i="9"/>
  <c r="I64" i="9" l="1"/>
  <c r="J63" i="9"/>
  <c r="D66" i="9"/>
  <c r="E65" i="9"/>
  <c r="S66" i="9"/>
  <c r="T65" i="9"/>
  <c r="O65" i="9"/>
  <c r="N66" i="9"/>
  <c r="O66" i="9" l="1"/>
  <c r="N67" i="9"/>
  <c r="S67" i="9"/>
  <c r="T66" i="9"/>
  <c r="E66" i="9"/>
  <c r="D67" i="9"/>
  <c r="I65" i="9"/>
  <c r="J64" i="9"/>
  <c r="J65" i="9" l="1"/>
  <c r="I66" i="9"/>
  <c r="E67" i="9"/>
  <c r="D68" i="9"/>
  <c r="S68" i="9"/>
  <c r="T67" i="9"/>
  <c r="O67" i="9"/>
  <c r="N68" i="9"/>
  <c r="O68" i="9" l="1"/>
  <c r="N69" i="9"/>
  <c r="S69" i="9"/>
  <c r="T68" i="9"/>
  <c r="D69" i="9"/>
  <c r="E68" i="9"/>
  <c r="I67" i="9"/>
  <c r="J66" i="9"/>
  <c r="J67" i="9" l="1"/>
  <c r="I68" i="9"/>
  <c r="E69" i="9"/>
  <c r="D70" i="9"/>
  <c r="S70" i="9"/>
  <c r="T69" i="9"/>
  <c r="O69" i="9"/>
  <c r="N70" i="9"/>
  <c r="O70" i="9" l="1"/>
  <c r="N71" i="9"/>
  <c r="S71" i="9"/>
  <c r="T70" i="9"/>
  <c r="D71" i="9"/>
  <c r="E70" i="9"/>
  <c r="I69" i="9"/>
  <c r="J68" i="9"/>
  <c r="I70" i="9" l="1"/>
  <c r="J69" i="9"/>
  <c r="D72" i="9"/>
  <c r="E71" i="9"/>
  <c r="S72" i="9"/>
  <c r="T71" i="9"/>
  <c r="O71" i="9"/>
  <c r="N72" i="9"/>
  <c r="O72" i="9" l="1"/>
  <c r="N73" i="9"/>
  <c r="S73" i="9"/>
  <c r="T72" i="9"/>
  <c r="E72" i="9"/>
  <c r="D73" i="9"/>
  <c r="J70" i="9"/>
  <c r="I71" i="9"/>
  <c r="I72" i="9" l="1"/>
  <c r="J71" i="9"/>
  <c r="D74" i="9"/>
  <c r="E73" i="9"/>
  <c r="S74" i="9"/>
  <c r="T73" i="9"/>
  <c r="O73" i="9"/>
  <c r="N74" i="9"/>
  <c r="O74" i="9" l="1"/>
  <c r="N75" i="9"/>
  <c r="S75" i="9"/>
  <c r="T74" i="9"/>
  <c r="E74" i="9"/>
  <c r="D75" i="9"/>
  <c r="I73" i="9"/>
  <c r="J72" i="9"/>
  <c r="J73" i="9" l="1"/>
  <c r="I74" i="9"/>
  <c r="E75" i="9"/>
  <c r="D76" i="9"/>
  <c r="S76" i="9"/>
  <c r="T75" i="9"/>
  <c r="O75" i="9"/>
  <c r="N76" i="9"/>
  <c r="O76" i="9" l="1"/>
  <c r="N77" i="9"/>
  <c r="S77" i="9"/>
  <c r="T76" i="9"/>
  <c r="D77" i="9"/>
  <c r="E76" i="9"/>
  <c r="I75" i="9"/>
  <c r="J74" i="9"/>
  <c r="J75" i="9" l="1"/>
  <c r="I76" i="9"/>
  <c r="E77" i="9"/>
  <c r="D78" i="9"/>
  <c r="S78" i="9"/>
  <c r="T77" i="9"/>
  <c r="O77" i="9"/>
  <c r="N78" i="9"/>
  <c r="O78" i="9" l="1"/>
  <c r="N79" i="9"/>
  <c r="O79" i="9" s="1"/>
  <c r="S79" i="9"/>
  <c r="T79" i="9" s="1"/>
  <c r="T78" i="9"/>
  <c r="D79" i="9"/>
  <c r="E79" i="9" s="1"/>
  <c r="E78" i="9"/>
  <c r="J76" i="9"/>
  <c r="I77" i="9"/>
  <c r="I78" i="9" l="1"/>
  <c r="J77" i="9"/>
  <c r="J78" i="9" l="1"/>
  <c r="I79" i="9"/>
  <c r="J79" i="9" s="1"/>
  <c r="K13" i="1"/>
  <c r="N16" i="5"/>
  <c r="P10" i="1"/>
  <c r="H10" i="1"/>
  <c r="L10" i="1"/>
  <c r="Q10" i="1" s="1"/>
  <c r="E26" i="1" l="1"/>
  <c r="AI12" i="14"/>
  <c r="AI12" i="7"/>
  <c r="AH12" i="7"/>
  <c r="BY12" i="7" s="1"/>
  <c r="P14" i="1"/>
  <c r="E24" i="1"/>
  <c r="L16" i="13"/>
  <c r="L16" i="5"/>
  <c r="L19" i="5" s="1"/>
  <c r="H52" i="6"/>
  <c r="I52" i="6" s="1"/>
  <c r="I53" i="6" s="1"/>
  <c r="P13" i="1"/>
  <c r="F66" i="5" s="1"/>
  <c r="AG47" i="14" s="1"/>
  <c r="Q20" i="5" l="1"/>
  <c r="J31" i="5"/>
  <c r="BY12" i="14"/>
  <c r="H28" i="6"/>
  <c r="I28" i="6" s="1"/>
  <c r="J32" i="5"/>
  <c r="G65" i="6"/>
  <c r="N26" i="5"/>
  <c r="N16" i="13"/>
  <c r="J18" i="13" s="1"/>
  <c r="L17" i="13"/>
  <c r="AI13" i="14" l="1"/>
  <c r="AH47" i="14"/>
  <c r="BY13" i="14"/>
  <c r="AG47" i="7"/>
  <c r="Z47" i="7"/>
  <c r="F31" i="13"/>
  <c r="J26" i="13"/>
  <c r="G66" i="6"/>
  <c r="AI13" i="7"/>
  <c r="AE13" i="8"/>
  <c r="H96" i="6"/>
  <c r="BY47" i="14" l="1"/>
  <c r="BY47" i="7"/>
  <c r="H99" i="6"/>
  <c r="H89" i="6"/>
  <c r="BY13" i="8"/>
  <c r="BY13" i="7"/>
  <c r="CB13" i="7" s="1"/>
  <c r="CB57" i="7" s="1"/>
  <c r="F32" i="13"/>
  <c r="F41" i="13" s="1"/>
  <c r="CB13" i="8" l="1"/>
  <c r="CB57" i="8" s="1"/>
  <c r="F40" i="13"/>
  <c r="C44" i="13" s="1"/>
  <c r="C47" i="13" s="1"/>
  <c r="Q61" i="13"/>
  <c r="Q59" i="13"/>
  <c r="Q58" i="13"/>
  <c r="Q60" i="13"/>
  <c r="Q50" i="13" l="1"/>
  <c r="R23" i="13"/>
  <c r="F45" i="13"/>
  <c r="Q51" i="13"/>
  <c r="R52" i="13"/>
  <c r="Q52" i="13" s="1"/>
  <c r="Q49" i="13"/>
  <c r="C49" i="13"/>
  <c r="N23" i="13"/>
  <c r="Q41" i="13"/>
  <c r="Q39" i="13"/>
  <c r="Q40" i="13"/>
  <c r="R43" i="13"/>
  <c r="Q43" i="13" s="1"/>
  <c r="N20" i="13"/>
  <c r="N21" i="13" s="1"/>
  <c r="Q42" i="13"/>
  <c r="N25" i="13"/>
  <c r="R24" i="13" l="1"/>
  <c r="R25" i="13" s="1"/>
  <c r="M29" i="13"/>
  <c r="R29" i="13" l="1"/>
  <c r="R31" i="13" s="1"/>
  <c r="N33" i="13"/>
  <c r="N31" i="13"/>
  <c r="N32" i="13"/>
  <c r="AB38" i="8"/>
  <c r="T38" i="8"/>
  <c r="AD28" i="8"/>
  <c r="AD27" i="8"/>
  <c r="AD97" i="8" s="1"/>
  <c r="AE28" i="8"/>
  <c r="AE27" i="8"/>
  <c r="AE97" i="8"/>
  <c r="I16" i="6"/>
  <c r="H17" i="6"/>
  <c r="AG29" i="7"/>
  <c r="AB29" i="7"/>
  <c r="AC29" i="7"/>
  <c r="AE29" i="7"/>
  <c r="AF29" i="7"/>
  <c r="AD29" i="7"/>
  <c r="AA29" i="7"/>
  <c r="AH29" i="7"/>
  <c r="AC28" i="8"/>
  <c r="AC27" i="8"/>
  <c r="W28" i="8"/>
  <c r="X28" i="8"/>
  <c r="Y28" i="8"/>
  <c r="Z28" i="8"/>
  <c r="AA28" i="8"/>
  <c r="AB28" i="8"/>
  <c r="Y29" i="7"/>
  <c r="Z29" i="7"/>
  <c r="BY29" i="7" s="1"/>
  <c r="V28" i="8"/>
  <c r="BY28" i="8"/>
  <c r="F29" i="5"/>
  <c r="F37" i="5"/>
  <c r="Z33" i="7" l="1"/>
  <c r="AA33" i="7"/>
  <c r="AB33" i="7"/>
  <c r="AC33" i="7"/>
  <c r="AD33" i="7"/>
  <c r="AE33" i="7"/>
  <c r="AF33" i="7"/>
  <c r="AG33" i="7"/>
  <c r="AH33" i="7"/>
  <c r="Y33" i="7"/>
  <c r="Z32" i="8"/>
  <c r="Y32" i="8"/>
  <c r="X32" i="8"/>
  <c r="W32" i="8"/>
  <c r="V32" i="8"/>
  <c r="V15" i="8" s="1"/>
  <c r="X14" i="8" s="1"/>
  <c r="X17" i="8" s="1"/>
  <c r="T32" i="8"/>
  <c r="U32" i="8"/>
  <c r="S32" i="8"/>
  <c r="AB32" i="8"/>
  <c r="I18" i="6"/>
  <c r="I17" i="6" s="1"/>
  <c r="AA32" i="8"/>
  <c r="E29" i="5"/>
  <c r="H16" i="6"/>
  <c r="I19" i="6"/>
  <c r="C40" i="5" l="1"/>
  <c r="BY35" i="14"/>
  <c r="BY33" i="14"/>
  <c r="Y28" i="14"/>
  <c r="Z28" i="14"/>
  <c r="AA28" i="14"/>
  <c r="AB28" i="14"/>
  <c r="AC28" i="14"/>
  <c r="AD28" i="14"/>
  <c r="AE28" i="14"/>
  <c r="AF28" i="14"/>
  <c r="AG28" i="14"/>
  <c r="AH28" i="14"/>
  <c r="Y35" i="7"/>
  <c r="AA35" i="7"/>
  <c r="AD35" i="7"/>
  <c r="AE35" i="7"/>
  <c r="W34" i="8"/>
  <c r="V34" i="8"/>
  <c r="V27" i="8" s="1"/>
  <c r="V97" i="8" s="1"/>
  <c r="U34" i="8"/>
  <c r="AB34" i="8"/>
  <c r="AA34" i="8"/>
  <c r="Z34" i="8"/>
  <c r="Y34" i="8"/>
  <c r="X34" i="8"/>
  <c r="AH35" i="7"/>
  <c r="AG35" i="7"/>
  <c r="AG28" i="7" s="1"/>
  <c r="AF35" i="7"/>
  <c r="Z35" i="7"/>
  <c r="AC35" i="7"/>
  <c r="AB35" i="7"/>
  <c r="T34" i="8"/>
  <c r="BY34" i="8" s="1"/>
  <c r="AA27" i="8"/>
  <c r="AA97" i="8" s="1"/>
  <c r="AA15" i="8"/>
  <c r="AC14" i="8" s="1"/>
  <c r="AC17" i="8" s="1"/>
  <c r="AB27" i="8"/>
  <c r="AB97" i="8" s="1"/>
  <c r="AB15" i="8"/>
  <c r="AD14" i="8" s="1"/>
  <c r="AD17" i="8" s="1"/>
  <c r="AD98" i="8" s="1"/>
  <c r="X28" i="7"/>
  <c r="BY33" i="7"/>
  <c r="Z28" i="7"/>
  <c r="AA28" i="7"/>
  <c r="AB28" i="7"/>
  <c r="AC28" i="7"/>
  <c r="AD28" i="7"/>
  <c r="AE28" i="7"/>
  <c r="AF28" i="7"/>
  <c r="S27" i="8"/>
  <c r="S97" i="8" s="1"/>
  <c r="BY32" i="8"/>
  <c r="BY27" i="8" s="1"/>
  <c r="S15" i="8"/>
  <c r="U15" i="8"/>
  <c r="W14" i="8" s="1"/>
  <c r="W17" i="8" s="1"/>
  <c r="U27" i="8"/>
  <c r="T27" i="8"/>
  <c r="T97" i="8" s="1"/>
  <c r="T15" i="8"/>
  <c r="W27" i="8"/>
  <c r="W97" i="8" s="1"/>
  <c r="W15" i="8"/>
  <c r="Y14" i="8" s="1"/>
  <c r="Y17" i="8" s="1"/>
  <c r="X27" i="8"/>
  <c r="X97" i="8" s="1"/>
  <c r="X98" i="8" s="1"/>
  <c r="X15" i="8"/>
  <c r="Z14" i="8" s="1"/>
  <c r="Z17" i="8" s="1"/>
  <c r="Y27" i="8"/>
  <c r="Y97" i="8" s="1"/>
  <c r="Y15" i="8"/>
  <c r="AA14" i="8" s="1"/>
  <c r="AA17" i="8" s="1"/>
  <c r="AA98" i="8" s="1"/>
  <c r="Z27" i="8"/>
  <c r="Z97" i="8" s="1"/>
  <c r="Z15" i="8"/>
  <c r="AB14" i="8" s="1"/>
  <c r="AB17" i="8" s="1"/>
  <c r="AB98" i="8" s="1"/>
  <c r="AH28" i="7"/>
  <c r="BY28" i="14" l="1"/>
  <c r="Z98" i="8"/>
  <c r="Y98" i="8"/>
  <c r="T17" i="8"/>
  <c r="T98" i="8" s="1"/>
  <c r="V14" i="8"/>
  <c r="V17" i="8" s="1"/>
  <c r="V98" i="8" s="1"/>
  <c r="W98" i="8"/>
  <c r="S17" i="8"/>
  <c r="S98" i="8" s="1"/>
  <c r="S99" i="8" s="1"/>
  <c r="BY15" i="8"/>
  <c r="U14" i="8"/>
  <c r="BY35" i="7"/>
  <c r="BY28" i="7" s="1"/>
  <c r="Y28" i="7"/>
  <c r="CB14" i="8" l="1"/>
  <c r="CB58" i="8" s="1"/>
  <c r="U17" i="8"/>
  <c r="BY14" i="8"/>
  <c r="BZ12" i="8" s="1"/>
  <c r="T99" i="8"/>
  <c r="CB12" i="8" l="1"/>
  <c r="BY17" i="8"/>
  <c r="CC12" i="8" l="1"/>
  <c r="CB17" i="8" s="1"/>
  <c r="CB60" i="8" s="1"/>
  <c r="CB56" i="8"/>
  <c r="F63" i="5"/>
  <c r="AG44" i="7"/>
  <c r="F64" i="5"/>
  <c r="AI45" i="7"/>
  <c r="F20" i="5"/>
  <c r="F19" i="5"/>
  <c r="C23" i="5"/>
  <c r="F24" i="5"/>
  <c r="F62" i="5"/>
  <c r="C67" i="5"/>
  <c r="F41" i="5"/>
  <c r="E55" i="5"/>
  <c r="F68" i="5" l="1"/>
  <c r="I67" i="5"/>
  <c r="AI43" i="14"/>
  <c r="AH43" i="14"/>
  <c r="AG43" i="14"/>
  <c r="BY45" i="14"/>
  <c r="Z45" i="7"/>
  <c r="AA45" i="7"/>
  <c r="AI44" i="14"/>
  <c r="AH44" i="14"/>
  <c r="AG44" i="14"/>
  <c r="BY44" i="14"/>
  <c r="AC43" i="8"/>
  <c r="Z43" i="7"/>
  <c r="AI43" i="7"/>
  <c r="AH43" i="7"/>
  <c r="AA43" i="7"/>
  <c r="AE43" i="7"/>
  <c r="Y43" i="7"/>
  <c r="AG43" i="7"/>
  <c r="AG39" i="7" s="1"/>
  <c r="AD43" i="7"/>
  <c r="AB43" i="7"/>
  <c r="AC43" i="7"/>
  <c r="AF43" i="7"/>
  <c r="S43" i="8"/>
  <c r="I27" i="6"/>
  <c r="AA43" i="8"/>
  <c r="Z43" i="8"/>
  <c r="AB43" i="8"/>
  <c r="T43" i="8"/>
  <c r="Y43" i="8"/>
  <c r="V43" i="8"/>
  <c r="U43" i="8"/>
  <c r="W43" i="8"/>
  <c r="X43" i="8"/>
  <c r="D83" i="5"/>
  <c r="I23" i="6"/>
  <c r="I29" i="6" s="1"/>
  <c r="I32" i="6" s="1"/>
  <c r="S45" i="8"/>
  <c r="AC45" i="8"/>
  <c r="AB45" i="8"/>
  <c r="T45" i="8"/>
  <c r="AH45" i="7"/>
  <c r="S44" i="8"/>
  <c r="AE44" i="7"/>
  <c r="T44" i="8"/>
  <c r="W44" i="8"/>
  <c r="Z44" i="7"/>
  <c r="Y44" i="8"/>
  <c r="AA44" i="8"/>
  <c r="Z44" i="8"/>
  <c r="AH44" i="7"/>
  <c r="X44" i="8"/>
  <c r="AA44" i="7"/>
  <c r="AB44" i="8"/>
  <c r="U44" i="8"/>
  <c r="AC44" i="8"/>
  <c r="V44" i="8"/>
  <c r="AB44" i="7"/>
  <c r="AD44" i="7"/>
  <c r="AI44" i="7"/>
  <c r="Y44" i="7"/>
  <c r="AC44" i="7"/>
  <c r="AF44" i="7"/>
  <c r="BY43" i="14" l="1"/>
  <c r="BY39" i="14" s="1"/>
  <c r="Y39" i="14"/>
  <c r="Z39" i="14"/>
  <c r="AA39" i="14"/>
  <c r="AA15" i="14" s="1"/>
  <c r="AC39" i="14"/>
  <c r="AC15" i="14" s="1"/>
  <c r="AD39" i="14"/>
  <c r="AE39" i="14"/>
  <c r="AE15" i="14" s="1"/>
  <c r="AF39" i="14"/>
  <c r="AF15" i="14" s="1"/>
  <c r="AG39" i="14"/>
  <c r="AH39" i="14"/>
  <c r="AI39" i="14"/>
  <c r="BY44" i="7"/>
  <c r="BY44" i="8"/>
  <c r="BY45" i="7"/>
  <c r="BY45" i="8"/>
  <c r="F39" i="6"/>
  <c r="F42" i="6"/>
  <c r="F73" i="5"/>
  <c r="AB48" i="14" s="1"/>
  <c r="AB97" i="14" s="1"/>
  <c r="BY43" i="8"/>
  <c r="AF39" i="7"/>
  <c r="AC39" i="7"/>
  <c r="AB39" i="7"/>
  <c r="AD39" i="7"/>
  <c r="AG15" i="7"/>
  <c r="AG97" i="7"/>
  <c r="Y39" i="7"/>
  <c r="AE39" i="7"/>
  <c r="AA39" i="7"/>
  <c r="AH39" i="7"/>
  <c r="X39" i="7"/>
  <c r="AI39" i="7"/>
  <c r="BY43" i="7"/>
  <c r="BY39" i="7" s="1"/>
  <c r="W39" i="7"/>
  <c r="W15" i="7" s="1"/>
  <c r="Z39" i="7"/>
  <c r="AC38" i="8"/>
  <c r="Z15" i="14" l="1"/>
  <c r="AI15" i="14"/>
  <c r="AI97" i="14"/>
  <c r="AH15" i="14"/>
  <c r="AH97" i="14"/>
  <c r="AG15" i="14"/>
  <c r="AG97" i="14"/>
  <c r="AH14" i="14"/>
  <c r="AF97" i="14"/>
  <c r="AG14" i="14"/>
  <c r="AE97" i="14"/>
  <c r="AD15" i="14"/>
  <c r="AF17" i="14" s="1"/>
  <c r="AF98" i="14" s="1"/>
  <c r="AD97" i="14"/>
  <c r="AE17" i="14"/>
  <c r="AE98" i="14" s="1"/>
  <c r="AC97" i="14"/>
  <c r="AC14" i="14"/>
  <c r="AC17" i="14" s="1"/>
  <c r="AA97" i="14"/>
  <c r="AB17" i="14"/>
  <c r="AB98" i="14" s="1"/>
  <c r="Z17" i="14"/>
  <c r="Y15" i="14"/>
  <c r="Y97" i="14"/>
  <c r="BY49" i="14"/>
  <c r="BY48" i="14" s="1"/>
  <c r="BZ18" i="14" s="1"/>
  <c r="BY89" i="14" s="1"/>
  <c r="Z48" i="14"/>
  <c r="Z97" i="14" s="1"/>
  <c r="AC97" i="8"/>
  <c r="AC98" i="8" s="1"/>
  <c r="AC15" i="8"/>
  <c r="AE14" i="8" s="1"/>
  <c r="Z15" i="7"/>
  <c r="AB14" i="7" s="1"/>
  <c r="W97" i="7"/>
  <c r="AI15" i="7"/>
  <c r="AI97" i="7"/>
  <c r="X15" i="7"/>
  <c r="X97" i="7"/>
  <c r="AH97" i="7"/>
  <c r="AH15" i="7"/>
  <c r="AA15" i="7"/>
  <c r="AC14" i="7" s="1"/>
  <c r="AA97" i="7"/>
  <c r="AE15" i="7"/>
  <c r="AG14" i="7" s="1"/>
  <c r="AG17" i="7" s="1"/>
  <c r="AG98" i="7" s="1"/>
  <c r="AE97" i="7"/>
  <c r="Y15" i="7"/>
  <c r="AA14" i="7" s="1"/>
  <c r="AA17" i="7" s="1"/>
  <c r="AA98" i="7" s="1"/>
  <c r="Y97" i="7"/>
  <c r="AD15" i="7"/>
  <c r="AF14" i="7" s="1"/>
  <c r="AD97" i="7"/>
  <c r="AB15" i="7"/>
  <c r="AD14" i="7" s="1"/>
  <c r="AD17" i="7" s="1"/>
  <c r="AD98" i="7" s="1"/>
  <c r="AB97" i="7"/>
  <c r="AC15" i="7"/>
  <c r="AE14" i="7" s="1"/>
  <c r="AE17" i="7" s="1"/>
  <c r="AE98" i="7" s="1"/>
  <c r="AC97" i="7"/>
  <c r="AF15" i="7"/>
  <c r="AH14" i="7" s="1"/>
  <c r="AH17" i="7" s="1"/>
  <c r="AH98" i="7" s="1"/>
  <c r="AF97" i="7"/>
  <c r="Z49" i="7"/>
  <c r="C78" i="5"/>
  <c r="U49" i="8"/>
  <c r="I43" i="6"/>
  <c r="D84" i="5"/>
  <c r="D85" i="5" s="1"/>
  <c r="F40" i="6"/>
  <c r="I40" i="6" s="1"/>
  <c r="G59" i="6"/>
  <c r="I59" i="6" s="1"/>
  <c r="F41" i="6"/>
  <c r="I41" i="6" s="1"/>
  <c r="G60" i="6"/>
  <c r="I60" i="6" s="1"/>
  <c r="AI14" i="14" l="1"/>
  <c r="AI17" i="14" s="1"/>
  <c r="AI98" i="14" s="1"/>
  <c r="Z98" i="14"/>
  <c r="AD17" i="14"/>
  <c r="AD98" i="14" s="1"/>
  <c r="AH17" i="14"/>
  <c r="AH98" i="14" s="1"/>
  <c r="AI14" i="7"/>
  <c r="AI17" i="7" s="1"/>
  <c r="AI98" i="7" s="1"/>
  <c r="AG17" i="14"/>
  <c r="AG98" i="14" s="1"/>
  <c r="AC98" i="14"/>
  <c r="Y17" i="14"/>
  <c r="Y98" i="14" s="1"/>
  <c r="Y99" i="14" s="1"/>
  <c r="Z99" i="14" s="1"/>
  <c r="BY15" i="14"/>
  <c r="I44" i="6"/>
  <c r="I47" i="6" s="1"/>
  <c r="BY49" i="8"/>
  <c r="BY48" i="8" s="1"/>
  <c r="BZ18" i="8" s="1"/>
  <c r="BY89" i="8" s="1"/>
  <c r="BY98" i="8" s="1"/>
  <c r="U48" i="8"/>
  <c r="U97" i="8" s="1"/>
  <c r="U98" i="8" s="1"/>
  <c r="U99" i="8" s="1"/>
  <c r="V99" i="8" s="1"/>
  <c r="W99" i="8" s="1"/>
  <c r="X99" i="8" s="1"/>
  <c r="Y99" i="8" s="1"/>
  <c r="Z99" i="8" s="1"/>
  <c r="AA99" i="8" s="1"/>
  <c r="AB99" i="8" s="1"/>
  <c r="AC99" i="8" s="1"/>
  <c r="F79" i="5"/>
  <c r="C90" i="5"/>
  <c r="BY49" i="7"/>
  <c r="BY48" i="7" s="1"/>
  <c r="BZ18" i="7" s="1"/>
  <c r="BY89" i="7" s="1"/>
  <c r="Z48" i="7"/>
  <c r="Z97" i="7" s="1"/>
  <c r="AF17" i="7"/>
  <c r="AF98" i="7" s="1"/>
  <c r="AC17" i="7"/>
  <c r="AC98" i="7" s="1"/>
  <c r="Z14" i="7"/>
  <c r="Z17" i="7" s="1"/>
  <c r="X17" i="7"/>
  <c r="X98" i="7" s="1"/>
  <c r="Y14" i="7"/>
  <c r="BY15" i="7"/>
  <c r="W17" i="7"/>
  <c r="W98" i="7" s="1"/>
  <c r="W99" i="7" s="1"/>
  <c r="AB17" i="7"/>
  <c r="AB98" i="7" s="1"/>
  <c r="AE17" i="8"/>
  <c r="AE98" i="8" s="1"/>
  <c r="CB59" i="8" a="1"/>
  <c r="CB59" i="8" s="1"/>
  <c r="Z98" i="7" l="1"/>
  <c r="AA17" i="14"/>
  <c r="AA98" i="14" s="1"/>
  <c r="AA99" i="14" s="1"/>
  <c r="AB99" i="14" s="1"/>
  <c r="AC99" i="14" s="1"/>
  <c r="AD99" i="14" s="1"/>
  <c r="AE99" i="14" s="1"/>
  <c r="AF99" i="14" s="1"/>
  <c r="AG99" i="14" s="1"/>
  <c r="AH99" i="14" s="1"/>
  <c r="AI99" i="14" s="1"/>
  <c r="AI133" i="14" s="1"/>
  <c r="BY14" i="14"/>
  <c r="BZ12" i="14" s="1"/>
  <c r="AC145" i="8"/>
  <c r="AD99" i="8"/>
  <c r="AE99" i="8" s="1"/>
  <c r="AF99" i="8" s="1"/>
  <c r="AG99" i="8" s="1"/>
  <c r="AH99" i="8" s="1"/>
  <c r="AI99" i="8" s="1"/>
  <c r="AJ99" i="8" s="1"/>
  <c r="AK99" i="8" s="1"/>
  <c r="AL99" i="8" s="1"/>
  <c r="AM99" i="8" s="1"/>
  <c r="AN99" i="8" s="1"/>
  <c r="AO99" i="8" s="1"/>
  <c r="AP99" i="8" s="1"/>
  <c r="AQ99" i="8" s="1"/>
  <c r="AR99" i="8" s="1"/>
  <c r="AS99" i="8" s="1"/>
  <c r="AT99" i="8" s="1"/>
  <c r="AU99" i="8" s="1"/>
  <c r="AV99" i="8" s="1"/>
  <c r="AW99" i="8" s="1"/>
  <c r="AX99" i="8" s="1"/>
  <c r="AY99" i="8" s="1"/>
  <c r="AZ99" i="8" s="1"/>
  <c r="BA99" i="8" s="1"/>
  <c r="BB99" i="8" s="1"/>
  <c r="BC99" i="8" s="1"/>
  <c r="BD99" i="8" s="1"/>
  <c r="BE99" i="8" s="1"/>
  <c r="BF99" i="8" s="1"/>
  <c r="BG99" i="8" s="1"/>
  <c r="BH99" i="8" s="1"/>
  <c r="BI99" i="8" s="1"/>
  <c r="BJ99" i="8" s="1"/>
  <c r="BK99" i="8" s="1"/>
  <c r="BL99" i="8" s="1"/>
  <c r="BM99" i="8" s="1"/>
  <c r="BN99" i="8" s="1"/>
  <c r="BO99" i="8" s="1"/>
  <c r="BP99" i="8" s="1"/>
  <c r="BQ99" i="8" s="1"/>
  <c r="BR99" i="8" s="1"/>
  <c r="BS99" i="8" s="1"/>
  <c r="BT99" i="8" s="1"/>
  <c r="BU99" i="8" s="1"/>
  <c r="BV99" i="8" s="1"/>
  <c r="BW99" i="8" s="1"/>
  <c r="BX99" i="8" s="1"/>
  <c r="BY14" i="7"/>
  <c r="BZ12" i="7" s="1"/>
  <c r="CB14" i="7"/>
  <c r="CB58" i="7" s="1"/>
  <c r="CB59" i="7" a="1"/>
  <c r="CB59" i="7" s="1"/>
  <c r="Y17" i="7"/>
  <c r="Y98" i="7" s="1"/>
  <c r="X99" i="7"/>
  <c r="N28" i="5"/>
  <c r="M37" i="5" s="1"/>
  <c r="D86" i="5"/>
  <c r="C92" i="5"/>
  <c r="D87" i="5"/>
  <c r="N21" i="5"/>
  <c r="N22" i="5" s="1"/>
  <c r="G69" i="6"/>
  <c r="I55" i="6"/>
  <c r="H47" i="6"/>
  <c r="AI127" i="14" l="1"/>
  <c r="D135" i="14" s="1"/>
  <c r="D136" i="14" s="1"/>
  <c r="BY17" i="14"/>
  <c r="BY98" i="14" s="1"/>
  <c r="AJ99" i="14"/>
  <c r="AK99" i="14" s="1"/>
  <c r="AL99" i="14" s="1"/>
  <c r="AM99" i="14" s="1"/>
  <c r="AN99" i="14" s="1"/>
  <c r="AO99" i="14" s="1"/>
  <c r="AP99" i="14" s="1"/>
  <c r="AQ99" i="14" s="1"/>
  <c r="AR99" i="14" s="1"/>
  <c r="AS99" i="14" s="1"/>
  <c r="AT99" i="14" s="1"/>
  <c r="AU99" i="14" s="1"/>
  <c r="AV99" i="14" s="1"/>
  <c r="AW99" i="14" s="1"/>
  <c r="AX99" i="14" s="1"/>
  <c r="AY99" i="14" s="1"/>
  <c r="AZ99" i="14" s="1"/>
  <c r="BA99" i="14" s="1"/>
  <c r="BB99" i="14" s="1"/>
  <c r="BC99" i="14" s="1"/>
  <c r="BD99" i="14" s="1"/>
  <c r="BE99" i="14" s="1"/>
  <c r="BF99" i="14" s="1"/>
  <c r="BG99" i="14" s="1"/>
  <c r="BH99" i="14" s="1"/>
  <c r="BI99" i="14" s="1"/>
  <c r="BJ99" i="14" s="1"/>
  <c r="BK99" i="14" s="1"/>
  <c r="BL99" i="14" s="1"/>
  <c r="BM99" i="14" s="1"/>
  <c r="BN99" i="14" s="1"/>
  <c r="BO99" i="14" s="1"/>
  <c r="BP99" i="14" s="1"/>
  <c r="BQ99" i="14" s="1"/>
  <c r="BR99" i="14" s="1"/>
  <c r="BS99" i="14" s="1"/>
  <c r="BT99" i="14" s="1"/>
  <c r="BU99" i="14" s="1"/>
  <c r="BV99" i="14" s="1"/>
  <c r="BW99" i="14" s="1"/>
  <c r="BX99" i="14" s="1"/>
  <c r="G75" i="6"/>
  <c r="G87" i="6"/>
  <c r="H87" i="6" s="1"/>
  <c r="G71" i="6"/>
  <c r="N42" i="5"/>
  <c r="N39" i="5"/>
  <c r="N40" i="5"/>
  <c r="Y99" i="7"/>
  <c r="Z99" i="7" s="1"/>
  <c r="AA99" i="7" s="1"/>
  <c r="AB99" i="7" s="1"/>
  <c r="AC99" i="7" s="1"/>
  <c r="AD99" i="7" s="1"/>
  <c r="AE99" i="7" s="1"/>
  <c r="AF99" i="7" s="1"/>
  <c r="AG99" i="7" s="1"/>
  <c r="AH99" i="7" s="1"/>
  <c r="AI99" i="7" s="1"/>
  <c r="CB12" i="7"/>
  <c r="BY17" i="7"/>
  <c r="BY98" i="7" s="1"/>
  <c r="BX103" i="8"/>
  <c r="D104" i="8" s="1"/>
  <c r="BX107" i="8"/>
  <c r="D153" i="8"/>
  <c r="AC147" i="8"/>
  <c r="BX105" i="14" l="1"/>
  <c r="AI129" i="14"/>
  <c r="AC148" i="8"/>
  <c r="D149" i="8"/>
  <c r="BX114" i="8"/>
  <c r="BX129" i="8"/>
  <c r="BX162" i="8"/>
  <c r="BX115" i="8"/>
  <c r="BX145" i="8"/>
  <c r="BX147" i="8" s="1"/>
  <c r="CB56" i="7"/>
  <c r="CC12" i="7"/>
  <c r="CB17" i="7" s="1"/>
  <c r="CB60" i="7" s="1"/>
  <c r="AI129" i="7"/>
  <c r="AJ99" i="7"/>
  <c r="AK99" i="7" s="1"/>
  <c r="AL99" i="7" s="1"/>
  <c r="AM99" i="7" s="1"/>
  <c r="AN99" i="7" s="1"/>
  <c r="AO99" i="7" s="1"/>
  <c r="AP99" i="7" s="1"/>
  <c r="AQ99" i="7" s="1"/>
  <c r="AR99" i="7" s="1"/>
  <c r="AS99" i="7" s="1"/>
  <c r="AT99" i="7" s="1"/>
  <c r="AU99" i="7" s="1"/>
  <c r="AV99" i="7" s="1"/>
  <c r="AW99" i="7" s="1"/>
  <c r="AX99" i="7" s="1"/>
  <c r="AY99" i="7" s="1"/>
  <c r="AZ99" i="7" s="1"/>
  <c r="BA99" i="7" s="1"/>
  <c r="BB99" i="7" s="1"/>
  <c r="BC99" i="7" s="1"/>
  <c r="BD99" i="7" s="1"/>
  <c r="BE99" i="7" s="1"/>
  <c r="BF99" i="7" s="1"/>
  <c r="BG99" i="7" s="1"/>
  <c r="BH99" i="7" s="1"/>
  <c r="BI99" i="7" s="1"/>
  <c r="BJ99" i="7" s="1"/>
  <c r="BK99" i="7" s="1"/>
  <c r="BL99" i="7" s="1"/>
  <c r="BM99" i="7" s="1"/>
  <c r="BN99" i="7" s="1"/>
  <c r="BO99" i="7" s="1"/>
  <c r="BP99" i="7" s="1"/>
  <c r="BQ99" i="7" s="1"/>
  <c r="BR99" i="7" s="1"/>
  <c r="BS99" i="7" s="1"/>
  <c r="BT99" i="7" s="1"/>
  <c r="BU99" i="7" s="1"/>
  <c r="BV99" i="7" s="1"/>
  <c r="BW99" i="7" s="1"/>
  <c r="BX99" i="7" s="1"/>
  <c r="H90" i="6"/>
  <c r="I87" i="6"/>
  <c r="I90" i="6"/>
  <c r="G81" i="6"/>
  <c r="H81" i="6" s="1"/>
  <c r="G76" i="6"/>
  <c r="AI130" i="14" l="1"/>
  <c r="AJ130" i="14" s="1"/>
  <c r="AK130" i="14" s="1"/>
  <c r="AL130" i="14" s="1"/>
  <c r="AM130" i="14" s="1"/>
  <c r="AN130" i="14" s="1"/>
  <c r="AO130" i="14" s="1"/>
  <c r="AP130" i="14" s="1"/>
  <c r="AQ130" i="14" s="1"/>
  <c r="AR130" i="14" s="1"/>
  <c r="AS130" i="14" s="1"/>
  <c r="AT130" i="14" s="1"/>
  <c r="AU130" i="14" s="1"/>
  <c r="AV130" i="14" s="1"/>
  <c r="AW130" i="14" s="1"/>
  <c r="AX130" i="14" s="1"/>
  <c r="AY130" i="14" s="1"/>
  <c r="AZ130" i="14" s="1"/>
  <c r="BA130" i="14" s="1"/>
  <c r="BB130" i="14" s="1"/>
  <c r="BC130" i="14" s="1"/>
  <c r="BD130" i="14" s="1"/>
  <c r="BE130" i="14" s="1"/>
  <c r="BF130" i="14" s="1"/>
  <c r="BG130" i="14" s="1"/>
  <c r="BH130" i="14" s="1"/>
  <c r="BI130" i="14" s="1"/>
  <c r="BJ130" i="14" s="1"/>
  <c r="BK130" i="14" s="1"/>
  <c r="BL130" i="14" s="1"/>
  <c r="BM130" i="14" s="1"/>
  <c r="BN130" i="14" s="1"/>
  <c r="BO130" i="14" s="1"/>
  <c r="BP130" i="14" s="1"/>
  <c r="BQ130" i="14" s="1"/>
  <c r="BR130" i="14" s="1"/>
  <c r="BS130" i="14" s="1"/>
  <c r="BT130" i="14" s="1"/>
  <c r="BU130" i="14" s="1"/>
  <c r="BV130" i="14" s="1"/>
  <c r="BW130" i="14" s="1"/>
  <c r="D131" i="14"/>
  <c r="BX160" i="14"/>
  <c r="BX143" i="14"/>
  <c r="BX145" i="14" s="1"/>
  <c r="BX146" i="14" s="1"/>
  <c r="BX127" i="14"/>
  <c r="BX129" i="14" s="1"/>
  <c r="BX113" i="14"/>
  <c r="BX112" i="14"/>
  <c r="I81" i="6"/>
  <c r="I83" i="6" s="1"/>
  <c r="H83" i="6"/>
  <c r="K84" i="6" s="1"/>
  <c r="K90" i="6"/>
  <c r="BX103" i="7"/>
  <c r="D104" i="7" s="1"/>
  <c r="BX107" i="7"/>
  <c r="AI131" i="7"/>
  <c r="D137" i="7"/>
  <c r="D138" i="7" s="1"/>
  <c r="BX164" i="8"/>
  <c r="D170" i="8"/>
  <c r="D171" i="8" s="1"/>
  <c r="BX131" i="8"/>
  <c r="D137" i="8"/>
  <c r="D138" i="8" s="1"/>
  <c r="D121" i="8"/>
  <c r="D122" i="8" s="1"/>
  <c r="BX117" i="8"/>
  <c r="D118" i="8" s="1"/>
  <c r="AD148" i="8"/>
  <c r="AE148" i="8" s="1"/>
  <c r="AF148" i="8" s="1"/>
  <c r="AG148" i="8" s="1"/>
  <c r="AH148" i="8" s="1"/>
  <c r="AI148" i="8" s="1"/>
  <c r="AJ148" i="8" s="1"/>
  <c r="AK148" i="8" s="1"/>
  <c r="AL148" i="8" s="1"/>
  <c r="AM148" i="8" s="1"/>
  <c r="AN148" i="8" s="1"/>
  <c r="AO148" i="8" s="1"/>
  <c r="AP148" i="8" s="1"/>
  <c r="AQ148" i="8" s="1"/>
  <c r="AR148" i="8" s="1"/>
  <c r="AS148" i="8" s="1"/>
  <c r="AT148" i="8" s="1"/>
  <c r="AU148" i="8" s="1"/>
  <c r="AV148" i="8" s="1"/>
  <c r="AW148" i="8" s="1"/>
  <c r="AX148" i="8" s="1"/>
  <c r="AY148" i="8" s="1"/>
  <c r="AZ148" i="8" s="1"/>
  <c r="BA148" i="8" s="1"/>
  <c r="BB148" i="8" s="1"/>
  <c r="BC148" i="8" s="1"/>
  <c r="BD148" i="8" s="1"/>
  <c r="BE148" i="8" s="1"/>
  <c r="BF148" i="8" s="1"/>
  <c r="BG148" i="8" s="1"/>
  <c r="BH148" i="8" s="1"/>
  <c r="BI148" i="8" s="1"/>
  <c r="BJ148" i="8" s="1"/>
  <c r="BK148" i="8" s="1"/>
  <c r="BL148" i="8" s="1"/>
  <c r="BM148" i="8" s="1"/>
  <c r="BN148" i="8" s="1"/>
  <c r="BO148" i="8" s="1"/>
  <c r="BP148" i="8" s="1"/>
  <c r="BQ148" i="8" s="1"/>
  <c r="BR148" i="8" s="1"/>
  <c r="BS148" i="8" s="1"/>
  <c r="BT148" i="8" s="1"/>
  <c r="BU148" i="8" s="1"/>
  <c r="BV148" i="8" s="1"/>
  <c r="BW148" i="8" s="1"/>
  <c r="BX148" i="8" s="1"/>
  <c r="D150" i="8"/>
  <c r="D152" i="8" s="1"/>
  <c r="D154" i="8" s="1"/>
  <c r="BX115" i="14" l="1"/>
  <c r="D116" i="14" s="1"/>
  <c r="D119" i="14"/>
  <c r="D120" i="14" s="1"/>
  <c r="BX162" i="14"/>
  <c r="D168" i="14"/>
  <c r="D169" i="14" s="1"/>
  <c r="BX130" i="14"/>
  <c r="D133" i="8"/>
  <c r="BX132" i="8"/>
  <c r="D166" i="8"/>
  <c r="BX165" i="8"/>
  <c r="AI132" i="7"/>
  <c r="AJ132" i="7" s="1"/>
  <c r="AK132" i="7" s="1"/>
  <c r="AL132" i="7" s="1"/>
  <c r="AM132" i="7" s="1"/>
  <c r="AN132" i="7" s="1"/>
  <c r="AO132" i="7" s="1"/>
  <c r="AP132" i="7" s="1"/>
  <c r="AQ132" i="7" s="1"/>
  <c r="AR132" i="7" s="1"/>
  <c r="AS132" i="7" s="1"/>
  <c r="AT132" i="7" s="1"/>
  <c r="AU132" i="7" s="1"/>
  <c r="AV132" i="7" s="1"/>
  <c r="AW132" i="7" s="1"/>
  <c r="AX132" i="7" s="1"/>
  <c r="AY132" i="7" s="1"/>
  <c r="AZ132" i="7" s="1"/>
  <c r="BA132" i="7" s="1"/>
  <c r="BB132" i="7" s="1"/>
  <c r="BC132" i="7" s="1"/>
  <c r="BD132" i="7" s="1"/>
  <c r="BE132" i="7" s="1"/>
  <c r="BF132" i="7" s="1"/>
  <c r="BG132" i="7" s="1"/>
  <c r="BH132" i="7" s="1"/>
  <c r="BI132" i="7" s="1"/>
  <c r="BJ132" i="7" s="1"/>
  <c r="BK132" i="7" s="1"/>
  <c r="BL132" i="7" s="1"/>
  <c r="BM132" i="7" s="1"/>
  <c r="BN132" i="7" s="1"/>
  <c r="BO132" i="7" s="1"/>
  <c r="BP132" i="7" s="1"/>
  <c r="BQ132" i="7" s="1"/>
  <c r="BR132" i="7" s="1"/>
  <c r="BS132" i="7" s="1"/>
  <c r="BT132" i="7" s="1"/>
  <c r="BU132" i="7" s="1"/>
  <c r="BV132" i="7" s="1"/>
  <c r="BW132" i="7" s="1"/>
  <c r="D133" i="7"/>
  <c r="BX114" i="7"/>
  <c r="BX162" i="7"/>
  <c r="BX115" i="7"/>
  <c r="BX145" i="7"/>
  <c r="BX147" i="7" s="1"/>
  <c r="BX148" i="7" s="1"/>
  <c r="BX129" i="7"/>
  <c r="BX131" i="7" s="1"/>
  <c r="D164" i="14" l="1"/>
  <c r="BX163" i="14"/>
  <c r="BX164" i="7"/>
  <c r="D170" i="7"/>
  <c r="D171" i="7" s="1"/>
  <c r="BX117" i="7"/>
  <c r="D118" i="7" s="1"/>
  <c r="D121" i="7"/>
  <c r="D122" i="7" s="1"/>
  <c r="BX132" i="7"/>
  <c r="D166" i="7" l="1"/>
  <c r="BX165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tc={3EAF3DC5-308E-4756-B22A-A76BCA10A350}</author>
    <author>tc={8544212B-5EA9-4259-8B1A-DA9EC1A2CB68}</author>
    <author>tc={92AA069F-5D1A-7343-8AFB-6FD8C1AE613C}</author>
    <author>tc={4473C771-AB5A-49F3-AD15-17B2B7F539AB}</author>
  </authors>
  <commentList>
    <comment ref="B9" authorId="0" shapeId="0" xr:uid="{3EAF3DC5-308E-4756-B22A-A76BCA10A350}">
      <text>
        <t>[Threaded comment]
Your version of Excel allows you to read this threaded comment; however, any edits to it will get removed if the file is opened in a newer version of Excel. Learn more: https://go.microsoft.com/fwlink/?linkid=870924
Comment:
    02.2026</t>
      </text>
    </comment>
    <comment ref="D9" authorId="1" shapeId="0" xr:uid="{8544212B-5EA9-4259-8B1A-DA9EC1A2CB6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Dodavka najemce - podlahy a svetel </t>
      </text>
    </comment>
    <comment ref="E16" authorId="2" shapeId="0" xr:uid="{92AA069F-5D1A-7343-8AFB-6FD8C1AE613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výměry upřesněny podle posledního půdorysu </t>
      </text>
    </comment>
    <comment ref="S23" authorId="3" shapeId="0" xr:uid="{4473C771-AB5A-49F3-AD15-17B2B7F539A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Dodavka najemce - podlahy a svetel 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tc={A03013F1-CB15-44B2-BF06-4AFB62F57E94}</author>
    <author>tc={C31C5D34-48C7-4BF1-B907-672EE63FAD21}</author>
  </authors>
  <commentList>
    <comment ref="F33" authorId="0" shapeId="0" xr:uid="{A03013F1-CB15-44B2-BF06-4AFB62F57E94}">
      <text>
        <t>[Threaded comment]
Your version of Excel allows you to read this threaded comment; however, any edits to it will get removed if the file is opened in a newer version of Excel. Learn more: https://go.microsoft.com/fwlink/?linkid=870924
Comment:
    VO plus autobusova zastavka plus chodnik - stavba</t>
      </text>
    </comment>
    <comment ref="F38" authorId="1" shapeId="0" xr:uid="{C31C5D34-48C7-4BF1-B907-672EE63FAD21}">
      <text>
        <t>[Threaded comment]
Your version of Excel allows you to read this threaded comment; however, any edits to it will get removed if the file is opened in a newer version of Excel. Learn more: https://go.microsoft.com/fwlink/?linkid=870924
Comment:
    VO plus autobusova zastavka plus chodnik - projekt a SP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tc={A64930F0-3304-483E-8D2A-5AF3130E849B}</author>
    <author>tc={938F1831-7496-4035-80A5-ABE89A2FAD79}</author>
    <author>tc={6ABB10EE-073B-4FDE-9948-D436A7544F34}</author>
  </authors>
  <commentList>
    <comment ref="AF38" authorId="0" shapeId="0" xr:uid="{A64930F0-3304-483E-8D2A-5AF3130E849B}">
      <text>
        <t>[Threaded comment]
Your version of Excel allows you to read this threaded comment; however, any edits to it will get removed if the file is opened in a newer version of Excel. Learn more: https://go.microsoft.com/fwlink/?linkid=870924
Comment:
    Prispevek Sinsay</t>
      </text>
    </comment>
    <comment ref="AG38" authorId="1" shapeId="0" xr:uid="{938F1831-7496-4035-80A5-ABE89A2FAD79}">
      <text>
        <t>[Threaded comment]
Your version of Excel allows you to read this threaded comment; however, any edits to it will get removed if the file is opened in a newer version of Excel. Learn more: https://go.microsoft.com/fwlink/?linkid=870924
Comment:
    Prispevek Sinsay</t>
      </text>
    </comment>
    <comment ref="AH38" authorId="2" shapeId="0" xr:uid="{6ABB10EE-073B-4FDE-9948-D436A7544F34}">
      <text>
        <t>[Threaded comment]
Your version of Excel allows you to read this threaded comment; however, any edits to it will get removed if the file is opened in a newer version of Excel. Learn more: https://go.microsoft.com/fwlink/?linkid=870924
Comment:
    Prispevek Sinsay</t>
      </text>
    </comment>
  </commentList>
</comments>
</file>

<file path=xl/sharedStrings.xml><?xml version="1.0" encoding="utf-8"?>
<sst xmlns="http://schemas.openxmlformats.org/spreadsheetml/2006/main" count="1340" uniqueCount="533">
  <si>
    <t>HOT</t>
  </si>
  <si>
    <t>SOSBN / NS</t>
  </si>
  <si>
    <t>NS</t>
  </si>
  <si>
    <t>NÁJEMCE</t>
  </si>
  <si>
    <t>STAVEBNÍ PŘIPRAVENOST</t>
  </si>
  <si>
    <t>UŽITNÁ PLOCHA</t>
  </si>
  <si>
    <t>PLATEBNÍ OBDOBI</t>
  </si>
  <si>
    <t>NÁJEM CZK M2 BEZ DPH</t>
  </si>
  <si>
    <t>Pylon</t>
  </si>
  <si>
    <t>NÁJEM MĚSÍC CZK BEZ DPH</t>
  </si>
  <si>
    <t>DPH</t>
  </si>
  <si>
    <t>SERVICE FIX m2</t>
  </si>
  <si>
    <t>SERVICE FIX</t>
  </si>
  <si>
    <t>DPH SERVICE FIX</t>
  </si>
  <si>
    <t>CELKEM BEZ DPH</t>
  </si>
  <si>
    <t>CELKEM VČETNĚ DPH</t>
  </si>
  <si>
    <t>JISTOTA / ZÁRUKA</t>
  </si>
  <si>
    <t>SMLOUVA OD</t>
  </si>
  <si>
    <t>SMLOUVA DO </t>
  </si>
  <si>
    <t>OPCE</t>
  </si>
  <si>
    <t>INDEXACE</t>
  </si>
  <si>
    <t>shell and core</t>
  </si>
  <si>
    <t>ano</t>
  </si>
  <si>
    <t>Billa</t>
  </si>
  <si>
    <t>měsíčně</t>
  </si>
  <si>
    <t>full fit-out</t>
  </si>
  <si>
    <t>ne</t>
  </si>
  <si>
    <t>Benu</t>
  </si>
  <si>
    <t>pozemek</t>
  </si>
  <si>
    <t>stavba rezerva</t>
  </si>
  <si>
    <t>Teta</t>
  </si>
  <si>
    <t>Sinsay</t>
  </si>
  <si>
    <t>Pepco</t>
  </si>
  <si>
    <t>Don Pealo</t>
  </si>
  <si>
    <t>Tedi</t>
  </si>
  <si>
    <t>Alza</t>
  </si>
  <si>
    <t>Z box</t>
  </si>
  <si>
    <t>GLS</t>
  </si>
  <si>
    <t>CELKEM, rok</t>
  </si>
  <si>
    <t>CHECK</t>
  </si>
  <si>
    <t>Celkova plocha</t>
  </si>
  <si>
    <t>Volná plocha</t>
  </si>
  <si>
    <t>Aktuální obsazenost</t>
  </si>
  <si>
    <t>Pozadavek banky</t>
  </si>
  <si>
    <t>Pozadavek Biila</t>
  </si>
  <si>
    <t>Pozadavek banky najem</t>
  </si>
  <si>
    <t>Splneni pozadavku vyse najmu</t>
  </si>
  <si>
    <t>Pozadavek min vyse najmu</t>
  </si>
  <si>
    <t>Pozadovane vyse najmu na volnou plochu ke splneni pozadavku banky</t>
  </si>
  <si>
    <t>Potenciální výnos</t>
  </si>
  <si>
    <t>NOI vč. plochy</t>
  </si>
  <si>
    <t>Kurz EUR/CZK</t>
  </si>
  <si>
    <t>Etapy</t>
  </si>
  <si>
    <t>Reformat</t>
  </si>
  <si>
    <t>Milník</t>
  </si>
  <si>
    <t>Podil milníku na projektu</t>
  </si>
  <si>
    <t>Úkol</t>
  </si>
  <si>
    <t>Začátek</t>
  </si>
  <si>
    <t>Konec</t>
  </si>
  <si>
    <t>Očekavány výsledek</t>
  </si>
  <si>
    <t>Výsledek</t>
  </si>
  <si>
    <t>Komentář</t>
  </si>
  <si>
    <t>Aktuální stav</t>
  </si>
  <si>
    <t>Odkaz</t>
  </si>
  <si>
    <t>Odpovědná osoba</t>
  </si>
  <si>
    <t>Podpůrné zdroje</t>
  </si>
  <si>
    <t>Přípravná fáze výstavby</t>
  </si>
  <si>
    <t>zapis KS</t>
  </si>
  <si>
    <t>Úkol (test)</t>
  </si>
  <si>
    <t>Projektování</t>
  </si>
  <si>
    <t>Nabýti SP</t>
  </si>
  <si>
    <t>Výstavba</t>
  </si>
  <si>
    <t>Nájem</t>
  </si>
  <si>
    <t>Najem</t>
  </si>
  <si>
    <t>Finacování</t>
  </si>
  <si>
    <t>Equity</t>
  </si>
  <si>
    <t>Akvizice</t>
  </si>
  <si>
    <t>Interní</t>
  </si>
  <si>
    <t>Začátek projektu</t>
  </si>
  <si>
    <t>TOTAL</t>
  </si>
  <si>
    <t>Dneska</t>
  </si>
  <si>
    <t>Podil milníku na projektu %</t>
  </si>
  <si>
    <t>Podil milníku na projektu Kč</t>
  </si>
  <si>
    <t>Vypočet den</t>
  </si>
  <si>
    <t/>
  </si>
  <si>
    <t xml:space="preserve">PROJEKT: </t>
  </si>
  <si>
    <t xml:space="preserve">Náklady </t>
  </si>
  <si>
    <t>Výnosy</t>
  </si>
  <si>
    <t>Fáze</t>
  </si>
  <si>
    <t xml:space="preserve">A. </t>
  </si>
  <si>
    <t xml:space="preserve">Akviziční náklady </t>
  </si>
  <si>
    <t>Časový odhad jednotlivých bodů ( počet měsiců)</t>
  </si>
  <si>
    <t>Mn.</t>
  </si>
  <si>
    <t>m2</t>
  </si>
  <si>
    <t>kč/m2</t>
  </si>
  <si>
    <t>Užitná plocha</t>
  </si>
  <si>
    <t>Dokončení</t>
  </si>
  <si>
    <t>cena m2</t>
  </si>
  <si>
    <t>servis fix</t>
  </si>
  <si>
    <t>Kč celkem</t>
  </si>
  <si>
    <t>Analýza pozemků</t>
  </si>
  <si>
    <t>kpl</t>
  </si>
  <si>
    <t>Připrava projektu</t>
  </si>
  <si>
    <t xml:space="preserve">Územní rozhodnutí </t>
  </si>
  <si>
    <t>vyjadřovaní DOSS</t>
  </si>
  <si>
    <t>pct</t>
  </si>
  <si>
    <t xml:space="preserve">Stavební povolení </t>
  </si>
  <si>
    <t>Vystavba projektu</t>
  </si>
  <si>
    <t xml:space="preserve">Kolaudace </t>
  </si>
  <si>
    <t>Celkem</t>
  </si>
  <si>
    <t>Celkem měsiců</t>
  </si>
  <si>
    <t>Cena na m2 prodejní plochy</t>
  </si>
  <si>
    <t>B.</t>
  </si>
  <si>
    <t>Jednotka</t>
  </si>
  <si>
    <t>JC</t>
  </si>
  <si>
    <t>Celkem plocha m2</t>
  </si>
  <si>
    <t>Průměr</t>
  </si>
  <si>
    <t>Retail park</t>
  </si>
  <si>
    <t>Celkem výnosy GRI (rok)</t>
  </si>
  <si>
    <t>ZSPD</t>
  </si>
  <si>
    <t>YIELD Development</t>
  </si>
  <si>
    <t>Potřeba &gt;8%</t>
  </si>
  <si>
    <t>Prime YIELD</t>
  </si>
  <si>
    <t>OPEX</t>
  </si>
  <si>
    <t>JIMKA</t>
  </si>
  <si>
    <t>YIELD Market</t>
  </si>
  <si>
    <t>C.</t>
  </si>
  <si>
    <t>Prodejce</t>
  </si>
  <si>
    <t>Daň z zisků(prodej pozemek rez.)</t>
  </si>
  <si>
    <t>LCGT discount</t>
  </si>
  <si>
    <t>Prodej pozemku (% plochy)</t>
  </si>
  <si>
    <t>Shell &amp; Core</t>
  </si>
  <si>
    <t xml:space="preserve">Prodejní cena pozemek </t>
  </si>
  <si>
    <t>Komunikace</t>
  </si>
  <si>
    <t xml:space="preserve">Prodejní cena retail </t>
  </si>
  <si>
    <t>HTU</t>
  </si>
  <si>
    <t>Prodejní cena celkem</t>
  </si>
  <si>
    <t>Vynucené investice</t>
  </si>
  <si>
    <t>Net profit</t>
  </si>
  <si>
    <t>Autobus</t>
  </si>
  <si>
    <t>Marže</t>
  </si>
  <si>
    <t>Marže na nákladech</t>
  </si>
  <si>
    <t>Motivační složka developera</t>
  </si>
  <si>
    <t>Čistá marže na equity</t>
  </si>
  <si>
    <t>D.</t>
  </si>
  <si>
    <t>E.</t>
  </si>
  <si>
    <t>Projektové řízení - realizace</t>
  </si>
  <si>
    <t>Projektové řízení - realizace (Kontr. fakturace, pozastávek a evidence dokladů, vedení KD)</t>
  </si>
  <si>
    <t>KooBOZP</t>
  </si>
  <si>
    <t>cost management VŘ GD</t>
  </si>
  <si>
    <t>Nezapomenou prefa 125 tis na Dividend plus - to je druha polovina</t>
  </si>
  <si>
    <t>ptc</t>
  </si>
  <si>
    <t>month</t>
  </si>
  <si>
    <t>F.</t>
  </si>
  <si>
    <t>Úrokové náklady EQUITY</t>
  </si>
  <si>
    <t>p.a</t>
  </si>
  <si>
    <t>Sources</t>
  </si>
  <si>
    <t>Const. Loan</t>
  </si>
  <si>
    <t>Interest + Fees</t>
  </si>
  <si>
    <t>Construction Loan</t>
  </si>
  <si>
    <t>Equity Investment</t>
  </si>
  <si>
    <t>Total Sources</t>
  </si>
  <si>
    <t>Investice do projektu celkem:</t>
  </si>
  <si>
    <t>Cena na m2 prodejní plochy:</t>
  </si>
  <si>
    <t>LEKVI/Odry</t>
  </si>
  <si>
    <t>duration of the project (months)</t>
  </si>
  <si>
    <t>ACQUISITION COSTS</t>
  </si>
  <si>
    <t>CZK/m2</t>
  </si>
  <si>
    <t>CZK</t>
  </si>
  <si>
    <t>land</t>
  </si>
  <si>
    <t>Agricultural land fund</t>
  </si>
  <si>
    <t>pre-acquisition analysis</t>
  </si>
  <si>
    <t>fee</t>
  </si>
  <si>
    <t>int</t>
  </si>
  <si>
    <t>ext</t>
  </si>
  <si>
    <t>Total acquisitions costs</t>
  </si>
  <si>
    <t>2.</t>
  </si>
  <si>
    <t>CONSTRUCTION COSTS (CC)</t>
  </si>
  <si>
    <t>retail</t>
  </si>
  <si>
    <t>contingency</t>
  </si>
  <si>
    <t>Operational costs associated with the implementation of the construction</t>
  </si>
  <si>
    <t>Total construction costs</t>
  </si>
  <si>
    <t>4 118</t>
  </si>
  <si>
    <t>26 274 Kč</t>
  </si>
  <si>
    <t>3.</t>
  </si>
  <si>
    <t>PROFESSIONAL FEES</t>
  </si>
  <si>
    <t>design, engineering</t>
  </si>
  <si>
    <t>engineering</t>
  </si>
  <si>
    <t>project management</t>
  </si>
  <si>
    <t>legal costs, SPV costs, accounting</t>
  </si>
  <si>
    <t>leasing agent (broker/marketing)</t>
  </si>
  <si>
    <t>Total professional fees</t>
  </si>
  <si>
    <t>1 to 3 INVESTMENTS COSTS W/O FINANCING</t>
  </si>
  <si>
    <t>4.</t>
  </si>
  <si>
    <t>FINANCING COSTS</t>
  </si>
  <si>
    <t>E/F ratio</t>
  </si>
  <si>
    <t>months</t>
  </si>
  <si>
    <t>interest %</t>
  </si>
  <si>
    <t>equity TOTAL shares</t>
  </si>
  <si>
    <t>Share developer</t>
  </si>
  <si>
    <t>Share ZDR</t>
  </si>
  <si>
    <t>equity TOTAL</t>
  </si>
  <si>
    <t>equity developer</t>
  </si>
  <si>
    <t>equity ZDR</t>
  </si>
  <si>
    <t>bank financing</t>
  </si>
  <si>
    <t>bank loan processing fee</t>
  </si>
  <si>
    <t>CZK / m2</t>
  </si>
  <si>
    <t>1 to 4 TOTAL INVESTMENTS COSTS incl FINANCING</t>
  </si>
  <si>
    <t>5.</t>
  </si>
  <si>
    <t>INCOME</t>
  </si>
  <si>
    <t>CZK/m2/p.m.</t>
  </si>
  <si>
    <t>p.m.</t>
  </si>
  <si>
    <t>p.a.</t>
  </si>
  <si>
    <t>GLA/GBA ratio</t>
  </si>
  <si>
    <t>3 922</t>
  </si>
  <si>
    <t>Total income</t>
  </si>
  <si>
    <t>DEVELOPMENT YIELD</t>
  </si>
  <si>
    <t>EQUITY STRUCTURE</t>
  </si>
  <si>
    <t>from</t>
  </si>
  <si>
    <t>developer</t>
  </si>
  <si>
    <t>ZDR Investments</t>
  </si>
  <si>
    <t>EXIT</t>
  </si>
  <si>
    <t>Exit yield</t>
  </si>
  <si>
    <t>Sale price</t>
  </si>
  <si>
    <t>Transaction costs</t>
  </si>
  <si>
    <t>NOI till exit</t>
  </si>
  <si>
    <t>PROFIT</t>
  </si>
  <si>
    <t>PROFIT / m2</t>
  </si>
  <si>
    <t>ROE</t>
  </si>
  <si>
    <t>EQUITY</t>
  </si>
  <si>
    <t>EQUITY INTEREST</t>
  </si>
  <si>
    <t>ROE incl. EQ. INTEREST</t>
  </si>
  <si>
    <t>PROFIT DISTRIBUTION</t>
  </si>
  <si>
    <t>%</t>
  </si>
  <si>
    <t>ZDR INVESTMENTS</t>
  </si>
  <si>
    <t>profit</t>
  </si>
  <si>
    <t>equity interest</t>
  </si>
  <si>
    <t>TOTAL ROE for</t>
  </si>
  <si>
    <t>TOTAL ROE p.a.</t>
  </si>
  <si>
    <t>DEVELOPER</t>
  </si>
  <si>
    <t>fees</t>
  </si>
  <si>
    <t>acquisition fee</t>
  </si>
  <si>
    <t>letting fee</t>
  </si>
  <si>
    <t>fákt ke dni</t>
  </si>
  <si>
    <t>30.4.2026</t>
  </si>
  <si>
    <t>Cash -flow</t>
  </si>
  <si>
    <t>Součet</t>
  </si>
  <si>
    <t>param</t>
  </si>
  <si>
    <t>kol</t>
  </si>
  <si>
    <t>Vlastní zdroje</t>
  </si>
  <si>
    <t>Lekvi Development s.r.o.</t>
  </si>
  <si>
    <t>(+)</t>
  </si>
  <si>
    <t>Equity 1</t>
  </si>
  <si>
    <t>Equity 2</t>
  </si>
  <si>
    <t>Equity 3</t>
  </si>
  <si>
    <t>Cizí zdroje</t>
  </si>
  <si>
    <t>Úvěr Mezanin</t>
  </si>
  <si>
    <t>Úvěr Business Angel</t>
  </si>
  <si>
    <t>Úvěr Banka</t>
  </si>
  <si>
    <t>Příjmy z prodeje/Pronájmu</t>
  </si>
  <si>
    <t>Platby z pronájmu</t>
  </si>
  <si>
    <t>Platby z prodeje</t>
  </si>
  <si>
    <t>(-)</t>
  </si>
  <si>
    <t>Ostatní výnosy/Kauce</t>
  </si>
  <si>
    <t>(+)/(-)</t>
  </si>
  <si>
    <t>Celkové zdroje</t>
  </si>
  <si>
    <t>Výdaje</t>
  </si>
  <si>
    <t>A. Land costs</t>
  </si>
  <si>
    <t>Nákup nemovitosti/pozemků</t>
  </si>
  <si>
    <t>ZPF</t>
  </si>
  <si>
    <t>Předakviziční analýza</t>
  </si>
  <si>
    <t>Provize za nákup (INT)</t>
  </si>
  <si>
    <t>Provize za nákup (EXT)</t>
  </si>
  <si>
    <t>Business-angel loan fee</t>
  </si>
  <si>
    <t>B. Architecture &amp; Engineering</t>
  </si>
  <si>
    <t>Projekt , architekt</t>
  </si>
  <si>
    <t>Engineering</t>
  </si>
  <si>
    <t>C. Constructions costs</t>
  </si>
  <si>
    <t>Náklady na realizace stavby (Shell and core)</t>
  </si>
  <si>
    <t>Rekonstrukční náklady</t>
  </si>
  <si>
    <t>Náklady na inženýrské sítě</t>
  </si>
  <si>
    <t>Operativní náklady spojené s realizaci stavby</t>
  </si>
  <si>
    <t>Rezerva</t>
  </si>
  <si>
    <t>D. Tenant improvements</t>
  </si>
  <si>
    <t>Tenant improvement</t>
  </si>
  <si>
    <t>Tenant contribution</t>
  </si>
  <si>
    <t>E. Soft costs</t>
  </si>
  <si>
    <t>Project management (Interní)</t>
  </si>
  <si>
    <t>Project management (Externí)</t>
  </si>
  <si>
    <t>Administrativní náklady</t>
  </si>
  <si>
    <t>Ostatní náklady</t>
  </si>
  <si>
    <t>Právní služby</t>
  </si>
  <si>
    <t>Letting fee</t>
  </si>
  <si>
    <t>F. Financial costs</t>
  </si>
  <si>
    <t>Poplatky za zpracování úvěru</t>
  </si>
  <si>
    <t>Poplatek za přístav</t>
  </si>
  <si>
    <t>Úrokové náklady</t>
  </si>
  <si>
    <t>Bankovní poplatky</t>
  </si>
  <si>
    <t>Daně</t>
  </si>
  <si>
    <t>F1.Interest</t>
  </si>
  <si>
    <t>Splátka úroku Lekvi Development s.r.o.</t>
  </si>
  <si>
    <t>Splátka úroku Equity 1</t>
  </si>
  <si>
    <t>Splátka úroku Equity 2</t>
  </si>
  <si>
    <t>Splátka úroku Equity 3</t>
  </si>
  <si>
    <t>Splátka úroku Mezanin</t>
  </si>
  <si>
    <t>Splátka úroku Business Angel (p.m.)</t>
  </si>
  <si>
    <t>Splátka úroku Banka</t>
  </si>
  <si>
    <t>Operational expenditures</t>
  </si>
  <si>
    <t>ostraha objektu + napojení na PCO</t>
  </si>
  <si>
    <t>pravidelný servis VZT - IVENT pro</t>
  </si>
  <si>
    <t>servisní práce (EPS)</t>
  </si>
  <si>
    <t>kontrola provozuschopnosti EPS</t>
  </si>
  <si>
    <t>Revize zařízení NN RETAIL</t>
  </si>
  <si>
    <t>služby zimní údržba</t>
  </si>
  <si>
    <t>letní údržba, sekání trávy, venkovní úklid</t>
  </si>
  <si>
    <t>požární ochrana</t>
  </si>
  <si>
    <t>pojištění podnikatelských rizik</t>
  </si>
  <si>
    <t>prohlídky aut. dveří</t>
  </si>
  <si>
    <t>kontrola požárních uzávěrů</t>
  </si>
  <si>
    <t>ORL - čištění, rozbory</t>
  </si>
  <si>
    <t>údržba retenční nádrže</t>
  </si>
  <si>
    <t>Tvorba finančních rezerv pro ostatní opravy a údržbu</t>
  </si>
  <si>
    <t>údržba společné příjezdové komunikace-je v rámci zimní i letní</t>
  </si>
  <si>
    <t>Hrubý odhad en bloc</t>
  </si>
  <si>
    <t>Property a facility management</t>
  </si>
  <si>
    <t>SVJ</t>
  </si>
  <si>
    <t>Účetnictví</t>
  </si>
  <si>
    <t>Provize za prodej  nemovitosti</t>
  </si>
  <si>
    <t>Capital expenditures</t>
  </si>
  <si>
    <t>Tenant improvements</t>
  </si>
  <si>
    <t>Lease hold estate</t>
  </si>
  <si>
    <t>Loan</t>
  </si>
  <si>
    <t>Splátka jistiny Lekvi Development s.r.o.</t>
  </si>
  <si>
    <t>Splátka jistiny Equity 1</t>
  </si>
  <si>
    <t>Splátka jistiny Equity 2</t>
  </si>
  <si>
    <t>Splátka jistiny Equity 3</t>
  </si>
  <si>
    <t>Splátka jistiny Business Angel</t>
  </si>
  <si>
    <t>Splátka jistiny Mezanin</t>
  </si>
  <si>
    <t>Splátka jistiny Banka</t>
  </si>
  <si>
    <t>Celkové výdaje</t>
  </si>
  <si>
    <t xml:space="preserve">Vysledek cash -flow </t>
  </si>
  <si>
    <t>Stav na BÚ</t>
  </si>
  <si>
    <t>CS</t>
  </si>
  <si>
    <t>RF</t>
  </si>
  <si>
    <t>OBER</t>
  </si>
  <si>
    <t>CF Development Fee</t>
  </si>
  <si>
    <t>Penežní tok Lekvi</t>
  </si>
  <si>
    <t>Sale of receivables</t>
  </si>
  <si>
    <t>Interest</t>
  </si>
  <si>
    <t>Profit</t>
  </si>
  <si>
    <t>Motivace od výnosu</t>
  </si>
  <si>
    <t>Penežní tok TOTAL</t>
  </si>
  <si>
    <t>IRR</t>
  </si>
  <si>
    <t>Investice - úvěr</t>
  </si>
  <si>
    <t>Celkem Investice</t>
  </si>
  <si>
    <t>Celkem Výnos</t>
  </si>
  <si>
    <t>ROI</t>
  </si>
  <si>
    <t>Penežní tok Equity 1</t>
  </si>
  <si>
    <t>Purchase of receivables</t>
  </si>
  <si>
    <t>Saldo</t>
  </si>
  <si>
    <t>Investice - podíl</t>
  </si>
  <si>
    <t>Penežní tok Equity 2</t>
  </si>
  <si>
    <t>Penežní tok Equity 3</t>
  </si>
  <si>
    <t>Bourací práce</t>
  </si>
  <si>
    <t>TDI / BOZP</t>
  </si>
  <si>
    <t>Rozdělení zisku:
IRR projektu &lt; 25 %: zisk se rozdělí mezi investory v poměru k vlastnímu kapitálu. Development fee = 0
IRR projektu &gt; 25 %: nejprve je vyplacen Development fee = 20 %, zbytek zisku je rozdělen mezi investory v poměru k vlastnímu kapitálu.</t>
  </si>
  <si>
    <t>CF of investors</t>
  </si>
  <si>
    <t>Cost manager</t>
  </si>
  <si>
    <t>Koordinátor BOZP</t>
  </si>
  <si>
    <t>Marketing</t>
  </si>
  <si>
    <t>Loan &amp; Interest Lekvi Development s.r.o.</t>
  </si>
  <si>
    <t xml:space="preserve">Loan &amp; Interest Equity 1 </t>
  </si>
  <si>
    <t>Loan &amp; Interest Equity 2</t>
  </si>
  <si>
    <t>Loan &amp; Interest Equity 3</t>
  </si>
  <si>
    <t>Month</t>
  </si>
  <si>
    <t>△ of loan</t>
  </si>
  <si>
    <t>Interests</t>
  </si>
  <si>
    <t>JE GROUP</t>
  </si>
  <si>
    <t>Max plocha</t>
  </si>
  <si>
    <t>Příprava fix 24 mes</t>
  </si>
  <si>
    <t>Příprava mes 24 mes</t>
  </si>
  <si>
    <t>Realizace fix 24 mes</t>
  </si>
  <si>
    <t>Realizace mes</t>
  </si>
  <si>
    <t>BOZP</t>
  </si>
  <si>
    <t>TDI</t>
  </si>
  <si>
    <t>projekt do 2000m2/zast.plocha</t>
  </si>
  <si>
    <t>projekt do 3000m2/zast.plocha</t>
  </si>
  <si>
    <t>projekt do 4000m2/zast.plocha</t>
  </si>
  <si>
    <t>projekt do 5000m2/zas. plocha</t>
  </si>
  <si>
    <t>Investservis</t>
  </si>
  <si>
    <t>DD včetně odhadu nákladů</t>
  </si>
  <si>
    <t>příprava/měsíční rejt maximální částka</t>
  </si>
  <si>
    <t>realizace/PM/TDI/měsíc</t>
  </si>
  <si>
    <t>cost management VŘ GP</t>
  </si>
  <si>
    <t>realizace cost management controling/měsíc</t>
  </si>
  <si>
    <t>kooBOZP/měsíc/realizace/ příprava</t>
  </si>
  <si>
    <t>projekt do 500m2/zast.plocha</t>
  </si>
  <si>
    <t>projekt do 1000m2/zast.plocha</t>
  </si>
  <si>
    <t>projekt do 4000m2/zas. plocha</t>
  </si>
  <si>
    <t>projekt do 6000m2/zast.plocha</t>
  </si>
  <si>
    <t>projekt nad 6000m2/zast.plocha</t>
  </si>
  <si>
    <t>cena pozemka</t>
  </si>
  <si>
    <t>Div to Versitas</t>
  </si>
  <si>
    <t>Projekt SP</t>
  </si>
  <si>
    <t>POdil</t>
  </si>
  <si>
    <t xml:space="preserve">Share </t>
  </si>
  <si>
    <t>ODRY</t>
  </si>
  <si>
    <t>Společnost:</t>
  </si>
  <si>
    <t>SIS Systémy a.s.</t>
  </si>
  <si>
    <t>CASTA</t>
  </si>
  <si>
    <t>RELYCON</t>
  </si>
  <si>
    <t>JTA</t>
  </si>
  <si>
    <t>IMOS</t>
  </si>
  <si>
    <t>AGILE</t>
  </si>
  <si>
    <t>HSF SYSTEM</t>
  </si>
  <si>
    <t>HAMPR</t>
  </si>
  <si>
    <t>SASYN</t>
  </si>
  <si>
    <t>Pozice</t>
  </si>
  <si>
    <t>Popis</t>
  </si>
  <si>
    <t>Cena</t>
  </si>
  <si>
    <t>Venkovní objekty</t>
  </si>
  <si>
    <t>Venkovní objekty - Dopravní připojení</t>
  </si>
  <si>
    <t>dlePD,vceně1.3</t>
  </si>
  <si>
    <t>Venkovní objekty - HTÚ + příprava území</t>
  </si>
  <si>
    <t>Venkovní objekty - Areálové komunikace</t>
  </si>
  <si>
    <t>Venkovní objekty - Splašková kanalizace</t>
  </si>
  <si>
    <t>Venkovní objekty - Dešťová kanalizace včetně zaolejované</t>
  </si>
  <si>
    <t>Venkovní objekty - Vodovod, požární nádrž</t>
  </si>
  <si>
    <t>Venkovní objekty - Stavební příprava pro trafostanici Billa</t>
  </si>
  <si>
    <t>Venkovní objekty - Přípojka a rozvody NN a VO</t>
  </si>
  <si>
    <t>vceně</t>
  </si>
  <si>
    <t>Venkovní objekty - Přípojka Cetin</t>
  </si>
  <si>
    <t>Venkovní objekty - Reklamní zařízení - pylony a informační tabule</t>
  </si>
  <si>
    <t>Venkovní objekty - Sadové úpravy</t>
  </si>
  <si>
    <t>Odpadové hospodářství</t>
  </si>
  <si>
    <t>1.13</t>
  </si>
  <si>
    <t>Propustek pro vodoteč</t>
  </si>
  <si>
    <t>Objekt</t>
  </si>
  <si>
    <t>Založení</t>
  </si>
  <si>
    <t>Sklet prefa</t>
  </si>
  <si>
    <t>Ocelové konstrukce</t>
  </si>
  <si>
    <t>Opláštění</t>
  </si>
  <si>
    <t>Střecha</t>
  </si>
  <si>
    <t>Drátkobetonová deska včetně podloží</t>
  </si>
  <si>
    <t>Stavebně-technické práce</t>
  </si>
  <si>
    <t>Výplně otvorů</t>
  </si>
  <si>
    <t>Ležatá kanalizace</t>
  </si>
  <si>
    <t>vceněVZT</t>
  </si>
  <si>
    <t>ZTI</t>
  </si>
  <si>
    <t>UT</t>
  </si>
  <si>
    <t>VZT</t>
  </si>
  <si>
    <t>2.13</t>
  </si>
  <si>
    <t>Elektroinstalace - Silnoproud</t>
  </si>
  <si>
    <t>nenívPD</t>
  </si>
  <si>
    <t>2.14</t>
  </si>
  <si>
    <t>Elektroinstalace - Slaboproud</t>
  </si>
  <si>
    <t>2.15</t>
  </si>
  <si>
    <t>ZOKT</t>
  </si>
  <si>
    <t>2.16</t>
  </si>
  <si>
    <t>Zámečnické konstrukce</t>
  </si>
  <si>
    <t>Nájemci</t>
  </si>
  <si>
    <t>BILLA (dle stavebního popisu a stavebního rozhraní viz. přílohy)</t>
  </si>
  <si>
    <t>TETA (dle stavebního popisu a stavebního rozhraní viz. přílohy)</t>
  </si>
  <si>
    <t>SUPERZOO (dle stavebního popisu a stavebního rozhraní viz. přílohy)</t>
  </si>
  <si>
    <t>SINSAY (dle stavebního popisu a stavebního rozhraní viz. přílohy)</t>
  </si>
  <si>
    <t>PEPCO (dle stavebního popisu a stavebního rozhraní viz. přílohy)</t>
  </si>
  <si>
    <t>VALMONT (dle stavebního popisu a stavebního rozhraní viz. přílohy)</t>
  </si>
  <si>
    <t>BENU (dle stavebního popisu a stavebního rozhraní viz. přílohy)</t>
  </si>
  <si>
    <t>STYLE (dle stavebního popisu a stavebního rozhraní viz. přílohy)</t>
  </si>
  <si>
    <t>NEHTOVÉ STUDIO</t>
  </si>
  <si>
    <t>STAVEBNÍ PŘÍPRAVA PRO NABÍJECÍ STANICI AUT</t>
  </si>
  <si>
    <t>VÝDEJNÍ BOXY</t>
  </si>
  <si>
    <t>Ostatní práce</t>
  </si>
  <si>
    <t>Realizační dokumentace</t>
  </si>
  <si>
    <t>Dokumentace skutečného provedení</t>
  </si>
  <si>
    <t>Kolaudace + Inženýrská činnost včetně poplatků</t>
  </si>
  <si>
    <t>Ocenění časosběrné kamery po celou dobu výstavby s online přenosem</t>
  </si>
  <si>
    <t>Informační a reklamní cedule investora a označení stavby (na plot 3 x 2 m)</t>
  </si>
  <si>
    <t>Ocelové pozinkované konstrukce nad vstupy do prodejen</t>
  </si>
  <si>
    <t>Ocelové pozinkované konstrukce pro osazení billboardů na fasádu - 8ks</t>
  </si>
  <si>
    <t>Zařízení staveniště včetně oplocení</t>
  </si>
  <si>
    <t>Ostatní náklady potřebné k bezvadné realizaci díla</t>
  </si>
  <si>
    <t>FINAL SUM kolo 2</t>
  </si>
  <si>
    <t>FINAL SUM kolo 1</t>
  </si>
  <si>
    <t>ROZDÍL</t>
  </si>
  <si>
    <t>ROZDÍL V %</t>
  </si>
  <si>
    <t>PROJEKT: OC : prodej SPV (vystavba)</t>
  </si>
  <si>
    <t>Právo stavby do SP</t>
  </si>
  <si>
    <t>sevis fix</t>
  </si>
  <si>
    <t>Kč celkem bez SF</t>
  </si>
  <si>
    <t>Pozemek</t>
  </si>
  <si>
    <t>Provize</t>
  </si>
  <si>
    <t xml:space="preserve">Stavebně - konstrukční náklady </t>
  </si>
  <si>
    <t>Fit-out</t>
  </si>
  <si>
    <t xml:space="preserve">Vynucené investice  </t>
  </si>
  <si>
    <t>Právo stavby</t>
  </si>
  <si>
    <t>Ostatní (přípojky)</t>
  </si>
  <si>
    <t>Potřeba &gt;9%</t>
  </si>
  <si>
    <t>Demolice</t>
  </si>
  <si>
    <t>Reziduální hodnota pozemku</t>
  </si>
  <si>
    <t xml:space="preserve">Rezerva </t>
  </si>
  <si>
    <t>Marže na nákladech stávby %</t>
  </si>
  <si>
    <t>NET YIELD Development</t>
  </si>
  <si>
    <t>Marže na nákladech stávby  Kč</t>
  </si>
  <si>
    <t>Hrubá reziduální hodnota pozemku</t>
  </si>
  <si>
    <t>ČISTÁ REZIDUÁLNÍ HODNOTA POZEMKU</t>
  </si>
  <si>
    <t xml:space="preserve">Honoráře spojené s projektem </t>
  </si>
  <si>
    <t xml:space="preserve">Prodejni cena retail </t>
  </si>
  <si>
    <t xml:space="preserve">JC </t>
  </si>
  <si>
    <t>Hodnota pozemku po SP</t>
  </si>
  <si>
    <t>Architekt, projektant</t>
  </si>
  <si>
    <r>
      <rPr>
        <sz val="11"/>
        <color theme="1"/>
        <rFont val="Calibri"/>
        <family val="2"/>
      </rPr>
      <t xml:space="preserve">Projektový management (příprava +  realizace) - </t>
    </r>
    <r>
      <rPr>
        <u/>
        <sz val="11"/>
        <color theme="1"/>
        <rFont val="Calibri"/>
        <family val="2"/>
      </rPr>
      <t>interní manag.</t>
    </r>
  </si>
  <si>
    <r>
      <rPr>
        <sz val="11"/>
        <color theme="1"/>
        <rFont val="Calibri"/>
        <family val="2"/>
      </rPr>
      <t xml:space="preserve">Stavební dozor, koordinátor BOZP  - </t>
    </r>
    <r>
      <rPr>
        <u/>
        <sz val="11"/>
        <color theme="1"/>
        <rFont val="Calibri"/>
        <family val="2"/>
      </rPr>
      <t xml:space="preserve">externí management </t>
    </r>
  </si>
  <si>
    <t xml:space="preserve">kpl </t>
  </si>
  <si>
    <t>Potřeba &gt;20,00%</t>
  </si>
  <si>
    <t xml:space="preserve">Právní služby </t>
  </si>
  <si>
    <t xml:space="preserve">Vícenáklady - rezerva </t>
  </si>
  <si>
    <t>Daň z převodu</t>
  </si>
  <si>
    <t xml:space="preserve">Záruka </t>
  </si>
  <si>
    <t xml:space="preserve">Administrativa společnosti </t>
  </si>
  <si>
    <t>Citlivostní analýza poklesu YIELD</t>
  </si>
  <si>
    <t>Inženýring - ÚR, SP, kolaudace</t>
  </si>
  <si>
    <t>NET PROFIT</t>
  </si>
  <si>
    <t>Yield</t>
  </si>
  <si>
    <t>Privátní equita pozemek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</si>
  <si>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 xml:space="preserve">financování  - vlastní realizace projektu </t>
    </r>
  </si>
  <si>
    <t xml:space="preserve">Privátní equita  - vlastní realizace projektu 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</si>
  <si>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financování  - pozemek po SP</t>
    </r>
  </si>
  <si>
    <t>Privátní equita - pozemek po SP</t>
  </si>
  <si>
    <t>Citlivostní analýza změny ceny stavby (YIELD 7,2%)</t>
  </si>
  <si>
    <t>Δ stavby</t>
  </si>
  <si>
    <t>Citlivostní analýza pří prodloužení projektu</t>
  </si>
  <si>
    <t>Δ (mes)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</si>
</sst>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3" formatCode="_-* #,##0.00_-;\-* #,##0.00_-;_-* &quot;-&quot;??_-;_-@_-"/>
    <numFmt numFmtId="164" formatCode="_(* #,##0.00_);_(* \(#,##0.00\);_(* &quot;-&quot;??_);_(@_)"/>
    <numFmt numFmtId="165" formatCode="#,##0\ &quot;Kč&quot;;[Red]\-#,##0\ &quot;Kč&quot;"/>
    <numFmt numFmtId="166" formatCode="#,##0.0[$€]"/>
    <numFmt numFmtId="167" formatCode="#,##0.00[$€]"/>
    <numFmt numFmtId="168" formatCode="#,##0[$ Kč]"/>
    <numFmt numFmtId="169" formatCode="#,##0[$€]"/>
    <numFmt numFmtId="170" formatCode="#,##0.00\ [$Kč-405]"/>
    <numFmt numFmtId="171" formatCode="dd\.mm\.yyyy"/>
    <numFmt numFmtId="172" formatCode="d\.m\.yyyy"/>
    <numFmt numFmtId="173" formatCode="_-* #,##0\ [$Kč-405]_-;\-* #,##0\ [$Kč-405]_-;_-* &quot;-&quot;??\ [$Kč-405]_-;_-@"/>
    <numFmt numFmtId="174" formatCode="_-* #,##0.0\ [$Kč-405]_-;\-* #,##0.0\ [$Kč-405]_-;_-* &quot;-&quot;??\ [$Kč-405]_-;_-@"/>
    <numFmt numFmtId="175" formatCode="_-* #,##0.00\ [$Kč-405]_-;\-* #,##0.00\ [$Kč-405]_-;_-* &quot;-&quot;??\ [$Kč-405]_-;_-@"/>
    <numFmt numFmtId="176" formatCode="[Black]\ #,##0;[Red]\ \-#,##0"/>
    <numFmt numFmtId="177" formatCode="0.0%"/>
    <numFmt numFmtId="178" formatCode="#,##0_ ;\-#,##0\ "/>
    <numFmt numFmtId="179" formatCode="#,##0.00\ &quot;CZK&quot;"/>
    <numFmt numFmtId="180" formatCode="_-* #,##0.0\ [$Kč-405]_-;\-* #,##0.0\ [$Kč-405]_-;_-* &quot;-&quot;??.0\ [$Kč-405]_-;_-@"/>
    <numFmt numFmtId="181" formatCode="_-* #,##0.00\ &quot;CZK&quot;_-;\-* #,##0.00\ &quot;CZK&quot;_-;_-* &quot;-&quot;??\ &quot;CZK&quot;_-;_-@"/>
    <numFmt numFmtId="182" formatCode="#,##0\ [$Kč-405]"/>
    <numFmt numFmtId="183" formatCode="0.000%"/>
    <numFmt numFmtId="184" formatCode="d\.m"/>
    <numFmt numFmtId="185" formatCode="#,##0&quot;Kč&quot;"/>
    <numFmt numFmtId="186" formatCode="d\.m\."/>
    <numFmt numFmtId="187" formatCode="#,##0.00&quot;Kč&quot;"/>
    <numFmt numFmtId="188" formatCode="yyyy&quot; &quot;"/>
    <numFmt numFmtId="189" formatCode="mmm&quot; &quot;"/>
    <numFmt numFmtId="190" formatCode="&quot; &quot;m&quot;. &quot;yyyy"/>
    <numFmt numFmtId="191" formatCode="m\.yyyy"/>
    <numFmt numFmtId="192" formatCode="#,##0.00[$ Kč]"/>
    <numFmt numFmtId="193" formatCode="#,##0\ [$Kč-405];\-#,##0\ [$Kč-405]"/>
    <numFmt numFmtId="194" formatCode="_-* #,##0.00\ _K_č_-;\-* #,##0.00\ _K_č_-;_-* &quot;-&quot;??\ _K_č_-;_-@_-"/>
    <numFmt numFmtId="195" formatCode="#,##0.00\ &quot;Kč&quot;"/>
    <numFmt numFmtId="196" formatCode="_-* #,##0.00\ [$Kč-405]_-;\-* #,##0.00\ [$Kč-405]_-;_-* &quot;-&quot;??\ [$Kč-405]_-;_-@_-"/>
    <numFmt numFmtId="197" formatCode="_-* #,##0.00\ [$€-1]_-;\-* #,##0.00\ [$€-1]_-;_-* &quot;-&quot;??\ [$€-1]_-;_-@_-"/>
    <numFmt numFmtId="198" formatCode="#,##0.00\ [$€-425]"/>
    <numFmt numFmtId="200" formatCode="[$€-462]\ #,##0.00_-"/>
    <numFmt numFmtId="201" formatCode="_-* #,##0\ [$Kč-405]_-;\-* #,##0\ [$Kč-405]_-;_-* &quot;-&quot;??\ [$Kč-405]_-;_-@_-"/>
    <numFmt numFmtId="203" formatCode="&quot;$&quot;#,##0"/>
    <numFmt numFmtId="204" formatCode="_(* #,##0_);_(* \(#,##0\);_(* &quot;-&quot;??_);_(@_)"/>
  </numFmts>
  <fonts count="76">
    <font>
      <sz val="11"/>
      <color theme="1"/>
      <name val="Arial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Times New Roman"/>
      <family val="1"/>
    </font>
    <font>
      <sz val="11"/>
      <color theme="1"/>
      <name val="Arial"/>
      <family val="2"/>
      <scheme val="minor"/>
    </font>
    <font>
      <sz val="12"/>
      <color theme="1"/>
      <name val="&quot;Times New Roman&quot;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Calibri"/>
      <family val="2"/>
    </font>
    <font>
      <b/>
      <sz val="12"/>
      <color theme="1"/>
      <name val="&quot;Times New Roman&quot;"/>
    </font>
    <font>
      <sz val="12"/>
      <color rgb="FFFFFFFF"/>
      <name val="Calibri"/>
      <family val="2"/>
    </font>
    <font>
      <sz val="14"/>
      <color theme="1"/>
      <name val="Calibri"/>
      <family val="2"/>
    </font>
    <font>
      <b/>
      <u/>
      <sz val="26"/>
      <color theme="1"/>
      <name val="Calibri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26"/>
      <color theme="1"/>
      <name val="Calibri"/>
      <family val="2"/>
    </font>
    <font>
      <sz val="11"/>
      <name val="Arial"/>
      <family val="2"/>
    </font>
    <font>
      <b/>
      <sz val="16"/>
      <color theme="1"/>
      <name val="Calibri"/>
      <family val="2"/>
    </font>
    <font>
      <sz val="8"/>
      <color theme="1"/>
      <name val="Calibri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</font>
    <font>
      <sz val="11"/>
      <color rgb="FFFF0000"/>
      <name val="Calibri"/>
      <family val="2"/>
    </font>
    <font>
      <b/>
      <sz val="12"/>
      <color rgb="FF000000"/>
      <name val="Arial"/>
      <family val="2"/>
    </font>
    <font>
      <i/>
      <sz val="11"/>
      <color theme="1"/>
      <name val="Arial"/>
      <family val="2"/>
    </font>
    <font>
      <b/>
      <sz val="11"/>
      <color rgb="FFFF0000"/>
      <name val="Calibri"/>
      <family val="2"/>
    </font>
    <font>
      <i/>
      <sz val="11"/>
      <color theme="1"/>
      <name val="Calibri"/>
      <family val="2"/>
    </font>
    <font>
      <sz val="9"/>
      <color rgb="FFEA9999"/>
      <name val="Calibri"/>
      <family val="2"/>
    </font>
    <font>
      <i/>
      <sz val="10"/>
      <color theme="1"/>
      <name val="Calibri"/>
      <family val="2"/>
    </font>
    <font>
      <sz val="9"/>
      <color rgb="FFFF0000"/>
      <name val="Calibri"/>
      <family val="2"/>
    </font>
    <font>
      <b/>
      <sz val="12"/>
      <color rgb="FFFF0000"/>
      <name val="Calibri"/>
      <family val="2"/>
    </font>
    <font>
      <sz val="9"/>
      <color rgb="FF4285F4"/>
      <name val="Arial"/>
      <family val="2"/>
    </font>
    <font>
      <b/>
      <sz val="28"/>
      <color theme="1"/>
      <name val="Calibri"/>
      <family val="2"/>
    </font>
    <font>
      <b/>
      <sz val="18"/>
      <color rgb="FF00B050"/>
      <name val="Calibri"/>
      <family val="2"/>
    </font>
    <font>
      <b/>
      <sz val="28"/>
      <color rgb="FF00B050"/>
      <name val="Calibri"/>
      <family val="2"/>
    </font>
    <font>
      <b/>
      <sz val="22"/>
      <color theme="1"/>
      <name val="Calibri"/>
      <family val="2"/>
    </font>
    <font>
      <b/>
      <i/>
      <sz val="14"/>
      <color rgb="FF00B050"/>
      <name val="Calibri"/>
      <family val="2"/>
    </font>
    <font>
      <b/>
      <sz val="14"/>
      <color rgb="FF00B050"/>
      <name val="Calibri"/>
      <family val="2"/>
    </font>
    <font>
      <sz val="16"/>
      <color theme="1"/>
      <name val="Calibri"/>
      <family val="2"/>
    </font>
    <font>
      <i/>
      <sz val="9"/>
      <color theme="1"/>
      <name val="Calibri"/>
      <family val="2"/>
    </font>
    <font>
      <sz val="9"/>
      <color rgb="FF00000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i/>
      <sz val="14"/>
      <color theme="1"/>
      <name val="Calibri"/>
      <family val="2"/>
    </font>
    <font>
      <sz val="12"/>
      <color rgb="FF000000"/>
      <name val="Arial"/>
      <family val="2"/>
    </font>
    <font>
      <sz val="11"/>
      <color rgb="FF000000"/>
      <name val="Arial"/>
      <family val="2"/>
    </font>
    <font>
      <b/>
      <sz val="20"/>
      <color theme="1"/>
      <name val="Calibri"/>
      <family val="2"/>
    </font>
    <font>
      <sz val="20"/>
      <color theme="1"/>
      <name val="Calibri"/>
      <family val="2"/>
    </font>
    <font>
      <sz val="11"/>
      <color rgb="FF244061"/>
      <name val="Arial"/>
      <family val="2"/>
    </font>
    <font>
      <b/>
      <sz val="13"/>
      <color theme="1"/>
      <name val="Calibri"/>
      <family val="2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1"/>
      <color rgb="FF999999"/>
      <name val="Arial"/>
      <family val="2"/>
      <scheme val="minor"/>
    </font>
    <font>
      <b/>
      <sz val="16"/>
      <color rgb="FF000000"/>
      <name val="Arial"/>
      <family val="2"/>
    </font>
    <font>
      <sz val="11"/>
      <color rgb="FF000000"/>
      <name val="Helvetica"/>
      <family val="2"/>
    </font>
    <font>
      <b/>
      <sz val="11"/>
      <color rgb="FF000000"/>
      <name val="Helvetica"/>
      <family val="2"/>
    </font>
    <font>
      <sz val="12"/>
      <color rgb="FFFF0000"/>
      <name val="Arial"/>
      <family val="2"/>
    </font>
    <font>
      <sz val="12"/>
      <color theme="1"/>
      <name val="Arial"/>
      <family val="2"/>
    </font>
    <font>
      <sz val="12"/>
      <color rgb="FF0066CC"/>
      <name val="Arial"/>
      <family val="2"/>
    </font>
    <font>
      <i/>
      <sz val="12"/>
      <color theme="1"/>
      <name val="Calibri"/>
      <family val="2"/>
    </font>
    <font>
      <b/>
      <u/>
      <sz val="11"/>
      <color theme="1"/>
      <name val="Calibri"/>
      <family val="2"/>
    </font>
    <font>
      <b/>
      <u/>
      <sz val="17"/>
      <color theme="1"/>
      <name val="Calibri"/>
      <family val="2"/>
    </font>
    <font>
      <u/>
      <sz val="11"/>
      <color theme="1"/>
      <name val="Calibri"/>
      <family val="2"/>
    </font>
    <font>
      <strike/>
      <sz val="11"/>
      <color theme="1"/>
      <name val="Calibri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9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E5B8B7"/>
        <bgColor rgb="FFE5B8B7"/>
      </patternFill>
    </fill>
    <fill>
      <patternFill patternType="solid">
        <fgColor rgb="FFC2D69B"/>
        <bgColor rgb="FFC2D69B"/>
      </patternFill>
    </fill>
    <fill>
      <patternFill patternType="solid">
        <fgColor theme="0"/>
        <bgColor theme="0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E36C09"/>
        <bgColor rgb="FFE36C09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rgb="FFE6E6E6"/>
        <bgColor rgb="FFE6E6E6"/>
      </patternFill>
    </fill>
    <fill>
      <patternFill patternType="solid">
        <fgColor rgb="FFD9D9D9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FABF8F"/>
        <bgColor rgb="FFFABF8F"/>
      </patternFill>
    </fill>
    <fill>
      <patternFill patternType="solid">
        <fgColor rgb="FFED7D31"/>
        <bgColor rgb="FFED7D31"/>
      </patternFill>
    </fill>
    <fill>
      <patternFill patternType="solid">
        <fgColor rgb="FFFBE4D5"/>
        <bgColor rgb="FFFBE4D5"/>
      </patternFill>
    </fill>
    <fill>
      <patternFill patternType="solid">
        <fgColor rgb="FFF7CAAC"/>
        <bgColor rgb="FFF7CAAC"/>
      </patternFill>
    </fill>
    <fill>
      <patternFill patternType="solid">
        <fgColor rgb="FFDEEAF6"/>
        <bgColor rgb="FFDEEAF6"/>
      </patternFill>
    </fill>
    <fill>
      <patternFill patternType="solid">
        <fgColor rgb="FFBDD6EE"/>
        <bgColor rgb="FFBDD6EE"/>
      </patternFill>
    </fill>
    <fill>
      <patternFill patternType="solid">
        <fgColor rgb="FF4A86E8"/>
        <bgColor rgb="FF4A86E8"/>
      </patternFill>
    </fill>
    <fill>
      <patternFill patternType="solid">
        <fgColor rgb="FF6FA8DC"/>
        <bgColor rgb="FF6FA8DC"/>
      </patternFill>
    </fill>
    <fill>
      <patternFill patternType="solid">
        <fgColor rgb="FFFEF2CB"/>
        <bgColor rgb="FFFEF2CB"/>
      </patternFill>
    </fill>
    <fill>
      <patternFill patternType="solid">
        <fgColor rgb="FFA8D08D"/>
        <bgColor rgb="FFA8D08D"/>
      </patternFill>
    </fill>
    <fill>
      <patternFill patternType="solid">
        <fgColor rgb="FFFFF2CC"/>
        <bgColor rgb="FFFFF2CC"/>
      </patternFill>
    </fill>
    <fill>
      <patternFill patternType="solid">
        <fgColor rgb="FF9FC5E8"/>
        <bgColor rgb="FF9FC5E8"/>
      </patternFill>
    </fill>
    <fill>
      <patternFill patternType="solid">
        <fgColor rgb="FF00FF00"/>
        <bgColor rgb="FF00FF00"/>
      </patternFill>
    </fill>
    <fill>
      <patternFill patternType="solid">
        <fgColor rgb="FFCFE2F3"/>
        <bgColor rgb="FFCFE2F3"/>
      </patternFill>
    </fill>
    <fill>
      <patternFill patternType="solid">
        <fgColor rgb="FFF4CCCC"/>
        <bgColor rgb="FFF4CCCC"/>
      </patternFill>
    </fill>
    <fill>
      <patternFill patternType="solid">
        <fgColor rgb="FFA4C2F4"/>
        <bgColor rgb="FFA4C2F4"/>
      </patternFill>
    </fill>
    <fill>
      <patternFill patternType="solid">
        <fgColor rgb="FFFFE599"/>
        <bgColor rgb="FFFFE599"/>
      </patternFill>
    </fill>
    <fill>
      <patternFill patternType="solid">
        <fgColor rgb="FFBFBFBF"/>
        <bgColor rgb="FFBFBFBF"/>
      </patternFill>
    </fill>
    <fill>
      <patternFill patternType="solid">
        <fgColor rgb="FFFCD5B4"/>
        <bgColor rgb="FFFCD5B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FFFF"/>
      </patternFill>
    </fill>
    <fill>
      <patternFill patternType="solid">
        <fgColor theme="2" tint="-0.3499862666707357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</fills>
  <borders count="8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double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double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9" fontId="68" fillId="0" borderId="0" applyFont="0" applyFill="0" applyBorder="0" applyAlignment="0" applyProtection="0"/>
    <xf numFmtId="43" fontId="69" fillId="0" borderId="0" applyFont="0" applyFill="0" applyBorder="0" applyAlignment="0" applyProtection="0"/>
  </cellStyleXfs>
  <cellXfs count="679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0" xfId="0" applyFont="1"/>
    <xf numFmtId="0" fontId="2" fillId="0" borderId="1" xfId="0" applyFont="1" applyBorder="1"/>
    <xf numFmtId="166" fontId="2" fillId="0" borderId="2" xfId="0" applyNumberFormat="1" applyFont="1" applyBorder="1"/>
    <xf numFmtId="167" fontId="2" fillId="0" borderId="2" xfId="0" applyNumberFormat="1" applyFont="1" applyBorder="1" applyAlignment="1">
      <alignment horizontal="right"/>
    </xf>
    <xf numFmtId="168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68" fontId="2" fillId="0" borderId="4" xfId="0" applyNumberFormat="1" applyFont="1" applyBorder="1" applyAlignment="1">
      <alignment horizontal="right"/>
    </xf>
    <xf numFmtId="167" fontId="2" fillId="0" borderId="2" xfId="0" applyNumberFormat="1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69" fontId="2" fillId="0" borderId="1" xfId="0" applyNumberFormat="1" applyFont="1" applyBorder="1"/>
    <xf numFmtId="168" fontId="1" fillId="2" borderId="1" xfId="0" applyNumberFormat="1" applyFont="1" applyFill="1" applyBorder="1" applyAlignment="1">
      <alignment horizontal="right"/>
    </xf>
    <xf numFmtId="170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168" fontId="2" fillId="0" borderId="0" xfId="0" applyNumberFormat="1" applyFont="1"/>
    <xf numFmtId="0" fontId="3" fillId="3" borderId="1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wrapText="1"/>
    </xf>
    <xf numFmtId="0" fontId="6" fillId="3" borderId="5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9" fontId="7" fillId="3" borderId="3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71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4" fillId="0" borderId="0" xfId="0" applyFont="1"/>
    <xf numFmtId="0" fontId="5" fillId="3" borderId="3" xfId="0" applyFont="1" applyFill="1" applyBorder="1" applyAlignment="1">
      <alignment horizontal="center"/>
    </xf>
    <xf numFmtId="172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8" fillId="0" borderId="0" xfId="0" applyFont="1"/>
    <xf numFmtId="0" fontId="9" fillId="3" borderId="1" xfId="0" applyFont="1" applyFill="1" applyBorder="1" applyAlignment="1">
      <alignment horizontal="center"/>
    </xf>
    <xf numFmtId="171" fontId="9" fillId="3" borderId="6" xfId="0" applyNumberFormat="1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/>
    </xf>
    <xf numFmtId="170" fontId="9" fillId="3" borderId="6" xfId="0" applyNumberFormat="1" applyFont="1" applyFill="1" applyBorder="1" applyAlignment="1">
      <alignment horizontal="center"/>
    </xf>
    <xf numFmtId="0" fontId="8" fillId="3" borderId="6" xfId="0" applyFont="1" applyFill="1" applyBorder="1"/>
    <xf numFmtId="14" fontId="9" fillId="3" borderId="6" xfId="0" applyNumberFormat="1" applyFont="1" applyFill="1" applyBorder="1" applyAlignment="1">
      <alignment horizontal="center"/>
    </xf>
    <xf numFmtId="173" fontId="10" fillId="0" borderId="0" xfId="0" applyNumberFormat="1" applyFont="1" applyAlignment="1">
      <alignment horizontal="right"/>
    </xf>
    <xf numFmtId="0" fontId="9" fillId="3" borderId="3" xfId="0" applyFont="1" applyFill="1" applyBorder="1" applyAlignment="1">
      <alignment horizontal="center"/>
    </xf>
    <xf numFmtId="170" fontId="8" fillId="0" borderId="0" xfId="0" applyNumberFormat="1" applyFont="1"/>
    <xf numFmtId="172" fontId="5" fillId="3" borderId="3" xfId="0" applyNumberFormat="1" applyFont="1" applyFill="1" applyBorder="1" applyAlignment="1">
      <alignment horizontal="center"/>
    </xf>
    <xf numFmtId="170" fontId="6" fillId="3" borderId="3" xfId="0" applyNumberFormat="1" applyFont="1" applyFill="1" applyBorder="1" applyAlignment="1">
      <alignment horizontal="center" vertical="center"/>
    </xf>
    <xf numFmtId="172" fontId="7" fillId="3" borderId="3" xfId="0" applyNumberFormat="1" applyFont="1" applyFill="1" applyBorder="1" applyAlignment="1">
      <alignment horizontal="center" vertical="center"/>
    </xf>
    <xf numFmtId="170" fontId="6" fillId="3" borderId="1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3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74" fontId="15" fillId="0" borderId="0" xfId="0" applyNumberFormat="1" applyFont="1" applyAlignment="1">
      <alignment vertical="center"/>
    </xf>
    <xf numFmtId="175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vertical="center"/>
    </xf>
    <xf numFmtId="175" fontId="16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75" fontId="13" fillId="0" borderId="0" xfId="0" applyNumberFormat="1" applyFont="1" applyAlignment="1">
      <alignment horizontal="center" vertical="center"/>
    </xf>
    <xf numFmtId="174" fontId="13" fillId="0" borderId="0" xfId="0" applyNumberFormat="1" applyFont="1" applyAlignment="1">
      <alignment vertical="center"/>
    </xf>
    <xf numFmtId="0" fontId="19" fillId="0" borderId="8" xfId="0" applyFont="1" applyBorder="1" applyAlignment="1">
      <alignment horizontal="center" vertical="center"/>
    </xf>
    <xf numFmtId="175" fontId="13" fillId="0" borderId="8" xfId="0" applyNumberFormat="1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vertical="center"/>
    </xf>
    <xf numFmtId="3" fontId="20" fillId="0" borderId="10" xfId="0" applyNumberFormat="1" applyFont="1" applyBorder="1" applyAlignment="1">
      <alignment horizontal="center" vertical="center"/>
    </xf>
    <xf numFmtId="174" fontId="20" fillId="0" borderId="10" xfId="0" applyNumberFormat="1" applyFont="1" applyBorder="1" applyAlignment="1">
      <alignment horizontal="center" vertical="center"/>
    </xf>
    <xf numFmtId="175" fontId="13" fillId="0" borderId="11" xfId="0" applyNumberFormat="1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174" fontId="20" fillId="0" borderId="11" xfId="0" applyNumberFormat="1" applyFont="1" applyBorder="1" applyAlignment="1">
      <alignment horizontal="center" vertical="center"/>
    </xf>
    <xf numFmtId="0" fontId="21" fillId="0" borderId="13" xfId="0" applyFont="1" applyBorder="1"/>
    <xf numFmtId="0" fontId="21" fillId="0" borderId="14" xfId="0" applyFont="1" applyBorder="1" applyAlignment="1">
      <alignment horizontal="center" vertical="center"/>
    </xf>
    <xf numFmtId="3" fontId="13" fillId="0" borderId="15" xfId="0" applyNumberFormat="1" applyFont="1" applyBorder="1" applyAlignment="1">
      <alignment horizontal="center" vertical="center"/>
    </xf>
    <xf numFmtId="173" fontId="13" fillId="6" borderId="16" xfId="0" applyNumberFormat="1" applyFont="1" applyFill="1" applyBorder="1" applyAlignment="1">
      <alignment vertical="center"/>
    </xf>
    <xf numFmtId="173" fontId="13" fillId="6" borderId="17" xfId="0" applyNumberFormat="1" applyFont="1" applyFill="1" applyBorder="1" applyAlignment="1">
      <alignment vertical="center"/>
    </xf>
    <xf numFmtId="173" fontId="16" fillId="0" borderId="8" xfId="0" applyNumberFormat="1" applyFont="1" applyBorder="1" applyAlignment="1">
      <alignment horizontal="center" vertical="center"/>
    </xf>
    <xf numFmtId="0" fontId="21" fillId="0" borderId="18" xfId="0" applyFont="1" applyBorder="1"/>
    <xf numFmtId="0" fontId="21" fillId="0" borderId="1" xfId="0" applyFont="1" applyBorder="1" applyAlignment="1">
      <alignment horizontal="center" vertical="center"/>
    </xf>
    <xf numFmtId="173" fontId="22" fillId="6" borderId="1" xfId="0" applyNumberFormat="1" applyFont="1" applyFill="1" applyBorder="1" applyAlignment="1">
      <alignment vertical="center"/>
    </xf>
    <xf numFmtId="173" fontId="22" fillId="6" borderId="19" xfId="0" applyNumberFormat="1" applyFont="1" applyFill="1" applyBorder="1" applyAlignment="1">
      <alignment vertical="center"/>
    </xf>
    <xf numFmtId="0" fontId="21" fillId="0" borderId="20" xfId="0" applyFont="1" applyBorder="1"/>
    <xf numFmtId="0" fontId="21" fillId="0" borderId="21" xfId="0" applyFont="1" applyBorder="1" applyAlignment="1">
      <alignment horizontal="center" vertical="center"/>
    </xf>
    <xf numFmtId="173" fontId="23" fillId="0" borderId="15" xfId="0" applyNumberFormat="1" applyFont="1" applyBorder="1" applyAlignment="1">
      <alignment vertical="center"/>
    </xf>
    <xf numFmtId="173" fontId="13" fillId="0" borderId="22" xfId="0" applyNumberFormat="1" applyFont="1" applyBorder="1" applyAlignment="1">
      <alignment horizontal="center" vertical="center"/>
    </xf>
    <xf numFmtId="173" fontId="16" fillId="0" borderId="8" xfId="0" applyNumberFormat="1" applyFont="1" applyBorder="1" applyAlignment="1">
      <alignment vertical="center"/>
    </xf>
    <xf numFmtId="0" fontId="22" fillId="0" borderId="19" xfId="0" applyFont="1" applyBorder="1" applyAlignment="1">
      <alignment horizontal="center" vertical="center"/>
    </xf>
    <xf numFmtId="0" fontId="24" fillId="0" borderId="20" xfId="0" applyFont="1" applyBorder="1"/>
    <xf numFmtId="0" fontId="21" fillId="0" borderId="19" xfId="0" applyFont="1" applyBorder="1" applyAlignment="1">
      <alignment horizontal="center" vertical="center"/>
    </xf>
    <xf numFmtId="9" fontId="13" fillId="0" borderId="15" xfId="0" applyNumberFormat="1" applyFont="1" applyBorder="1" applyAlignment="1">
      <alignment horizontal="center" vertical="center"/>
    </xf>
    <xf numFmtId="9" fontId="23" fillId="0" borderId="15" xfId="0" applyNumberFormat="1" applyFont="1" applyBorder="1" applyAlignment="1">
      <alignment vertical="center"/>
    </xf>
    <xf numFmtId="173" fontId="22" fillId="0" borderId="8" xfId="0" applyNumberFormat="1" applyFont="1" applyBorder="1" applyAlignment="1">
      <alignment horizontal="center" vertical="center"/>
    </xf>
    <xf numFmtId="0" fontId="21" fillId="0" borderId="23" xfId="0" applyFont="1" applyBorder="1"/>
    <xf numFmtId="0" fontId="22" fillId="0" borderId="24" xfId="0" applyFont="1" applyBorder="1" applyAlignment="1">
      <alignment horizontal="center" vertical="center"/>
    </xf>
    <xf numFmtId="0" fontId="22" fillId="4" borderId="25" xfId="0" applyFont="1" applyFill="1" applyBorder="1" applyAlignment="1">
      <alignment vertical="center"/>
    </xf>
    <xf numFmtId="173" fontId="16" fillId="0" borderId="8" xfId="0" applyNumberFormat="1" applyFont="1" applyBorder="1" applyAlignment="1">
      <alignment horizontal="center" vertical="center" wrapText="1"/>
    </xf>
    <xf numFmtId="0" fontId="14" fillId="5" borderId="27" xfId="0" applyFont="1" applyFill="1" applyBorder="1" applyAlignment="1">
      <alignment horizontal="left" vertical="center"/>
    </xf>
    <xf numFmtId="1" fontId="14" fillId="5" borderId="28" xfId="0" applyNumberFormat="1" applyFont="1" applyFill="1" applyBorder="1" applyAlignment="1">
      <alignment horizontal="center" vertical="center"/>
    </xf>
    <xf numFmtId="0" fontId="25" fillId="0" borderId="0" xfId="0" applyFont="1"/>
    <xf numFmtId="173" fontId="25" fillId="0" borderId="0" xfId="0" applyNumberFormat="1" applyFont="1"/>
    <xf numFmtId="0" fontId="20" fillId="0" borderId="9" xfId="0" applyFont="1" applyBorder="1" applyAlignment="1">
      <alignment vertical="center"/>
    </xf>
    <xf numFmtId="0" fontId="20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2" fillId="0" borderId="18" xfId="0" applyFont="1" applyBorder="1" applyAlignment="1">
      <alignment vertical="center"/>
    </xf>
    <xf numFmtId="176" fontId="13" fillId="6" borderId="30" xfId="0" applyNumberFormat="1" applyFont="1" applyFill="1" applyBorder="1" applyAlignment="1">
      <alignment vertical="center" wrapText="1"/>
    </xf>
    <xf numFmtId="178" fontId="13" fillId="6" borderId="16" xfId="0" applyNumberFormat="1" applyFont="1" applyFill="1" applyBorder="1" applyAlignment="1">
      <alignment horizontal="center" vertical="center"/>
    </xf>
    <xf numFmtId="173" fontId="13" fillId="6" borderId="16" xfId="0" applyNumberFormat="1" applyFont="1" applyFill="1" applyBorder="1" applyAlignment="1">
      <alignment horizontal="center" vertical="center"/>
    </xf>
    <xf numFmtId="9" fontId="26" fillId="0" borderId="16" xfId="0" applyNumberFormat="1" applyFont="1" applyBorder="1" applyAlignment="1">
      <alignment vertical="center"/>
    </xf>
    <xf numFmtId="173" fontId="16" fillId="6" borderId="17" xfId="0" applyNumberFormat="1" applyFont="1" applyFill="1" applyBorder="1" applyAlignment="1">
      <alignment horizontal="center" vertical="center"/>
    </xf>
    <xf numFmtId="173" fontId="13" fillId="0" borderId="8" xfId="0" applyNumberFormat="1" applyFont="1" applyBorder="1" applyAlignment="1">
      <alignment horizontal="center" vertical="center"/>
    </xf>
    <xf numFmtId="0" fontId="16" fillId="0" borderId="25" xfId="0" applyFont="1" applyBorder="1" applyAlignment="1">
      <alignment horizontal="left" vertical="center"/>
    </xf>
    <xf numFmtId="4" fontId="13" fillId="0" borderId="31" xfId="0" applyNumberFormat="1" applyFont="1" applyBorder="1" applyAlignment="1">
      <alignment horizontal="center" vertical="center"/>
    </xf>
    <xf numFmtId="3" fontId="13" fillId="0" borderId="31" xfId="0" applyNumberFormat="1" applyFont="1" applyBorder="1" applyAlignment="1">
      <alignment horizontal="center" vertical="center"/>
    </xf>
    <xf numFmtId="173" fontId="13" fillId="0" borderId="31" xfId="0" applyNumberFormat="1" applyFont="1" applyBorder="1" applyAlignment="1">
      <alignment horizontal="center" vertical="center"/>
    </xf>
    <xf numFmtId="173" fontId="13" fillId="0" borderId="31" xfId="0" applyNumberFormat="1" applyFont="1" applyBorder="1" applyAlignment="1">
      <alignment vertical="center"/>
    </xf>
    <xf numFmtId="173" fontId="13" fillId="0" borderId="32" xfId="0" applyNumberFormat="1" applyFont="1" applyBorder="1" applyAlignment="1">
      <alignment horizontal="center" vertical="center"/>
    </xf>
    <xf numFmtId="0" fontId="14" fillId="5" borderId="33" xfId="0" applyFont="1" applyFill="1" applyBorder="1" applyAlignment="1">
      <alignment horizontal="left" vertical="center"/>
    </xf>
    <xf numFmtId="0" fontId="31" fillId="0" borderId="13" xfId="0" applyFont="1" applyBorder="1" applyAlignment="1">
      <alignment horizontal="left" vertical="center"/>
    </xf>
    <xf numFmtId="3" fontId="13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174" fontId="13" fillId="0" borderId="3" xfId="0" applyNumberFormat="1" applyFont="1" applyBorder="1" applyAlignment="1">
      <alignment vertical="center"/>
    </xf>
    <xf numFmtId="10" fontId="22" fillId="0" borderId="21" xfId="0" applyNumberFormat="1" applyFont="1" applyBorder="1" applyAlignment="1">
      <alignment horizontal="center" vertical="center"/>
    </xf>
    <xf numFmtId="176" fontId="13" fillId="6" borderId="35" xfId="0" applyNumberFormat="1" applyFont="1" applyFill="1" applyBorder="1" applyAlignment="1">
      <alignment vertical="center" wrapText="1"/>
    </xf>
    <xf numFmtId="10" fontId="13" fillId="0" borderId="8" xfId="0" applyNumberFormat="1" applyFont="1" applyBorder="1" applyAlignment="1">
      <alignment horizontal="center" vertical="center"/>
    </xf>
    <xf numFmtId="0" fontId="31" fillId="0" borderId="20" xfId="0" applyFont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/>
    </xf>
    <xf numFmtId="9" fontId="13" fillId="0" borderId="3" xfId="0" applyNumberFormat="1" applyFont="1" applyBorder="1" applyAlignment="1">
      <alignment vertical="center"/>
    </xf>
    <xf numFmtId="2" fontId="22" fillId="0" borderId="21" xfId="0" applyNumberFormat="1" applyFont="1" applyBorder="1" applyAlignment="1">
      <alignment horizontal="center" vertical="center"/>
    </xf>
    <xf numFmtId="179" fontId="22" fillId="0" borderId="24" xfId="0" applyNumberFormat="1" applyFont="1" applyBorder="1" applyAlignment="1">
      <alignment horizontal="right" vertical="center"/>
    </xf>
    <xf numFmtId="180" fontId="13" fillId="0" borderId="1" xfId="0" applyNumberFormat="1" applyFont="1" applyBorder="1" applyAlignment="1">
      <alignment vertical="center"/>
    </xf>
    <xf numFmtId="173" fontId="22" fillId="0" borderId="19" xfId="0" applyNumberFormat="1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179" fontId="14" fillId="5" borderId="36" xfId="0" applyNumberFormat="1" applyFont="1" applyFill="1" applyBorder="1" applyAlignment="1">
      <alignment horizontal="right" vertical="center"/>
    </xf>
    <xf numFmtId="0" fontId="31" fillId="0" borderId="18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174" fontId="13" fillId="0" borderId="1" xfId="0" applyNumberFormat="1" applyFont="1" applyBorder="1" applyAlignment="1">
      <alignment vertical="center"/>
    </xf>
    <xf numFmtId="0" fontId="31" fillId="0" borderId="23" xfId="0" applyFont="1" applyBorder="1" applyAlignment="1">
      <alignment horizontal="left" vertical="center"/>
    </xf>
    <xf numFmtId="3" fontId="13" fillId="0" borderId="37" xfId="0" applyNumberFormat="1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174" fontId="13" fillId="0" borderId="37" xfId="0" applyNumberFormat="1" applyFont="1" applyBorder="1" applyAlignment="1">
      <alignment vertical="center"/>
    </xf>
    <xf numFmtId="10" fontId="22" fillId="0" borderId="24" xfId="0" applyNumberFormat="1" applyFont="1" applyBorder="1" applyAlignment="1">
      <alignment horizontal="center" vertical="center"/>
    </xf>
    <xf numFmtId="0" fontId="31" fillId="0" borderId="38" xfId="0" applyFont="1" applyBorder="1" applyAlignment="1">
      <alignment horizontal="left" vertical="center"/>
    </xf>
    <xf numFmtId="3" fontId="13" fillId="0" borderId="39" xfId="0" applyNumberFormat="1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9" fontId="13" fillId="0" borderId="39" xfId="0" applyNumberFormat="1" applyFont="1" applyBorder="1" applyAlignment="1">
      <alignment vertical="center"/>
    </xf>
    <xf numFmtId="9" fontId="13" fillId="0" borderId="0" xfId="0" applyNumberFormat="1" applyFont="1" applyAlignment="1">
      <alignment vertical="center"/>
    </xf>
    <xf numFmtId="173" fontId="16" fillId="0" borderId="32" xfId="0" applyNumberFormat="1" applyFont="1" applyBorder="1" applyAlignment="1">
      <alignment horizontal="right" vertical="center"/>
    </xf>
    <xf numFmtId="177" fontId="22" fillId="0" borderId="14" xfId="0" applyNumberFormat="1" applyFont="1" applyBorder="1" applyAlignment="1">
      <alignment horizontal="right" vertical="center"/>
    </xf>
    <xf numFmtId="0" fontId="14" fillId="7" borderId="38" xfId="0" applyFont="1" applyFill="1" applyBorder="1" applyAlignment="1">
      <alignment horizontal="left" vertical="center"/>
    </xf>
    <xf numFmtId="0" fontId="27" fillId="6" borderId="30" xfId="0" applyFont="1" applyFill="1" applyBorder="1" applyAlignment="1">
      <alignment horizontal="right" vertical="center" wrapText="1"/>
    </xf>
    <xf numFmtId="173" fontId="29" fillId="6" borderId="17" xfId="0" applyNumberFormat="1" applyFont="1" applyFill="1" applyBorder="1" applyAlignment="1">
      <alignment vertical="center"/>
    </xf>
    <xf numFmtId="0" fontId="14" fillId="5" borderId="42" xfId="0" applyFont="1" applyFill="1" applyBorder="1" applyAlignment="1">
      <alignment horizontal="left" vertical="center"/>
    </xf>
    <xf numFmtId="0" fontId="22" fillId="0" borderId="23" xfId="0" applyFont="1" applyBorder="1" applyAlignment="1">
      <alignment vertical="center"/>
    </xf>
    <xf numFmtId="0" fontId="14" fillId="5" borderId="25" xfId="0" applyFont="1" applyFill="1" applyBorder="1" applyAlignment="1">
      <alignment horizontal="left" vertical="center"/>
    </xf>
    <xf numFmtId="3" fontId="32" fillId="8" borderId="0" xfId="0" applyNumberFormat="1" applyFont="1" applyFill="1"/>
    <xf numFmtId="177" fontId="13" fillId="6" borderId="16" xfId="0" applyNumberFormat="1" applyFont="1" applyFill="1" applyBorder="1" applyAlignment="1">
      <alignment horizontal="center" vertical="center"/>
    </xf>
    <xf numFmtId="0" fontId="13" fillId="0" borderId="43" xfId="0" applyFont="1" applyBorder="1" applyAlignment="1">
      <alignment vertical="center"/>
    </xf>
    <xf numFmtId="0" fontId="19" fillId="0" borderId="44" xfId="0" applyFont="1" applyBorder="1" applyAlignment="1">
      <alignment vertical="center"/>
    </xf>
    <xf numFmtId="0" fontId="19" fillId="0" borderId="45" xfId="0" applyFont="1" applyBorder="1" applyAlignment="1">
      <alignment vertical="center"/>
    </xf>
    <xf numFmtId="0" fontId="19" fillId="0" borderId="46" xfId="0" applyFont="1" applyBorder="1" applyAlignment="1">
      <alignment vertical="center"/>
    </xf>
    <xf numFmtId="181" fontId="22" fillId="0" borderId="14" xfId="0" applyNumberFormat="1" applyFont="1" applyBorder="1" applyAlignment="1">
      <alignment horizontal="right" vertical="center"/>
    </xf>
    <xf numFmtId="0" fontId="13" fillId="6" borderId="16" xfId="0" applyFont="1" applyFill="1" applyBorder="1" applyAlignment="1">
      <alignment horizontal="center" vertical="center"/>
    </xf>
    <xf numFmtId="10" fontId="23" fillId="0" borderId="16" xfId="0" applyNumberFormat="1" applyFont="1" applyBorder="1" applyAlignment="1">
      <alignment vertical="center"/>
    </xf>
    <xf numFmtId="0" fontId="13" fillId="6" borderId="30" xfId="0" applyFont="1" applyFill="1" applyBorder="1" applyAlignment="1">
      <alignment vertical="center" wrapText="1"/>
    </xf>
    <xf numFmtId="175" fontId="22" fillId="0" borderId="19" xfId="0" applyNumberFormat="1" applyFont="1" applyBorder="1" applyAlignment="1">
      <alignment horizontal="center" vertical="center"/>
    </xf>
    <xf numFmtId="173" fontId="34" fillId="0" borderId="38" xfId="0" applyNumberFormat="1" applyFont="1" applyBorder="1" applyAlignment="1">
      <alignment vertical="center"/>
    </xf>
    <xf numFmtId="173" fontId="35" fillId="0" borderId="39" xfId="0" applyNumberFormat="1" applyFont="1" applyBorder="1" applyAlignment="1">
      <alignment vertical="center"/>
    </xf>
    <xf numFmtId="173" fontId="13" fillId="0" borderId="39" xfId="0" applyNumberFormat="1" applyFont="1" applyBorder="1" applyAlignment="1">
      <alignment vertical="center"/>
    </xf>
    <xf numFmtId="173" fontId="37" fillId="0" borderId="38" xfId="0" applyNumberFormat="1" applyFont="1" applyBorder="1" applyAlignment="1">
      <alignment vertical="center"/>
    </xf>
    <xf numFmtId="173" fontId="38" fillId="0" borderId="39" xfId="0" applyNumberFormat="1" applyFont="1" applyBorder="1" applyAlignment="1">
      <alignment vertical="center"/>
    </xf>
    <xf numFmtId="9" fontId="38" fillId="0" borderId="39" xfId="0" applyNumberFormat="1" applyFont="1" applyBorder="1" applyAlignment="1">
      <alignment vertical="center"/>
    </xf>
    <xf numFmtId="10" fontId="13" fillId="0" borderId="0" xfId="0" applyNumberFormat="1" applyFont="1" applyAlignment="1">
      <alignment vertical="center"/>
    </xf>
    <xf numFmtId="173" fontId="39" fillId="0" borderId="0" xfId="0" applyNumberFormat="1" applyFont="1" applyAlignment="1">
      <alignment horizontal="left" vertical="center" wrapText="1"/>
    </xf>
    <xf numFmtId="170" fontId="13" fillId="0" borderId="0" xfId="0" applyNumberFormat="1" applyFont="1" applyAlignment="1">
      <alignment vertical="center"/>
    </xf>
    <xf numFmtId="0" fontId="22" fillId="0" borderId="13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173" fontId="22" fillId="0" borderId="0" xfId="0" applyNumberFormat="1" applyFont="1" applyAlignment="1">
      <alignment horizontal="center" vertical="center"/>
    </xf>
    <xf numFmtId="168" fontId="22" fillId="0" borderId="18" xfId="0" applyNumberFormat="1" applyFont="1" applyBorder="1" applyAlignment="1">
      <alignment horizontal="center" vertical="center" wrapText="1"/>
    </xf>
    <xf numFmtId="10" fontId="22" fillId="0" borderId="47" xfId="0" applyNumberFormat="1" applyFont="1" applyBorder="1" applyAlignment="1">
      <alignment horizontal="center" vertical="center"/>
    </xf>
    <xf numFmtId="10" fontId="22" fillId="0" borderId="48" xfId="0" applyNumberFormat="1" applyFont="1" applyBorder="1" applyAlignment="1">
      <alignment horizontal="center" vertical="center"/>
    </xf>
    <xf numFmtId="10" fontId="22" fillId="0" borderId="19" xfId="0" applyNumberFormat="1" applyFont="1" applyBorder="1" applyAlignment="1">
      <alignment horizontal="center" vertical="center"/>
    </xf>
    <xf numFmtId="168" fontId="22" fillId="0" borderId="23" xfId="0" applyNumberFormat="1" applyFont="1" applyBorder="1" applyAlignment="1">
      <alignment horizontal="center" vertical="center" wrapText="1"/>
    </xf>
    <xf numFmtId="183" fontId="22" fillId="0" borderId="49" xfId="0" applyNumberFormat="1" applyFont="1" applyBorder="1" applyAlignment="1">
      <alignment horizontal="center" vertical="center"/>
    </xf>
    <xf numFmtId="173" fontId="13" fillId="6" borderId="17" xfId="0" applyNumberFormat="1" applyFont="1" applyFill="1" applyBorder="1" applyAlignment="1">
      <alignment horizontal="center" vertical="center"/>
    </xf>
    <xf numFmtId="176" fontId="40" fillId="6" borderId="30" xfId="0" applyNumberFormat="1" applyFont="1" applyFill="1" applyBorder="1" applyAlignment="1">
      <alignment horizontal="right" vertical="center" wrapText="1"/>
    </xf>
    <xf numFmtId="0" fontId="41" fillId="8" borderId="0" xfId="0" applyFont="1" applyFill="1"/>
    <xf numFmtId="1" fontId="22" fillId="0" borderId="47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vertical="center"/>
    </xf>
    <xf numFmtId="0" fontId="42" fillId="0" borderId="44" xfId="0" applyFont="1" applyBorder="1"/>
    <xf numFmtId="3" fontId="42" fillId="0" borderId="45" xfId="0" applyNumberFormat="1" applyFont="1" applyBorder="1"/>
    <xf numFmtId="0" fontId="43" fillId="0" borderId="46" xfId="0" applyFont="1" applyBorder="1" applyAlignment="1">
      <alignment horizontal="center"/>
    </xf>
    <xf numFmtId="174" fontId="43" fillId="0" borderId="0" xfId="0" applyNumberFormat="1" applyFont="1" applyAlignment="1">
      <alignment horizontal="center"/>
    </xf>
    <xf numFmtId="175" fontId="43" fillId="0" borderId="0" xfId="0" applyNumberFormat="1" applyFont="1" applyAlignment="1">
      <alignment horizontal="center"/>
    </xf>
    <xf numFmtId="3" fontId="44" fillId="0" borderId="0" xfId="0" applyNumberFormat="1" applyFont="1"/>
    <xf numFmtId="10" fontId="43" fillId="0" borderId="0" xfId="0" applyNumberFormat="1" applyFont="1" applyAlignment="1">
      <alignment horizontal="right"/>
    </xf>
    <xf numFmtId="0" fontId="42" fillId="0" borderId="38" xfId="0" applyFont="1" applyBorder="1"/>
    <xf numFmtId="10" fontId="42" fillId="0" borderId="39" xfId="0" applyNumberFormat="1" applyFont="1" applyBorder="1" applyAlignment="1">
      <alignment horizontal="right"/>
    </xf>
    <xf numFmtId="0" fontId="14" fillId="10" borderId="25" xfId="0" applyFont="1" applyFill="1" applyBorder="1" applyAlignment="1">
      <alignment vertical="center"/>
    </xf>
    <xf numFmtId="0" fontId="45" fillId="10" borderId="25" xfId="0" applyFont="1" applyFill="1" applyBorder="1" applyAlignment="1">
      <alignment vertical="center"/>
    </xf>
    <xf numFmtId="0" fontId="46" fillId="0" borderId="0" xfId="0" applyFont="1"/>
    <xf numFmtId="0" fontId="46" fillId="12" borderId="0" xfId="0" applyFont="1" applyFill="1" applyAlignment="1">
      <alignment horizontal="right"/>
    </xf>
    <xf numFmtId="0" fontId="24" fillId="0" borderId="0" xfId="0" applyFont="1" applyAlignment="1">
      <alignment horizontal="left"/>
    </xf>
    <xf numFmtId="0" fontId="24" fillId="0" borderId="0" xfId="0" applyFont="1"/>
    <xf numFmtId="0" fontId="46" fillId="0" borderId="0" xfId="0" applyFont="1" applyAlignment="1">
      <alignment horizontal="center"/>
    </xf>
    <xf numFmtId="184" fontId="46" fillId="0" borderId="0" xfId="0" applyNumberFormat="1" applyFont="1" applyAlignment="1">
      <alignment horizontal="left"/>
    </xf>
    <xf numFmtId="0" fontId="47" fillId="0" borderId="0" xfId="0" applyFont="1"/>
    <xf numFmtId="185" fontId="47" fillId="0" borderId="0" xfId="0" applyNumberFormat="1" applyFont="1"/>
    <xf numFmtId="0" fontId="24" fillId="13" borderId="51" xfId="0" applyFont="1" applyFill="1" applyBorder="1"/>
    <xf numFmtId="185" fontId="24" fillId="13" borderId="51" xfId="0" applyNumberFormat="1" applyFont="1" applyFill="1" applyBorder="1"/>
    <xf numFmtId="0" fontId="46" fillId="0" borderId="0" xfId="0" applyFont="1" applyAlignment="1">
      <alignment horizontal="right"/>
    </xf>
    <xf numFmtId="185" fontId="47" fillId="0" borderId="0" xfId="0" applyNumberFormat="1" applyFont="1" applyAlignment="1">
      <alignment horizontal="center"/>
    </xf>
    <xf numFmtId="0" fontId="46" fillId="0" borderId="0" xfId="0" applyFont="1" applyAlignment="1">
      <alignment horizontal="left"/>
    </xf>
    <xf numFmtId="9" fontId="46" fillId="0" borderId="0" xfId="0" applyNumberFormat="1" applyFont="1" applyAlignment="1">
      <alignment horizontal="right"/>
    </xf>
    <xf numFmtId="186" fontId="46" fillId="0" borderId="0" xfId="0" applyNumberFormat="1" applyFont="1" applyAlignment="1">
      <alignment horizontal="left"/>
    </xf>
    <xf numFmtId="0" fontId="47" fillId="0" borderId="0" xfId="0" applyFont="1" applyAlignment="1">
      <alignment horizontal="center"/>
    </xf>
    <xf numFmtId="173" fontId="47" fillId="0" borderId="0" xfId="0" applyNumberFormat="1" applyFont="1" applyAlignment="1">
      <alignment horizontal="center"/>
    </xf>
    <xf numFmtId="0" fontId="24" fillId="13" borderId="51" xfId="0" applyFont="1" applyFill="1" applyBorder="1" applyAlignment="1">
      <alignment horizontal="center"/>
    </xf>
    <xf numFmtId="185" fontId="24" fillId="13" borderId="51" xfId="0" applyNumberFormat="1" applyFont="1" applyFill="1" applyBorder="1" applyAlignment="1">
      <alignment horizontal="center"/>
    </xf>
    <xf numFmtId="173" fontId="46" fillId="0" borderId="0" xfId="0" applyNumberFormat="1" applyFont="1"/>
    <xf numFmtId="9" fontId="46" fillId="11" borderId="0" xfId="0" applyNumberFormat="1" applyFont="1" applyFill="1" applyAlignment="1">
      <alignment horizontal="right"/>
    </xf>
    <xf numFmtId="173" fontId="24" fillId="13" borderId="51" xfId="0" applyNumberFormat="1" applyFont="1" applyFill="1" applyBorder="1"/>
    <xf numFmtId="0" fontId="24" fillId="14" borderId="0" xfId="0" applyFont="1" applyFill="1"/>
    <xf numFmtId="173" fontId="24" fillId="14" borderId="0" xfId="0" applyNumberFormat="1" applyFont="1" applyFill="1"/>
    <xf numFmtId="0" fontId="46" fillId="15" borderId="0" xfId="0" applyFont="1" applyFill="1"/>
    <xf numFmtId="0" fontId="24" fillId="14" borderId="51" xfId="0" applyFont="1" applyFill="1" applyBorder="1"/>
    <xf numFmtId="182" fontId="24" fillId="14" borderId="51" xfId="0" applyNumberFormat="1" applyFont="1" applyFill="1" applyBorder="1"/>
    <xf numFmtId="1" fontId="24" fillId="14" borderId="0" xfId="0" applyNumberFormat="1" applyFont="1" applyFill="1" applyAlignment="1">
      <alignment horizontal="center"/>
    </xf>
    <xf numFmtId="168" fontId="46" fillId="0" borderId="0" xfId="0" applyNumberFormat="1" applyFont="1"/>
    <xf numFmtId="182" fontId="46" fillId="0" borderId="0" xfId="0" applyNumberFormat="1" applyFont="1"/>
    <xf numFmtId="182" fontId="24" fillId="13" borderId="51" xfId="0" applyNumberFormat="1" applyFont="1" applyFill="1" applyBorder="1"/>
    <xf numFmtId="0" fontId="24" fillId="13" borderId="0" xfId="0" applyFont="1" applyFill="1"/>
    <xf numFmtId="10" fontId="24" fillId="13" borderId="0" xfId="0" applyNumberFormat="1" applyFont="1" applyFill="1" applyAlignment="1">
      <alignment horizontal="right"/>
    </xf>
    <xf numFmtId="9" fontId="47" fillId="16" borderId="0" xfId="0" applyNumberFormat="1" applyFont="1" applyFill="1" applyAlignment="1">
      <alignment horizontal="center"/>
    </xf>
    <xf numFmtId="9" fontId="46" fillId="16" borderId="0" xfId="0" applyNumberFormat="1" applyFont="1" applyFill="1" applyAlignment="1">
      <alignment horizontal="center"/>
    </xf>
    <xf numFmtId="0" fontId="24" fillId="0" borderId="52" xfId="0" applyFont="1" applyBorder="1" applyAlignment="1">
      <alignment horizontal="left"/>
    </xf>
    <xf numFmtId="0" fontId="24" fillId="0" borderId="53" xfId="0" applyFont="1" applyBorder="1"/>
    <xf numFmtId="0" fontId="46" fillId="0" borderId="53" xfId="0" applyFont="1" applyBorder="1"/>
    <xf numFmtId="0" fontId="46" fillId="0" borderId="1" xfId="0" applyFont="1" applyBorder="1"/>
    <xf numFmtId="184" fontId="46" fillId="0" borderId="54" xfId="0" applyNumberFormat="1" applyFont="1" applyBorder="1" applyAlignment="1">
      <alignment horizontal="left"/>
    </xf>
    <xf numFmtId="10" fontId="24" fillId="0" borderId="3" xfId="0" applyNumberFormat="1" applyFont="1" applyBorder="1" applyAlignment="1">
      <alignment horizontal="right"/>
    </xf>
    <xf numFmtId="173" fontId="46" fillId="0" borderId="3" xfId="0" applyNumberFormat="1" applyFont="1" applyBorder="1"/>
    <xf numFmtId="184" fontId="46" fillId="0" borderId="54" xfId="0" applyNumberFormat="1" applyFont="1" applyBorder="1"/>
    <xf numFmtId="10" fontId="46" fillId="0" borderId="0" xfId="0" applyNumberFormat="1" applyFont="1" applyAlignment="1">
      <alignment horizontal="right"/>
    </xf>
    <xf numFmtId="182" fontId="46" fillId="0" borderId="3" xfId="0" applyNumberFormat="1" applyFont="1" applyBorder="1"/>
    <xf numFmtId="0" fontId="46" fillId="0" borderId="3" xfId="0" applyFont="1" applyBorder="1"/>
    <xf numFmtId="0" fontId="46" fillId="0" borderId="54" xfId="0" applyFont="1" applyBorder="1"/>
    <xf numFmtId="170" fontId="46" fillId="0" borderId="3" xfId="0" applyNumberFormat="1" applyFont="1" applyBorder="1"/>
    <xf numFmtId="0" fontId="46" fillId="0" borderId="55" xfId="0" applyFont="1" applyBorder="1"/>
    <xf numFmtId="0" fontId="46" fillId="0" borderId="6" xfId="0" applyFont="1" applyBorder="1"/>
    <xf numFmtId="0" fontId="46" fillId="14" borderId="0" xfId="0" applyFont="1" applyFill="1" applyAlignment="1">
      <alignment horizontal="left"/>
    </xf>
    <xf numFmtId="0" fontId="46" fillId="14" borderId="0" xfId="0" applyFont="1" applyFill="1"/>
    <xf numFmtId="0" fontId="46" fillId="14" borderId="0" xfId="0" applyFont="1" applyFill="1" applyAlignment="1">
      <alignment horizontal="center"/>
    </xf>
    <xf numFmtId="184" fontId="46" fillId="14" borderId="0" xfId="0" applyNumberFormat="1" applyFont="1" applyFill="1" applyAlignment="1">
      <alignment horizontal="left"/>
    </xf>
    <xf numFmtId="170" fontId="46" fillId="14" borderId="0" xfId="0" applyNumberFormat="1" applyFont="1" applyFill="1" applyAlignment="1">
      <alignment horizontal="right"/>
    </xf>
    <xf numFmtId="10" fontId="47" fillId="14" borderId="0" xfId="0" applyNumberFormat="1" applyFont="1" applyFill="1" applyAlignment="1">
      <alignment horizontal="right"/>
    </xf>
    <xf numFmtId="187" fontId="46" fillId="14" borderId="0" xfId="0" applyNumberFormat="1" applyFont="1" applyFill="1" applyAlignment="1">
      <alignment horizontal="right"/>
    </xf>
    <xf numFmtId="0" fontId="24" fillId="14" borderId="51" xfId="0" applyFont="1" applyFill="1" applyBorder="1" applyAlignment="1">
      <alignment horizontal="right"/>
    </xf>
    <xf numFmtId="170" fontId="24" fillId="14" borderId="51" xfId="0" applyNumberFormat="1" applyFont="1" applyFill="1" applyBorder="1"/>
    <xf numFmtId="10" fontId="24" fillId="14" borderId="51" xfId="0" applyNumberFormat="1" applyFont="1" applyFill="1" applyBorder="1" applyAlignment="1">
      <alignment horizontal="right"/>
    </xf>
    <xf numFmtId="0" fontId="24" fillId="14" borderId="6" xfId="0" applyFont="1" applyFill="1" applyBorder="1"/>
    <xf numFmtId="9" fontId="24" fillId="11" borderId="0" xfId="0" applyNumberFormat="1" applyFont="1" applyFill="1" applyAlignment="1">
      <alignment horizontal="right"/>
    </xf>
    <xf numFmtId="173" fontId="46" fillId="14" borderId="0" xfId="0" applyNumberFormat="1" applyFont="1" applyFill="1" applyAlignment="1">
      <alignment horizontal="right"/>
    </xf>
    <xf numFmtId="185" fontId="46" fillId="14" borderId="0" xfId="0" applyNumberFormat="1" applyFont="1" applyFill="1" applyAlignment="1">
      <alignment horizontal="right"/>
    </xf>
    <xf numFmtId="185" fontId="46" fillId="14" borderId="0" xfId="0" applyNumberFormat="1" applyFont="1" applyFill="1" applyAlignment="1">
      <alignment horizontal="center"/>
    </xf>
    <xf numFmtId="0" fontId="47" fillId="14" borderId="0" xfId="0" applyFont="1" applyFill="1"/>
    <xf numFmtId="182" fontId="46" fillId="14" borderId="0" xfId="0" applyNumberFormat="1" applyFont="1" applyFill="1" applyAlignment="1">
      <alignment horizontal="center"/>
    </xf>
    <xf numFmtId="173" fontId="46" fillId="14" borderId="0" xfId="0" applyNumberFormat="1" applyFont="1" applyFill="1" applyAlignment="1">
      <alignment horizontal="center"/>
    </xf>
    <xf numFmtId="185" fontId="24" fillId="0" borderId="0" xfId="0" applyNumberFormat="1" applyFont="1"/>
    <xf numFmtId="176" fontId="13" fillId="0" borderId="0" xfId="0" applyNumberFormat="1" applyFont="1"/>
    <xf numFmtId="176" fontId="13" fillId="17" borderId="39" xfId="0" applyNumberFormat="1" applyFont="1" applyFill="1" applyBorder="1"/>
    <xf numFmtId="14" fontId="13" fillId="17" borderId="39" xfId="0" applyNumberFormat="1" applyFont="1" applyFill="1" applyBorder="1" applyAlignment="1">
      <alignment horizontal="right"/>
    </xf>
    <xf numFmtId="176" fontId="13" fillId="0" borderId="39" xfId="0" applyNumberFormat="1" applyFont="1" applyBorder="1"/>
    <xf numFmtId="189" fontId="16" fillId="0" borderId="5" xfId="0" applyNumberFormat="1" applyFont="1" applyBorder="1" applyAlignment="1">
      <alignment horizontal="center"/>
    </xf>
    <xf numFmtId="190" fontId="16" fillId="0" borderId="56" xfId="0" applyNumberFormat="1" applyFont="1" applyBorder="1" applyAlignment="1">
      <alignment horizontal="center"/>
    </xf>
    <xf numFmtId="176" fontId="13" fillId="18" borderId="5" xfId="0" applyNumberFormat="1" applyFont="1" applyFill="1" applyBorder="1"/>
    <xf numFmtId="176" fontId="13" fillId="18" borderId="57" xfId="0" applyNumberFormat="1" applyFont="1" applyFill="1" applyBorder="1" applyAlignment="1">
      <alignment horizontal="center"/>
    </xf>
    <xf numFmtId="176" fontId="13" fillId="18" borderId="58" xfId="0" applyNumberFormat="1" applyFont="1" applyFill="1" applyBorder="1"/>
    <xf numFmtId="176" fontId="13" fillId="18" borderId="59" xfId="0" applyNumberFormat="1" applyFont="1" applyFill="1" applyBorder="1"/>
    <xf numFmtId="176" fontId="13" fillId="18" borderId="57" xfId="0" applyNumberFormat="1" applyFont="1" applyFill="1" applyBorder="1"/>
    <xf numFmtId="176" fontId="16" fillId="18" borderId="57" xfId="0" applyNumberFormat="1" applyFont="1" applyFill="1" applyBorder="1" applyAlignment="1">
      <alignment horizontal="center"/>
    </xf>
    <xf numFmtId="176" fontId="13" fillId="18" borderId="60" xfId="0" applyNumberFormat="1" applyFont="1" applyFill="1" applyBorder="1"/>
    <xf numFmtId="176" fontId="13" fillId="18" borderId="60" xfId="0" applyNumberFormat="1" applyFont="1" applyFill="1" applyBorder="1" applyAlignment="1">
      <alignment horizontal="right"/>
    </xf>
    <xf numFmtId="176" fontId="13" fillId="18" borderId="60" xfId="0" applyNumberFormat="1" applyFont="1" applyFill="1" applyBorder="1" applyAlignment="1">
      <alignment horizontal="center"/>
    </xf>
    <xf numFmtId="10" fontId="13" fillId="0" borderId="0" xfId="0" applyNumberFormat="1" applyFont="1" applyAlignment="1">
      <alignment horizontal="right"/>
    </xf>
    <xf numFmtId="10" fontId="13" fillId="0" borderId="0" xfId="0" applyNumberFormat="1" applyFont="1"/>
    <xf numFmtId="176" fontId="16" fillId="18" borderId="5" xfId="0" applyNumberFormat="1" applyFont="1" applyFill="1" applyBorder="1" applyAlignment="1">
      <alignment horizontal="center"/>
    </xf>
    <xf numFmtId="176" fontId="13" fillId="19" borderId="5" xfId="0" applyNumberFormat="1" applyFont="1" applyFill="1" applyBorder="1"/>
    <xf numFmtId="176" fontId="13" fillId="19" borderId="56" xfId="0" applyNumberFormat="1" applyFont="1" applyFill="1" applyBorder="1" applyAlignment="1">
      <alignment horizontal="center"/>
    </xf>
    <xf numFmtId="176" fontId="16" fillId="21" borderId="6" xfId="0" applyNumberFormat="1" applyFont="1" applyFill="1" applyBorder="1" applyAlignment="1">
      <alignment horizontal="center"/>
    </xf>
    <xf numFmtId="176" fontId="13" fillId="21" borderId="1" xfId="0" applyNumberFormat="1" applyFont="1" applyFill="1" applyBorder="1"/>
    <xf numFmtId="176" fontId="13" fillId="21" borderId="6" xfId="0" applyNumberFormat="1" applyFont="1" applyFill="1" applyBorder="1" applyAlignment="1">
      <alignment horizontal="center"/>
    </xf>
    <xf numFmtId="176" fontId="22" fillId="22" borderId="57" xfId="0" applyNumberFormat="1" applyFont="1" applyFill="1" applyBorder="1" applyAlignment="1">
      <alignment horizontal="center"/>
    </xf>
    <xf numFmtId="176" fontId="22" fillId="22" borderId="5" xfId="0" applyNumberFormat="1" applyFont="1" applyFill="1" applyBorder="1" applyAlignment="1">
      <alignment horizontal="center"/>
    </xf>
    <xf numFmtId="176" fontId="13" fillId="20" borderId="57" xfId="0" applyNumberFormat="1" applyFont="1" applyFill="1" applyBorder="1"/>
    <xf numFmtId="176" fontId="13" fillId="20" borderId="57" xfId="0" applyNumberFormat="1" applyFont="1" applyFill="1" applyBorder="1" applyAlignment="1">
      <alignment horizontal="center"/>
    </xf>
    <xf numFmtId="176" fontId="13" fillId="20" borderId="58" xfId="0" applyNumberFormat="1" applyFont="1" applyFill="1" applyBorder="1"/>
    <xf numFmtId="176" fontId="26" fillId="20" borderId="57" xfId="0" applyNumberFormat="1" applyFont="1" applyFill="1" applyBorder="1" applyAlignment="1">
      <alignment horizontal="center"/>
    </xf>
    <xf numFmtId="176" fontId="13" fillId="20" borderId="5" xfId="0" applyNumberFormat="1" applyFont="1" applyFill="1" applyBorder="1" applyAlignment="1">
      <alignment horizontal="center"/>
    </xf>
    <xf numFmtId="176" fontId="13" fillId="20" borderId="59" xfId="0" applyNumberFormat="1" applyFont="1" applyFill="1" applyBorder="1"/>
    <xf numFmtId="176" fontId="16" fillId="20" borderId="57" xfId="0" applyNumberFormat="1" applyFont="1" applyFill="1" applyBorder="1" applyAlignment="1">
      <alignment horizontal="center"/>
    </xf>
    <xf numFmtId="176" fontId="13" fillId="20" borderId="61" xfId="0" applyNumberFormat="1" applyFont="1" applyFill="1" applyBorder="1"/>
    <xf numFmtId="176" fontId="16" fillId="20" borderId="62" xfId="0" applyNumberFormat="1" applyFont="1" applyFill="1" applyBorder="1" applyAlignment="1">
      <alignment horizontal="center"/>
    </xf>
    <xf numFmtId="176" fontId="16" fillId="20" borderId="63" xfId="0" applyNumberFormat="1" applyFont="1" applyFill="1" applyBorder="1" applyAlignment="1">
      <alignment horizontal="center"/>
    </xf>
    <xf numFmtId="176" fontId="13" fillId="20" borderId="5" xfId="0" applyNumberFormat="1" applyFont="1" applyFill="1" applyBorder="1"/>
    <xf numFmtId="176" fontId="16" fillId="20" borderId="3" xfId="0" applyNumberFormat="1" applyFont="1" applyFill="1" applyBorder="1" applyAlignment="1">
      <alignment horizontal="center"/>
    </xf>
    <xf numFmtId="176" fontId="23" fillId="20" borderId="58" xfId="0" applyNumberFormat="1" applyFont="1" applyFill="1" applyBorder="1" applyAlignment="1">
      <alignment horizontal="center"/>
    </xf>
    <xf numFmtId="176" fontId="23" fillId="20" borderId="59" xfId="0" applyNumberFormat="1" applyFont="1" applyFill="1" applyBorder="1" applyAlignment="1">
      <alignment horizontal="center"/>
    </xf>
    <xf numFmtId="176" fontId="13" fillId="20" borderId="0" xfId="0" applyNumberFormat="1" applyFont="1" applyFill="1"/>
    <xf numFmtId="10" fontId="13" fillId="20" borderId="57" xfId="0" applyNumberFormat="1" applyFont="1" applyFill="1" applyBorder="1" applyAlignment="1">
      <alignment horizontal="center"/>
    </xf>
    <xf numFmtId="176" fontId="26" fillId="7" borderId="62" xfId="0" applyNumberFormat="1" applyFont="1" applyFill="1" applyBorder="1" applyAlignment="1">
      <alignment horizontal="center"/>
    </xf>
    <xf numFmtId="176" fontId="26" fillId="7" borderId="63" xfId="0" applyNumberFormat="1" applyFont="1" applyFill="1" applyBorder="1" applyAlignment="1">
      <alignment horizontal="center"/>
    </xf>
    <xf numFmtId="176" fontId="16" fillId="7" borderId="63" xfId="0" applyNumberFormat="1" applyFont="1" applyFill="1" applyBorder="1" applyAlignment="1">
      <alignment horizontal="center"/>
    </xf>
    <xf numFmtId="10" fontId="13" fillId="20" borderId="5" xfId="0" applyNumberFormat="1" applyFont="1" applyFill="1" applyBorder="1" applyAlignment="1">
      <alignment horizontal="center"/>
    </xf>
    <xf numFmtId="176" fontId="13" fillId="20" borderId="60" xfId="0" applyNumberFormat="1" applyFont="1" applyFill="1" applyBorder="1"/>
    <xf numFmtId="176" fontId="13" fillId="20" borderId="6" xfId="0" applyNumberFormat="1" applyFont="1" applyFill="1" applyBorder="1"/>
    <xf numFmtId="176" fontId="26" fillId="7" borderId="3" xfId="0" applyNumberFormat="1" applyFont="1" applyFill="1" applyBorder="1" applyAlignment="1">
      <alignment horizontal="center"/>
    </xf>
    <xf numFmtId="176" fontId="13" fillId="20" borderId="62" xfId="0" applyNumberFormat="1" applyFont="1" applyFill="1" applyBorder="1"/>
    <xf numFmtId="176" fontId="13" fillId="20" borderId="58" xfId="0" applyNumberFormat="1" applyFont="1" applyFill="1" applyBorder="1" applyAlignment="1">
      <alignment horizontal="center"/>
    </xf>
    <xf numFmtId="176" fontId="26" fillId="20" borderId="64" xfId="0" applyNumberFormat="1" applyFont="1" applyFill="1" applyBorder="1" applyAlignment="1">
      <alignment horizontal="center"/>
    </xf>
    <xf numFmtId="176" fontId="13" fillId="20" borderId="63" xfId="0" applyNumberFormat="1" applyFont="1" applyFill="1" applyBorder="1"/>
    <xf numFmtId="176" fontId="13" fillId="20" borderId="65" xfId="0" applyNumberFormat="1" applyFont="1" applyFill="1" applyBorder="1"/>
    <xf numFmtId="176" fontId="13" fillId="20" borderId="3" xfId="0" applyNumberFormat="1" applyFont="1" applyFill="1" applyBorder="1"/>
    <xf numFmtId="176" fontId="13" fillId="20" borderId="6" xfId="0" applyNumberFormat="1" applyFont="1" applyFill="1" applyBorder="1" applyAlignment="1">
      <alignment horizontal="center"/>
    </xf>
    <xf numFmtId="176" fontId="13" fillId="20" borderId="59" xfId="0" applyNumberFormat="1" applyFont="1" applyFill="1" applyBorder="1" applyAlignment="1">
      <alignment horizontal="center"/>
    </xf>
    <xf numFmtId="176" fontId="26" fillId="20" borderId="66" xfId="0" applyNumberFormat="1" applyFont="1" applyFill="1" applyBorder="1" applyAlignment="1">
      <alignment horizontal="center"/>
    </xf>
    <xf numFmtId="176" fontId="13" fillId="20" borderId="60" xfId="0" applyNumberFormat="1" applyFont="1" applyFill="1" applyBorder="1" applyAlignment="1">
      <alignment horizontal="center"/>
    </xf>
    <xf numFmtId="176" fontId="26" fillId="20" borderId="3" xfId="0" applyNumberFormat="1" applyFont="1" applyFill="1" applyBorder="1" applyAlignment="1">
      <alignment horizontal="center"/>
    </xf>
    <xf numFmtId="176" fontId="16" fillId="20" borderId="64" xfId="0" applyNumberFormat="1" applyFont="1" applyFill="1" applyBorder="1" applyAlignment="1">
      <alignment horizontal="center"/>
    </xf>
    <xf numFmtId="176" fontId="13" fillId="21" borderId="67" xfId="0" applyNumberFormat="1" applyFont="1" applyFill="1" applyBorder="1" applyAlignment="1">
      <alignment horizontal="center"/>
    </xf>
    <xf numFmtId="176" fontId="13" fillId="24" borderId="56" xfId="0" applyNumberFormat="1" applyFont="1" applyFill="1" applyBorder="1"/>
    <xf numFmtId="176" fontId="13" fillId="24" borderId="68" xfId="0" applyNumberFormat="1" applyFont="1" applyFill="1" applyBorder="1" applyAlignment="1">
      <alignment horizontal="center"/>
    </xf>
    <xf numFmtId="176" fontId="23" fillId="24" borderId="68" xfId="0" applyNumberFormat="1" applyFont="1" applyFill="1" applyBorder="1" applyAlignment="1">
      <alignment horizontal="center"/>
    </xf>
    <xf numFmtId="176" fontId="13" fillId="24" borderId="69" xfId="0" applyNumberFormat="1" applyFont="1" applyFill="1" applyBorder="1" applyAlignment="1">
      <alignment horizontal="center"/>
    </xf>
    <xf numFmtId="176" fontId="13" fillId="25" borderId="56" xfId="0" applyNumberFormat="1" applyFont="1" applyFill="1" applyBorder="1"/>
    <xf numFmtId="176" fontId="13" fillId="25" borderId="68" xfId="0" applyNumberFormat="1" applyFont="1" applyFill="1" applyBorder="1" applyAlignment="1">
      <alignment horizontal="center"/>
    </xf>
    <xf numFmtId="176" fontId="13" fillId="0" borderId="0" xfId="0" applyNumberFormat="1" applyFont="1" applyAlignment="1">
      <alignment horizontal="right"/>
    </xf>
    <xf numFmtId="176" fontId="50" fillId="26" borderId="0" xfId="0" applyNumberFormat="1" applyFont="1" applyFill="1"/>
    <xf numFmtId="176" fontId="13" fillId="26" borderId="0" xfId="0" applyNumberFormat="1" applyFont="1" applyFill="1"/>
    <xf numFmtId="176" fontId="16" fillId="19" borderId="6" xfId="0" applyNumberFormat="1" applyFont="1" applyFill="1" applyBorder="1" applyAlignment="1">
      <alignment horizontal="center"/>
    </xf>
    <xf numFmtId="176" fontId="13" fillId="19" borderId="6" xfId="0" applyNumberFormat="1" applyFont="1" applyFill="1" applyBorder="1"/>
    <xf numFmtId="176" fontId="13" fillId="0" borderId="6" xfId="0" applyNumberFormat="1" applyFont="1" applyBorder="1"/>
    <xf numFmtId="176" fontId="13" fillId="0" borderId="5" xfId="0" applyNumberFormat="1" applyFont="1" applyBorder="1"/>
    <xf numFmtId="176" fontId="13" fillId="19" borderId="5" xfId="0" applyNumberFormat="1" applyFont="1" applyFill="1" applyBorder="1" applyAlignment="1">
      <alignment horizontal="right"/>
    </xf>
    <xf numFmtId="0" fontId="53" fillId="29" borderId="70" xfId="0" applyFont="1" applyFill="1" applyBorder="1" applyAlignment="1">
      <alignment horizontal="center"/>
    </xf>
    <xf numFmtId="0" fontId="53" fillId="3" borderId="70" xfId="0" applyFont="1" applyFill="1" applyBorder="1" applyAlignment="1">
      <alignment horizontal="center"/>
    </xf>
    <xf numFmtId="0" fontId="53" fillId="26" borderId="70" xfId="0" applyFont="1" applyFill="1" applyBorder="1" applyAlignment="1">
      <alignment horizontal="center"/>
    </xf>
    <xf numFmtId="0" fontId="53" fillId="30" borderId="70" xfId="0" applyFont="1" applyFill="1" applyBorder="1" applyAlignment="1">
      <alignment horizontal="center"/>
    </xf>
    <xf numFmtId="191" fontId="54" fillId="22" borderId="1" xfId="0" applyNumberFormat="1" applyFont="1" applyFill="1" applyBorder="1" applyAlignment="1">
      <alignment horizontal="center"/>
    </xf>
    <xf numFmtId="176" fontId="55" fillId="3" borderId="1" xfId="0" applyNumberFormat="1" applyFont="1" applyFill="1" applyBorder="1" applyAlignment="1">
      <alignment horizontal="center"/>
    </xf>
    <xf numFmtId="168" fontId="4" fillId="26" borderId="0" xfId="0" applyNumberFormat="1" applyFont="1" applyFill="1"/>
    <xf numFmtId="192" fontId="4" fillId="30" borderId="0" xfId="0" applyNumberFormat="1" applyFont="1" applyFill="1"/>
    <xf numFmtId="176" fontId="53" fillId="3" borderId="70" xfId="0" applyNumberFormat="1" applyFont="1" applyFill="1" applyBorder="1" applyAlignment="1">
      <alignment horizontal="center"/>
    </xf>
    <xf numFmtId="191" fontId="54" fillId="29" borderId="1" xfId="0" applyNumberFormat="1" applyFont="1" applyFill="1" applyBorder="1" applyAlignment="1">
      <alignment horizontal="center"/>
    </xf>
    <xf numFmtId="191" fontId="54" fillId="31" borderId="1" xfId="0" applyNumberFormat="1" applyFont="1" applyFill="1" applyBorder="1" applyAlignment="1">
      <alignment horizontal="center"/>
    </xf>
    <xf numFmtId="0" fontId="53" fillId="32" borderId="1" xfId="0" applyFont="1" applyFill="1" applyBorder="1" applyAlignment="1">
      <alignment horizontal="center"/>
    </xf>
    <xf numFmtId="0" fontId="43" fillId="0" borderId="1" xfId="0" applyFont="1" applyBorder="1"/>
    <xf numFmtId="0" fontId="43" fillId="0" borderId="2" xfId="0" applyFont="1" applyBorder="1" applyAlignment="1">
      <alignment horizontal="center" wrapText="1"/>
    </xf>
    <xf numFmtId="0" fontId="43" fillId="0" borderId="3" xfId="0" applyFont="1" applyBorder="1"/>
    <xf numFmtId="0" fontId="46" fillId="0" borderId="1" xfId="0" applyFont="1" applyBorder="1" applyAlignment="1">
      <alignment horizontal="right"/>
    </xf>
    <xf numFmtId="0" fontId="24" fillId="15" borderId="2" xfId="0" applyFont="1" applyFill="1" applyBorder="1" applyAlignment="1">
      <alignment horizontal="center"/>
    </xf>
    <xf numFmtId="0" fontId="24" fillId="15" borderId="51" xfId="0" applyFont="1" applyFill="1" applyBorder="1" applyAlignment="1">
      <alignment horizontal="center"/>
    </xf>
    <xf numFmtId="0" fontId="24" fillId="15" borderId="1" xfId="0" applyFont="1" applyFill="1" applyBorder="1" applyAlignment="1">
      <alignment horizontal="center"/>
    </xf>
    <xf numFmtId="0" fontId="24" fillId="33" borderId="1" xfId="0" applyFont="1" applyFill="1" applyBorder="1" applyAlignment="1">
      <alignment horizontal="center"/>
    </xf>
    <xf numFmtId="0" fontId="24" fillId="33" borderId="6" xfId="0" applyFont="1" applyFill="1" applyBorder="1" applyAlignment="1">
      <alignment horizontal="center"/>
    </xf>
    <xf numFmtId="0" fontId="24" fillId="33" borderId="3" xfId="0" applyFont="1" applyFill="1" applyBorder="1" applyAlignment="1">
      <alignment horizontal="center"/>
    </xf>
    <xf numFmtId="0" fontId="24" fillId="33" borderId="0" xfId="0" applyFont="1" applyFill="1" applyAlignment="1">
      <alignment horizontal="center"/>
    </xf>
    <xf numFmtId="0" fontId="24" fillId="33" borderId="3" xfId="0" applyFont="1" applyFill="1" applyBorder="1" applyAlignment="1">
      <alignment horizontal="right"/>
    </xf>
    <xf numFmtId="184" fontId="46" fillId="0" borderId="3" xfId="0" applyNumberFormat="1" applyFont="1" applyBorder="1" applyAlignment="1">
      <alignment horizontal="right"/>
    </xf>
    <xf numFmtId="185" fontId="46" fillId="15" borderId="0" xfId="0" applyNumberFormat="1" applyFont="1" applyFill="1" applyAlignment="1">
      <alignment horizontal="right"/>
    </xf>
    <xf numFmtId="185" fontId="46" fillId="15" borderId="55" xfId="0" applyNumberFormat="1" applyFont="1" applyFill="1" applyBorder="1" applyAlignment="1">
      <alignment horizontal="right"/>
    </xf>
    <xf numFmtId="185" fontId="46" fillId="15" borderId="50" xfId="0" applyNumberFormat="1" applyFont="1" applyFill="1" applyBorder="1" applyAlignment="1">
      <alignment horizontal="right"/>
    </xf>
    <xf numFmtId="185" fontId="46" fillId="15" borderId="3" xfId="0" applyNumberFormat="1" applyFont="1" applyFill="1" applyBorder="1" applyAlignment="1">
      <alignment horizontal="right"/>
    </xf>
    <xf numFmtId="185" fontId="24" fillId="15" borderId="0" xfId="0" applyNumberFormat="1" applyFont="1" applyFill="1" applyAlignment="1">
      <alignment horizontal="right"/>
    </xf>
    <xf numFmtId="0" fontId="46" fillId="15" borderId="0" xfId="0" applyFont="1" applyFill="1" applyAlignment="1">
      <alignment horizontal="right"/>
    </xf>
    <xf numFmtId="0" fontId="46" fillId="15" borderId="55" xfId="0" applyFont="1" applyFill="1" applyBorder="1"/>
    <xf numFmtId="0" fontId="46" fillId="15" borderId="3" xfId="0" applyFont="1" applyFill="1" applyBorder="1"/>
    <xf numFmtId="0" fontId="46" fillId="0" borderId="3" xfId="0" applyFont="1" applyBorder="1" applyAlignment="1">
      <alignment horizontal="right"/>
    </xf>
    <xf numFmtId="185" fontId="24" fillId="33" borderId="0" xfId="0" applyNumberFormat="1" applyFont="1" applyFill="1" applyAlignment="1">
      <alignment horizontal="right"/>
    </xf>
    <xf numFmtId="185" fontId="24" fillId="33" borderId="3" xfId="0" applyNumberFormat="1" applyFont="1" applyFill="1" applyBorder="1" applyAlignment="1">
      <alignment horizontal="right"/>
    </xf>
    <xf numFmtId="0" fontId="59" fillId="0" borderId="0" xfId="0" applyFont="1"/>
    <xf numFmtId="185" fontId="60" fillId="15" borderId="0" xfId="0" applyNumberFormat="1" applyFont="1" applyFill="1" applyAlignment="1">
      <alignment horizontal="right"/>
    </xf>
    <xf numFmtId="185" fontId="24" fillId="33" borderId="55" xfId="0" applyNumberFormat="1" applyFont="1" applyFill="1" applyBorder="1" applyAlignment="1">
      <alignment horizontal="right"/>
    </xf>
    <xf numFmtId="0" fontId="60" fillId="15" borderId="0" xfId="0" applyFont="1" applyFill="1"/>
    <xf numFmtId="0" fontId="46" fillId="0" borderId="50" xfId="0" applyFont="1" applyBorder="1"/>
    <xf numFmtId="185" fontId="61" fillId="15" borderId="0" xfId="0" applyNumberFormat="1" applyFont="1" applyFill="1" applyAlignment="1">
      <alignment horizontal="right"/>
    </xf>
    <xf numFmtId="185" fontId="62" fillId="15" borderId="3" xfId="0" applyNumberFormat="1" applyFont="1" applyFill="1" applyBorder="1" applyAlignment="1">
      <alignment horizontal="right"/>
    </xf>
    <xf numFmtId="0" fontId="46" fillId="0" borderId="2" xfId="0" applyFont="1" applyBorder="1"/>
    <xf numFmtId="185" fontId="46" fillId="0" borderId="2" xfId="0" applyNumberFormat="1" applyFont="1" applyBorder="1" applyAlignment="1">
      <alignment horizontal="right"/>
    </xf>
    <xf numFmtId="0" fontId="24" fillId="0" borderId="51" xfId="0" applyFont="1" applyBorder="1"/>
    <xf numFmtId="185" fontId="24" fillId="34" borderId="1" xfId="0" applyNumberFormat="1" applyFont="1" applyFill="1" applyBorder="1" applyAlignment="1">
      <alignment horizontal="center"/>
    </xf>
    <xf numFmtId="185" fontId="24" fillId="0" borderId="2" xfId="0" applyNumberFormat="1" applyFont="1" applyBorder="1" applyAlignment="1">
      <alignment horizontal="center"/>
    </xf>
    <xf numFmtId="182" fontId="24" fillId="0" borderId="2" xfId="0" applyNumberFormat="1" applyFont="1" applyBorder="1" applyAlignment="1">
      <alignment horizontal="center"/>
    </xf>
    <xf numFmtId="0" fontId="46" fillId="0" borderId="51" xfId="0" applyFont="1" applyBorder="1"/>
    <xf numFmtId="182" fontId="46" fillId="0" borderId="50" xfId="0" applyNumberFormat="1" applyFont="1" applyBorder="1"/>
    <xf numFmtId="182" fontId="46" fillId="0" borderId="51" xfId="0" applyNumberFormat="1" applyFont="1" applyBorder="1" applyAlignment="1">
      <alignment horizontal="center"/>
    </xf>
    <xf numFmtId="182" fontId="46" fillId="0" borderId="1" xfId="0" applyNumberFormat="1" applyFont="1" applyBorder="1"/>
    <xf numFmtId="182" fontId="46" fillId="0" borderId="51" xfId="0" applyNumberFormat="1" applyFont="1" applyBorder="1"/>
    <xf numFmtId="182" fontId="46" fillId="0" borderId="2" xfId="0" applyNumberFormat="1" applyFont="1" applyBorder="1"/>
    <xf numFmtId="9" fontId="47" fillId="0" borderId="55" xfId="0" applyNumberFormat="1" applyFont="1" applyBorder="1" applyAlignment="1">
      <alignment horizontal="center"/>
    </xf>
    <xf numFmtId="173" fontId="2" fillId="0" borderId="0" xfId="0" applyNumberFormat="1" applyFont="1"/>
    <xf numFmtId="173" fontId="13" fillId="0" borderId="15" xfId="0" applyNumberFormat="1" applyFont="1" applyBorder="1" applyAlignment="1">
      <alignment horizontal="center" vertical="center"/>
    </xf>
    <xf numFmtId="0" fontId="13" fillId="0" borderId="71" xfId="0" applyFont="1" applyBorder="1" applyAlignment="1">
      <alignment vertical="center"/>
    </xf>
    <xf numFmtId="3" fontId="13" fillId="0" borderId="72" xfId="0" applyNumberFormat="1" applyFont="1" applyBorder="1" applyAlignment="1">
      <alignment horizontal="center" vertical="center"/>
    </xf>
    <xf numFmtId="9" fontId="13" fillId="0" borderId="72" xfId="0" applyNumberFormat="1" applyFont="1" applyBorder="1" applyAlignment="1">
      <alignment horizontal="center" vertical="center"/>
    </xf>
    <xf numFmtId="173" fontId="23" fillId="0" borderId="72" xfId="0" applyNumberFormat="1" applyFont="1" applyBorder="1" applyAlignment="1">
      <alignment vertical="center"/>
    </xf>
    <xf numFmtId="173" fontId="13" fillId="0" borderId="73" xfId="0" applyNumberFormat="1" applyFont="1" applyBorder="1" applyAlignment="1">
      <alignment horizontal="center" vertical="center"/>
    </xf>
    <xf numFmtId="0" fontId="21" fillId="0" borderId="41" xfId="0" applyFont="1" applyBorder="1"/>
    <xf numFmtId="0" fontId="22" fillId="0" borderId="34" xfId="0" applyFont="1" applyBorder="1" applyAlignment="1">
      <alignment horizontal="center" vertical="center"/>
    </xf>
    <xf numFmtId="0" fontId="13" fillId="6" borderId="35" xfId="0" applyFont="1" applyFill="1" applyBorder="1" applyAlignment="1">
      <alignment vertical="center" wrapText="1"/>
    </xf>
    <xf numFmtId="173" fontId="13" fillId="6" borderId="74" xfId="0" applyNumberFormat="1" applyFont="1" applyFill="1" applyBorder="1" applyAlignment="1">
      <alignment vertical="center"/>
    </xf>
    <xf numFmtId="3" fontId="13" fillId="0" borderId="75" xfId="0" applyNumberFormat="1" applyFont="1" applyBorder="1" applyAlignment="1">
      <alignment horizontal="center" vertical="center"/>
    </xf>
    <xf numFmtId="173" fontId="13" fillId="0" borderId="75" xfId="0" applyNumberFormat="1" applyFont="1" applyBorder="1" applyAlignment="1">
      <alignment horizontal="center" vertical="center"/>
    </xf>
    <xf numFmtId="173" fontId="13" fillId="0" borderId="75" xfId="0" applyNumberFormat="1" applyFont="1" applyBorder="1" applyAlignment="1">
      <alignment vertical="center"/>
    </xf>
    <xf numFmtId="173" fontId="13" fillId="0" borderId="36" xfId="0" applyNumberFormat="1" applyFont="1" applyBorder="1" applyAlignment="1">
      <alignment horizontal="center" vertical="center"/>
    </xf>
    <xf numFmtId="178" fontId="13" fillId="6" borderId="76" xfId="0" applyNumberFormat="1" applyFont="1" applyFill="1" applyBorder="1" applyAlignment="1">
      <alignment horizontal="center" vertical="center"/>
    </xf>
    <xf numFmtId="173" fontId="13" fillId="6" borderId="76" xfId="0" applyNumberFormat="1" applyFont="1" applyFill="1" applyBorder="1" applyAlignment="1">
      <alignment vertical="center"/>
    </xf>
    <xf numFmtId="0" fontId="14" fillId="5" borderId="80" xfId="0" applyFont="1" applyFill="1" applyBorder="1" applyAlignment="1">
      <alignment horizontal="left" vertical="center"/>
    </xf>
    <xf numFmtId="193" fontId="14" fillId="5" borderId="81" xfId="0" applyNumberFormat="1" applyFont="1" applyFill="1" applyBorder="1" applyAlignment="1">
      <alignment horizontal="center" vertical="center"/>
    </xf>
    <xf numFmtId="3" fontId="13" fillId="0" borderId="82" xfId="0" applyNumberFormat="1" applyFont="1" applyBorder="1" applyAlignment="1">
      <alignment horizontal="center" vertical="center"/>
    </xf>
    <xf numFmtId="0" fontId="13" fillId="0" borderId="82" xfId="0" applyFont="1" applyBorder="1" applyAlignment="1">
      <alignment horizontal="center" vertical="center"/>
    </xf>
    <xf numFmtId="174" fontId="13" fillId="0" borderId="82" xfId="0" applyNumberFormat="1" applyFont="1" applyBorder="1" applyAlignment="1">
      <alignment vertical="center"/>
    </xf>
    <xf numFmtId="10" fontId="22" fillId="0" borderId="14" xfId="0" applyNumberFormat="1" applyFont="1" applyBorder="1" applyAlignment="1">
      <alignment horizontal="center" vertical="center"/>
    </xf>
    <xf numFmtId="0" fontId="13" fillId="6" borderId="71" xfId="0" applyFont="1" applyFill="1" applyBorder="1" applyAlignment="1">
      <alignment vertical="center" wrapText="1"/>
    </xf>
    <xf numFmtId="1" fontId="13" fillId="6" borderId="72" xfId="0" applyNumberFormat="1" applyFont="1" applyFill="1" applyBorder="1" applyAlignment="1">
      <alignment horizontal="center" vertical="center"/>
    </xf>
    <xf numFmtId="10" fontId="13" fillId="6" borderId="72" xfId="0" applyNumberFormat="1" applyFont="1" applyFill="1" applyBorder="1" applyAlignment="1">
      <alignment vertical="center"/>
    </xf>
    <xf numFmtId="173" fontId="13" fillId="6" borderId="73" xfId="0" applyNumberFormat="1" applyFont="1" applyFill="1" applyBorder="1" applyAlignment="1">
      <alignment vertical="center"/>
    </xf>
    <xf numFmtId="173" fontId="13" fillId="0" borderId="1" xfId="0" applyNumberFormat="1" applyFont="1" applyBorder="1" applyAlignment="1">
      <alignment vertical="center"/>
    </xf>
    <xf numFmtId="0" fontId="22" fillId="0" borderId="13" xfId="0" applyFont="1" applyBorder="1" applyAlignment="1">
      <alignment vertical="center"/>
    </xf>
    <xf numFmtId="173" fontId="63" fillId="0" borderId="0" xfId="0" applyNumberFormat="1" applyFont="1" applyAlignment="1">
      <alignment horizontal="center" vertical="center"/>
    </xf>
    <xf numFmtId="193" fontId="16" fillId="0" borderId="36" xfId="0" applyNumberFormat="1" applyFont="1" applyBorder="1" applyAlignment="1">
      <alignment horizontal="center" vertical="center"/>
    </xf>
    <xf numFmtId="0" fontId="64" fillId="0" borderId="30" xfId="0" applyFont="1" applyBorder="1" applyAlignment="1">
      <alignment vertical="center"/>
    </xf>
    <xf numFmtId="3" fontId="20" fillId="0" borderId="16" xfId="0" applyNumberFormat="1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174" fontId="20" fillId="0" borderId="16" xfId="0" applyNumberFormat="1" applyFont="1" applyBorder="1" applyAlignment="1">
      <alignment horizontal="center" vertical="center"/>
    </xf>
    <xf numFmtId="173" fontId="13" fillId="0" borderId="17" xfId="0" applyNumberFormat="1" applyFont="1" applyBorder="1" applyAlignment="1">
      <alignment horizontal="center" vertical="center"/>
    </xf>
    <xf numFmtId="0" fontId="13" fillId="0" borderId="30" xfId="0" applyFont="1" applyBorder="1" applyAlignment="1">
      <alignment vertical="center" wrapText="1"/>
    </xf>
    <xf numFmtId="0" fontId="13" fillId="0" borderId="16" xfId="0" applyFont="1" applyBorder="1" applyAlignment="1">
      <alignment horizontal="center" vertical="center"/>
    </xf>
    <xf numFmtId="9" fontId="13" fillId="0" borderId="16" xfId="0" applyNumberFormat="1" applyFont="1" applyBorder="1" applyAlignment="1">
      <alignment horizontal="center" vertical="center"/>
    </xf>
    <xf numFmtId="173" fontId="33" fillId="9" borderId="80" xfId="0" applyNumberFormat="1" applyFont="1" applyFill="1" applyBorder="1" applyAlignment="1">
      <alignment horizontal="left" vertical="center"/>
    </xf>
    <xf numFmtId="3" fontId="13" fillId="0" borderId="16" xfId="0" applyNumberFormat="1" applyFont="1" applyBorder="1" applyAlignment="1">
      <alignment horizontal="center" vertical="center"/>
    </xf>
    <xf numFmtId="0" fontId="19" fillId="0" borderId="0" xfId="0" applyFont="1" applyAlignment="1">
      <alignment vertical="center" wrapText="1"/>
    </xf>
    <xf numFmtId="3" fontId="39" fillId="0" borderId="0" xfId="0" applyNumberFormat="1" applyFont="1" applyAlignment="1">
      <alignment horizontal="left" vertical="center"/>
    </xf>
    <xf numFmtId="177" fontId="13" fillId="0" borderId="16" xfId="0" applyNumberFormat="1" applyFont="1" applyBorder="1" applyAlignment="1">
      <alignment horizontal="center" vertical="center"/>
    </xf>
    <xf numFmtId="9" fontId="23" fillId="0" borderId="16" xfId="0" applyNumberFormat="1" applyFont="1" applyBorder="1" applyAlignment="1">
      <alignment vertical="center"/>
    </xf>
    <xf numFmtId="177" fontId="19" fillId="0" borderId="0" xfId="0" applyNumberFormat="1" applyFont="1" applyAlignment="1">
      <alignment vertical="center" wrapText="1"/>
    </xf>
    <xf numFmtId="3" fontId="39" fillId="0" borderId="0" xfId="0" applyNumberFormat="1" applyFont="1" applyAlignment="1">
      <alignment vertical="center"/>
    </xf>
    <xf numFmtId="0" fontId="63" fillId="0" borderId="0" xfId="0" applyFont="1" applyAlignment="1">
      <alignment vertical="center"/>
    </xf>
    <xf numFmtId="1" fontId="22" fillId="0" borderId="49" xfId="0" applyNumberFormat="1" applyFont="1" applyBorder="1" applyAlignment="1">
      <alignment horizontal="center" vertical="center"/>
    </xf>
    <xf numFmtId="9" fontId="47" fillId="0" borderId="0" xfId="0" applyNumberFormat="1" applyFont="1" applyAlignment="1">
      <alignment horizontal="center"/>
    </xf>
    <xf numFmtId="10" fontId="47" fillId="0" borderId="0" xfId="0" applyNumberFormat="1" applyFont="1" applyAlignment="1">
      <alignment horizontal="right"/>
    </xf>
    <xf numFmtId="9" fontId="46" fillId="0" borderId="0" xfId="0" applyNumberFormat="1" applyFont="1" applyAlignment="1">
      <alignment horizontal="center"/>
    </xf>
    <xf numFmtId="173" fontId="47" fillId="0" borderId="0" xfId="0" applyNumberFormat="1" applyFont="1"/>
    <xf numFmtId="182" fontId="47" fillId="0" borderId="0" xfId="0" applyNumberFormat="1" applyFont="1"/>
    <xf numFmtId="170" fontId="53" fillId="0" borderId="0" xfId="0" applyNumberFormat="1" applyFont="1"/>
    <xf numFmtId="0" fontId="4" fillId="0" borderId="83" xfId="0" applyFont="1" applyBorder="1"/>
    <xf numFmtId="170" fontId="4" fillId="0" borderId="83" xfId="0" applyNumberFormat="1" applyFont="1" applyBorder="1"/>
    <xf numFmtId="0" fontId="0" fillId="0" borderId="83" xfId="0" applyBorder="1"/>
    <xf numFmtId="43" fontId="2" fillId="0" borderId="0" xfId="2" applyFont="1"/>
    <xf numFmtId="194" fontId="2" fillId="0" borderId="0" xfId="0" applyNumberFormat="1" applyFont="1"/>
    <xf numFmtId="0" fontId="2" fillId="0" borderId="4" xfId="0" applyFont="1" applyBorder="1"/>
    <xf numFmtId="0" fontId="2" fillId="0" borderId="4" xfId="0" applyFont="1" applyBorder="1" applyAlignment="1">
      <alignment horizontal="right"/>
    </xf>
    <xf numFmtId="167" fontId="70" fillId="0" borderId="2" xfId="0" applyNumberFormat="1" applyFont="1" applyBorder="1" applyAlignment="1">
      <alignment horizontal="right"/>
    </xf>
    <xf numFmtId="0" fontId="2" fillId="35" borderId="1" xfId="0" applyFont="1" applyFill="1" applyBorder="1"/>
    <xf numFmtId="0" fontId="2" fillId="35" borderId="3" xfId="0" applyFont="1" applyFill="1" applyBorder="1"/>
    <xf numFmtId="0" fontId="2" fillId="36" borderId="3" xfId="0" applyFont="1" applyFill="1" applyBorder="1"/>
    <xf numFmtId="168" fontId="2" fillId="35" borderId="2" xfId="0" applyNumberFormat="1" applyFont="1" applyFill="1" applyBorder="1" applyAlignment="1">
      <alignment horizontal="right"/>
    </xf>
    <xf numFmtId="173" fontId="13" fillId="0" borderId="0" xfId="0" applyNumberFormat="1" applyFont="1" applyAlignment="1">
      <alignment vertical="center"/>
    </xf>
    <xf numFmtId="0" fontId="53" fillId="0" borderId="0" xfId="0" applyFont="1"/>
    <xf numFmtId="0" fontId="13" fillId="0" borderId="83" xfId="0" applyFont="1" applyBorder="1"/>
    <xf numFmtId="165" fontId="13" fillId="0" borderId="83" xfId="0" applyNumberFormat="1" applyFont="1" applyBorder="1"/>
    <xf numFmtId="0" fontId="13" fillId="37" borderId="83" xfId="0" applyFont="1" applyFill="1" applyBorder="1"/>
    <xf numFmtId="0" fontId="16" fillId="38" borderId="83" xfId="0" applyFont="1" applyFill="1" applyBorder="1"/>
    <xf numFmtId="0" fontId="13" fillId="35" borderId="83" xfId="0" applyFont="1" applyFill="1" applyBorder="1"/>
    <xf numFmtId="176" fontId="13" fillId="0" borderId="79" xfId="0" applyNumberFormat="1" applyFont="1" applyBorder="1"/>
    <xf numFmtId="195" fontId="0" fillId="0" borderId="0" xfId="0" applyNumberFormat="1"/>
    <xf numFmtId="10" fontId="23" fillId="0" borderId="15" xfId="0" applyNumberFormat="1" applyFont="1" applyBorder="1" applyAlignment="1">
      <alignment vertical="center"/>
    </xf>
    <xf numFmtId="9" fontId="2" fillId="0" borderId="0" xfId="1" applyFont="1"/>
    <xf numFmtId="166" fontId="2" fillId="0" borderId="4" xfId="0" applyNumberFormat="1" applyFont="1" applyBorder="1"/>
    <xf numFmtId="169" fontId="2" fillId="0" borderId="4" xfId="0" applyNumberFormat="1" applyFont="1" applyBorder="1"/>
    <xf numFmtId="0" fontId="2" fillId="0" borderId="1" xfId="0" applyFont="1" applyBorder="1" applyAlignment="1">
      <alignment horizontal="right"/>
    </xf>
    <xf numFmtId="0" fontId="7" fillId="3" borderId="1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/>
    </xf>
    <xf numFmtId="9" fontId="5" fillId="3" borderId="4" xfId="0" applyNumberFormat="1" applyFont="1" applyFill="1" applyBorder="1" applyAlignment="1">
      <alignment horizontal="center"/>
    </xf>
    <xf numFmtId="170" fontId="5" fillId="3" borderId="4" xfId="0" applyNumberFormat="1" applyFont="1" applyFill="1" applyBorder="1" applyAlignment="1">
      <alignment horizontal="center"/>
    </xf>
    <xf numFmtId="171" fontId="5" fillId="3" borderId="4" xfId="0" applyNumberFormat="1" applyFont="1" applyFill="1" applyBorder="1" applyAlignment="1">
      <alignment horizontal="center"/>
    </xf>
    <xf numFmtId="176" fontId="13" fillId="0" borderId="33" xfId="0" applyNumberFormat="1" applyFont="1" applyBorder="1" applyAlignment="1">
      <alignment vertical="center"/>
    </xf>
    <xf numFmtId="0" fontId="27" fillId="6" borderId="35" xfId="0" applyFont="1" applyFill="1" applyBorder="1" applyAlignment="1">
      <alignment horizontal="right" vertical="center" wrapText="1"/>
    </xf>
    <xf numFmtId="10" fontId="28" fillId="0" borderId="76" xfId="0" applyNumberFormat="1" applyFont="1" applyBorder="1" applyAlignment="1">
      <alignment vertical="center"/>
    </xf>
    <xf numFmtId="173" fontId="29" fillId="6" borderId="74" xfId="0" applyNumberFormat="1" applyFont="1" applyFill="1" applyBorder="1" applyAlignment="1">
      <alignment vertical="center"/>
    </xf>
    <xf numFmtId="10" fontId="30" fillId="0" borderId="76" xfId="0" applyNumberFormat="1" applyFont="1" applyBorder="1" applyAlignment="1">
      <alignment vertical="center"/>
    </xf>
    <xf numFmtId="173" fontId="13" fillId="6" borderId="76" xfId="0" applyNumberFormat="1" applyFont="1" applyFill="1" applyBorder="1" applyAlignment="1">
      <alignment horizontal="center" vertical="center"/>
    </xf>
    <xf numFmtId="10" fontId="23" fillId="0" borderId="76" xfId="0" applyNumberFormat="1" applyFont="1" applyBorder="1" applyAlignment="1">
      <alignment vertical="center"/>
    </xf>
    <xf numFmtId="173" fontId="16" fillId="0" borderId="81" xfId="0" applyNumberFormat="1" applyFont="1" applyBorder="1" applyAlignment="1">
      <alignment horizontal="right" vertical="center"/>
    </xf>
    <xf numFmtId="173" fontId="33" fillId="9" borderId="78" xfId="0" applyNumberFormat="1" applyFont="1" applyFill="1" applyBorder="1" applyAlignment="1">
      <alignment horizontal="left" vertical="center"/>
    </xf>
    <xf numFmtId="0" fontId="13" fillId="6" borderId="76" xfId="0" applyFont="1" applyFill="1" applyBorder="1" applyAlignment="1">
      <alignment horizontal="center" vertical="center"/>
    </xf>
    <xf numFmtId="177" fontId="36" fillId="0" borderId="81" xfId="0" applyNumberFormat="1" applyFont="1" applyBorder="1" applyAlignment="1">
      <alignment vertical="center"/>
    </xf>
    <xf numFmtId="182" fontId="14" fillId="0" borderId="81" xfId="0" applyNumberFormat="1" applyFont="1" applyBorder="1" applyAlignment="1">
      <alignment vertical="center"/>
    </xf>
    <xf numFmtId="177" fontId="14" fillId="0" borderId="81" xfId="0" applyNumberFormat="1" applyFont="1" applyBorder="1" applyAlignment="1">
      <alignment vertical="center"/>
    </xf>
    <xf numFmtId="9" fontId="23" fillId="0" borderId="76" xfId="0" applyNumberFormat="1" applyFont="1" applyBorder="1" applyAlignment="1">
      <alignment vertical="center"/>
    </xf>
    <xf numFmtId="173" fontId="13" fillId="6" borderId="74" xfId="0" applyNumberFormat="1" applyFont="1" applyFill="1" applyBorder="1" applyAlignment="1">
      <alignment horizontal="center" vertical="center"/>
    </xf>
    <xf numFmtId="0" fontId="44" fillId="0" borderId="80" xfId="0" applyFont="1" applyBorder="1"/>
    <xf numFmtId="182" fontId="44" fillId="0" borderId="79" xfId="0" applyNumberFormat="1" applyFont="1" applyBorder="1" applyAlignment="1">
      <alignment horizontal="right"/>
    </xf>
    <xf numFmtId="0" fontId="43" fillId="0" borderId="80" xfId="0" applyFont="1" applyBorder="1"/>
    <xf numFmtId="182" fontId="43" fillId="0" borderId="79" xfId="0" applyNumberFormat="1" applyFont="1" applyBorder="1" applyAlignment="1">
      <alignment horizontal="right"/>
    </xf>
    <xf numFmtId="173" fontId="43" fillId="0" borderId="79" xfId="0" applyNumberFormat="1" applyFont="1" applyBorder="1" applyAlignment="1">
      <alignment horizontal="right"/>
    </xf>
    <xf numFmtId="173" fontId="42" fillId="0" borderId="81" xfId="0" applyNumberFormat="1" applyFont="1" applyBorder="1" applyAlignment="1">
      <alignment horizontal="right"/>
    </xf>
    <xf numFmtId="176" fontId="13" fillId="0" borderId="81" xfId="0" applyNumberFormat="1" applyFont="1" applyBorder="1"/>
    <xf numFmtId="176" fontId="13" fillId="18" borderId="4" xfId="0" applyNumberFormat="1" applyFont="1" applyFill="1" applyBorder="1"/>
    <xf numFmtId="176" fontId="13" fillId="18" borderId="4" xfId="0" applyNumberFormat="1" applyFont="1" applyFill="1" applyBorder="1" applyAlignment="1">
      <alignment horizontal="center"/>
    </xf>
    <xf numFmtId="176" fontId="16" fillId="18" borderId="4" xfId="0" applyNumberFormat="1" applyFont="1" applyFill="1" applyBorder="1" applyAlignment="1">
      <alignment horizontal="center"/>
    </xf>
    <xf numFmtId="176" fontId="13" fillId="20" borderId="4" xfId="0" applyNumberFormat="1" applyFont="1" applyFill="1" applyBorder="1"/>
    <xf numFmtId="10" fontId="13" fillId="20" borderId="4" xfId="0" applyNumberFormat="1" applyFont="1" applyFill="1" applyBorder="1" applyAlignment="1">
      <alignment horizontal="center"/>
    </xf>
    <xf numFmtId="176" fontId="13" fillId="20" borderId="4" xfId="0" applyNumberFormat="1" applyFont="1" applyFill="1" applyBorder="1" applyAlignment="1">
      <alignment horizontal="center"/>
    </xf>
    <xf numFmtId="176" fontId="13" fillId="21" borderId="4" xfId="0" applyNumberFormat="1" applyFont="1" applyFill="1" applyBorder="1" applyAlignment="1">
      <alignment horizontal="center"/>
    </xf>
    <xf numFmtId="176" fontId="13" fillId="19" borderId="4" xfId="0" applyNumberFormat="1" applyFont="1" applyFill="1" applyBorder="1"/>
    <xf numFmtId="176" fontId="13" fillId="19" borderId="4" xfId="0" applyNumberFormat="1" applyFont="1" applyFill="1" applyBorder="1" applyAlignment="1">
      <alignment horizontal="right"/>
    </xf>
    <xf numFmtId="176" fontId="16" fillId="19" borderId="4" xfId="0" applyNumberFormat="1" applyFont="1" applyFill="1" applyBorder="1" applyAlignment="1">
      <alignment horizontal="center"/>
    </xf>
    <xf numFmtId="176" fontId="51" fillId="19" borderId="4" xfId="0" applyNumberFormat="1" applyFont="1" applyFill="1" applyBorder="1"/>
    <xf numFmtId="9" fontId="14" fillId="19" borderId="4" xfId="0" applyNumberFormat="1" applyFont="1" applyFill="1" applyBorder="1" applyAlignment="1">
      <alignment horizontal="center"/>
    </xf>
    <xf numFmtId="9" fontId="16" fillId="19" borderId="4" xfId="0" applyNumberFormat="1" applyFont="1" applyFill="1" applyBorder="1" applyAlignment="1">
      <alignment horizontal="center"/>
    </xf>
    <xf numFmtId="176" fontId="13" fillId="17" borderId="4" xfId="0" applyNumberFormat="1" applyFont="1" applyFill="1" applyBorder="1" applyAlignment="1">
      <alignment horizontal="right"/>
    </xf>
    <xf numFmtId="10" fontId="16" fillId="17" borderId="4" xfId="0" applyNumberFormat="1" applyFont="1" applyFill="1" applyBorder="1" applyAlignment="1">
      <alignment horizontal="right"/>
    </xf>
    <xf numFmtId="176" fontId="13" fillId="19" borderId="4" xfId="0" applyNumberFormat="1" applyFont="1" applyFill="1" applyBorder="1" applyAlignment="1">
      <alignment horizontal="center"/>
    </xf>
    <xf numFmtId="168" fontId="13" fillId="17" borderId="4" xfId="0" applyNumberFormat="1" applyFont="1" applyFill="1" applyBorder="1" applyAlignment="1">
      <alignment horizontal="right"/>
    </xf>
    <xf numFmtId="168" fontId="16" fillId="17" borderId="4" xfId="0" applyNumberFormat="1" applyFont="1" applyFill="1" applyBorder="1" applyAlignment="1">
      <alignment horizontal="right"/>
    </xf>
    <xf numFmtId="176" fontId="13" fillId="27" borderId="4" xfId="0" applyNumberFormat="1" applyFont="1" applyFill="1" applyBorder="1" applyAlignment="1">
      <alignment horizontal="right"/>
    </xf>
    <xf numFmtId="176" fontId="23" fillId="27" borderId="4" xfId="0" applyNumberFormat="1" applyFont="1" applyFill="1" applyBorder="1" applyAlignment="1">
      <alignment horizontal="right"/>
    </xf>
    <xf numFmtId="0" fontId="43" fillId="0" borderId="4" xfId="0" applyFont="1" applyBorder="1" applyAlignment="1">
      <alignment horizontal="right"/>
    </xf>
    <xf numFmtId="0" fontId="24" fillId="33" borderId="4" xfId="0" applyFont="1" applyFill="1" applyBorder="1" applyAlignment="1">
      <alignment horizontal="center"/>
    </xf>
    <xf numFmtId="185" fontId="24" fillId="33" borderId="4" xfId="0" applyNumberFormat="1" applyFont="1" applyFill="1" applyBorder="1" applyAlignment="1">
      <alignment horizontal="right"/>
    </xf>
    <xf numFmtId="0" fontId="24" fillId="33" borderId="4" xfId="0" applyFont="1" applyFill="1" applyBorder="1"/>
    <xf numFmtId="0" fontId="58" fillId="15" borderId="4" xfId="0" applyFont="1" applyFill="1" applyBorder="1" applyAlignment="1">
      <alignment horizontal="right"/>
    </xf>
    <xf numFmtId="0" fontId="46" fillId="0" borderId="4" xfId="0" applyFont="1" applyBorder="1"/>
    <xf numFmtId="185" fontId="46" fillId="15" borderId="4" xfId="0" applyNumberFormat="1" applyFont="1" applyFill="1" applyBorder="1" applyAlignment="1">
      <alignment horizontal="right"/>
    </xf>
    <xf numFmtId="170" fontId="59" fillId="33" borderId="4" xfId="0" applyNumberFormat="1" applyFont="1" applyFill="1" applyBorder="1" applyAlignment="1">
      <alignment horizontal="right"/>
    </xf>
    <xf numFmtId="0" fontId="46" fillId="15" borderId="4" xfId="0" applyFont="1" applyFill="1" applyBorder="1"/>
    <xf numFmtId="185" fontId="46" fillId="0" borderId="4" xfId="0" applyNumberFormat="1" applyFont="1" applyBorder="1" applyAlignment="1">
      <alignment horizontal="right"/>
    </xf>
    <xf numFmtId="170" fontId="46" fillId="0" borderId="4" xfId="0" applyNumberFormat="1" applyFont="1" applyBorder="1" applyAlignment="1">
      <alignment horizontal="right"/>
    </xf>
    <xf numFmtId="0" fontId="13" fillId="0" borderId="33" xfId="0" applyFont="1" applyBorder="1" applyAlignment="1">
      <alignment vertical="center"/>
    </xf>
    <xf numFmtId="173" fontId="14" fillId="5" borderId="78" xfId="0" applyNumberFormat="1" applyFont="1" applyFill="1" applyBorder="1" applyAlignment="1">
      <alignment horizontal="center" vertical="center"/>
    </xf>
    <xf numFmtId="0" fontId="13" fillId="0" borderId="35" xfId="0" applyFont="1" applyBorder="1" applyAlignment="1">
      <alignment vertical="center" wrapText="1"/>
    </xf>
    <xf numFmtId="10" fontId="22" fillId="0" borderId="79" xfId="0" applyNumberFormat="1" applyFont="1" applyBorder="1" applyAlignment="1">
      <alignment horizontal="center" vertical="center"/>
    </xf>
    <xf numFmtId="176" fontId="27" fillId="20" borderId="57" xfId="0" applyNumberFormat="1" applyFont="1" applyFill="1" applyBorder="1" applyAlignment="1">
      <alignment horizontal="left"/>
    </xf>
    <xf numFmtId="43" fontId="0" fillId="0" borderId="0" xfId="0" applyNumberFormat="1"/>
    <xf numFmtId="167" fontId="2" fillId="0" borderId="2" xfId="0" quotePrefix="1" applyNumberFormat="1" applyFont="1" applyBorder="1"/>
    <xf numFmtId="0" fontId="2" fillId="0" borderId="50" xfId="0" applyFont="1" applyBorder="1"/>
    <xf numFmtId="0" fontId="2" fillId="0" borderId="78" xfId="0" applyFont="1" applyBorder="1"/>
    <xf numFmtId="9" fontId="13" fillId="0" borderId="0" xfId="0" applyNumberFormat="1" applyFont="1"/>
    <xf numFmtId="0" fontId="2" fillId="39" borderId="4" xfId="0" applyFont="1" applyFill="1" applyBorder="1"/>
    <xf numFmtId="0" fontId="2" fillId="0" borderId="0" xfId="0" quotePrefix="1" applyFont="1"/>
    <xf numFmtId="9" fontId="2" fillId="0" borderId="78" xfId="0" applyNumberFormat="1" applyFont="1" applyBorder="1" applyAlignment="1">
      <alignment horizontal="right"/>
    </xf>
    <xf numFmtId="168" fontId="2" fillId="0" borderId="78" xfId="0" applyNumberFormat="1" applyFont="1" applyBorder="1" applyAlignment="1">
      <alignment horizontal="right"/>
    </xf>
    <xf numFmtId="167" fontId="2" fillId="0" borderId="1" xfId="0" applyNumberFormat="1" applyFont="1" applyBorder="1" applyAlignment="1">
      <alignment horizontal="right"/>
    </xf>
    <xf numFmtId="168" fontId="2" fillId="0" borderId="1" xfId="0" applyNumberFormat="1" applyFont="1" applyBorder="1" applyAlignment="1">
      <alignment horizontal="right"/>
    </xf>
    <xf numFmtId="0" fontId="2" fillId="0" borderId="66" xfId="0" applyFont="1" applyBorder="1"/>
    <xf numFmtId="9" fontId="2" fillId="0" borderId="66" xfId="0" applyNumberFormat="1" applyFont="1" applyBorder="1" applyAlignment="1">
      <alignment horizontal="right"/>
    </xf>
    <xf numFmtId="168" fontId="2" fillId="0" borderId="78" xfId="0" applyNumberFormat="1" applyFont="1" applyBorder="1"/>
    <xf numFmtId="196" fontId="2" fillId="0" borderId="0" xfId="1" applyNumberFormat="1" applyFont="1"/>
    <xf numFmtId="196" fontId="2" fillId="0" borderId="1" xfId="1" applyNumberFormat="1" applyFont="1" applyBorder="1"/>
    <xf numFmtId="9" fontId="2" fillId="0" borderId="78" xfId="1" applyFont="1" applyBorder="1"/>
    <xf numFmtId="197" fontId="2" fillId="0" borderId="78" xfId="0" applyNumberFormat="1" applyFont="1" applyBorder="1" applyAlignment="1">
      <alignment horizontal="right"/>
    </xf>
    <xf numFmtId="196" fontId="2" fillId="0" borderId="78" xfId="0" applyNumberFormat="1" applyFont="1" applyBorder="1" applyAlignment="1">
      <alignment horizontal="right"/>
    </xf>
    <xf numFmtId="196" fontId="2" fillId="0" borderId="78" xfId="0" applyNumberFormat="1" applyFont="1" applyBorder="1"/>
    <xf numFmtId="197" fontId="2" fillId="0" borderId="78" xfId="0" applyNumberFormat="1" applyFont="1" applyBorder="1"/>
    <xf numFmtId="0" fontId="1" fillId="0" borderId="0" xfId="0" applyFont="1" applyAlignment="1">
      <alignment horizontal="center"/>
    </xf>
    <xf numFmtId="9" fontId="2" fillId="0" borderId="0" xfId="0" applyNumberFormat="1" applyFont="1"/>
    <xf numFmtId="198" fontId="2" fillId="0" borderId="0" xfId="0" applyNumberFormat="1" applyFont="1"/>
    <xf numFmtId="198" fontId="2" fillId="0" borderId="78" xfId="0" applyNumberFormat="1" applyFont="1" applyBorder="1"/>
    <xf numFmtId="0" fontId="70" fillId="36" borderId="3" xfId="0" applyFont="1" applyFill="1" applyBorder="1"/>
    <xf numFmtId="0" fontId="70" fillId="0" borderId="4" xfId="0" applyFont="1" applyBorder="1" applyAlignment="1">
      <alignment horizontal="right"/>
    </xf>
    <xf numFmtId="0" fontId="70" fillId="0" borderId="4" xfId="0" applyFont="1" applyBorder="1"/>
    <xf numFmtId="0" fontId="70" fillId="0" borderId="3" xfId="0" applyFont="1" applyBorder="1"/>
    <xf numFmtId="168" fontId="18" fillId="0" borderId="2" xfId="0" applyNumberFormat="1" applyFont="1" applyBorder="1" applyAlignment="1">
      <alignment horizontal="right"/>
    </xf>
    <xf numFmtId="170" fontId="46" fillId="0" borderId="0" xfId="0" applyNumberFormat="1" applyFont="1"/>
    <xf numFmtId="0" fontId="71" fillId="0" borderId="66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72" fillId="0" borderId="1" xfId="0" applyFont="1" applyBorder="1"/>
    <xf numFmtId="0" fontId="0" fillId="35" borderId="1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71" fillId="0" borderId="84" xfId="0" applyFont="1" applyBorder="1" applyAlignment="1">
      <alignment horizontal="center" vertical="center" wrapText="1"/>
    </xf>
    <xf numFmtId="0" fontId="0" fillId="35" borderId="2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2" xfId="0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200" fontId="2" fillId="0" borderId="0" xfId="0" applyNumberFormat="1" applyFont="1"/>
    <xf numFmtId="43" fontId="2" fillId="0" borderId="78" xfId="0" applyNumberFormat="1" applyFont="1" applyBorder="1"/>
    <xf numFmtId="201" fontId="2" fillId="0" borderId="0" xfId="0" applyNumberFormat="1" applyFont="1" applyAlignment="1">
      <alignment horizontal="right"/>
    </xf>
    <xf numFmtId="0" fontId="2" fillId="40" borderId="2" xfId="0" applyFont="1" applyFill="1" applyBorder="1" applyAlignment="1">
      <alignment horizontal="right"/>
    </xf>
    <xf numFmtId="0" fontId="2" fillId="40" borderId="4" xfId="0" applyFont="1" applyFill="1" applyBorder="1" applyAlignment="1">
      <alignment horizontal="right"/>
    </xf>
    <xf numFmtId="168" fontId="2" fillId="40" borderId="2" xfId="0" applyNumberFormat="1" applyFont="1" applyFill="1" applyBorder="1" applyAlignment="1">
      <alignment horizontal="right"/>
    </xf>
    <xf numFmtId="167" fontId="2" fillId="40" borderId="2" xfId="0" applyNumberFormat="1" applyFont="1" applyFill="1" applyBorder="1" applyAlignment="1">
      <alignment horizontal="right"/>
    </xf>
    <xf numFmtId="176" fontId="13" fillId="0" borderId="1" xfId="0" applyNumberFormat="1" applyFont="1" applyBorder="1"/>
    <xf numFmtId="176" fontId="13" fillId="0" borderId="78" xfId="0" applyNumberFormat="1" applyFont="1" applyBorder="1"/>
    <xf numFmtId="176" fontId="13" fillId="25" borderId="59" xfId="0" applyNumberFormat="1" applyFont="1" applyFill="1" applyBorder="1" applyAlignment="1">
      <alignment horizontal="center"/>
    </xf>
    <xf numFmtId="176" fontId="16" fillId="42" borderId="13" xfId="0" applyNumberFormat="1" applyFont="1" applyFill="1" applyBorder="1" applyAlignment="1">
      <alignment horizontal="center" vertical="center"/>
    </xf>
    <xf numFmtId="176" fontId="13" fillId="0" borderId="82" xfId="0" applyNumberFormat="1" applyFont="1" applyBorder="1"/>
    <xf numFmtId="176" fontId="13" fillId="0" borderId="14" xfId="0" applyNumberFormat="1" applyFont="1" applyBorder="1"/>
    <xf numFmtId="176" fontId="16" fillId="42" borderId="18" xfId="0" applyNumberFormat="1" applyFont="1" applyFill="1" applyBorder="1" applyAlignment="1">
      <alignment horizontal="center" vertical="center"/>
    </xf>
    <xf numFmtId="176" fontId="13" fillId="0" borderId="19" xfId="0" applyNumberFormat="1" applyFont="1" applyBorder="1"/>
    <xf numFmtId="176" fontId="13" fillId="42" borderId="23" xfId="0" applyNumberFormat="1" applyFont="1" applyFill="1" applyBorder="1" applyAlignment="1">
      <alignment horizontal="center" vertical="center"/>
    </xf>
    <xf numFmtId="176" fontId="13" fillId="42" borderId="37" xfId="0" applyNumberFormat="1" applyFont="1" applyFill="1" applyBorder="1"/>
    <xf numFmtId="176" fontId="16" fillId="42" borderId="37" xfId="0" applyNumberFormat="1" applyFont="1" applyFill="1" applyBorder="1"/>
    <xf numFmtId="176" fontId="16" fillId="42" borderId="24" xfId="0" applyNumberFormat="1" applyFont="1" applyFill="1" applyBorder="1"/>
    <xf numFmtId="164" fontId="2" fillId="0" borderId="0" xfId="0" applyNumberFormat="1" applyFont="1"/>
    <xf numFmtId="173" fontId="13" fillId="41" borderId="8" xfId="0" applyNumberFormat="1" applyFont="1" applyFill="1" applyBorder="1" applyAlignment="1">
      <alignment horizontal="center" vertical="center"/>
    </xf>
    <xf numFmtId="203" fontId="2" fillId="0" borderId="0" xfId="0" applyNumberFormat="1" applyFont="1"/>
    <xf numFmtId="0" fontId="2" fillId="43" borderId="1" xfId="0" applyFont="1" applyFill="1" applyBorder="1"/>
    <xf numFmtId="0" fontId="2" fillId="43" borderId="3" xfId="0" applyFont="1" applyFill="1" applyBorder="1"/>
    <xf numFmtId="203" fontId="2" fillId="43" borderId="0" xfId="0" applyNumberFormat="1" applyFont="1" applyFill="1"/>
    <xf numFmtId="176" fontId="13" fillId="41" borderId="58" xfId="0" applyNumberFormat="1" applyFont="1" applyFill="1" applyBorder="1"/>
    <xf numFmtId="200" fontId="2" fillId="0" borderId="78" xfId="0" applyNumberFormat="1" applyFont="1" applyBorder="1"/>
    <xf numFmtId="0" fontId="0" fillId="39" borderId="1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173" fontId="0" fillId="0" borderId="0" xfId="0" applyNumberFormat="1"/>
    <xf numFmtId="0" fontId="47" fillId="40" borderId="4" xfId="0" applyFont="1" applyFill="1" applyBorder="1" applyAlignment="1">
      <alignment horizontal="right"/>
    </xf>
    <xf numFmtId="167" fontId="47" fillId="40" borderId="2" xfId="0" applyNumberFormat="1" applyFont="1" applyFill="1" applyBorder="1" applyAlignment="1">
      <alignment horizontal="right"/>
    </xf>
    <xf numFmtId="0" fontId="47" fillId="36" borderId="3" xfId="0" applyFont="1" applyFill="1" applyBorder="1"/>
    <xf numFmtId="0" fontId="47" fillId="0" borderId="4" xfId="0" applyFont="1" applyBorder="1"/>
    <xf numFmtId="0" fontId="47" fillId="0" borderId="3" xfId="0" applyFont="1" applyBorder="1"/>
    <xf numFmtId="164" fontId="73" fillId="0" borderId="0" xfId="0" applyNumberFormat="1" applyFont="1" applyAlignment="1">
      <alignment horizontal="left"/>
    </xf>
    <xf numFmtId="0" fontId="74" fillId="0" borderId="0" xfId="0" applyFont="1"/>
    <xf numFmtId="204" fontId="0" fillId="0" borderId="0" xfId="0" applyNumberFormat="1"/>
    <xf numFmtId="204" fontId="75" fillId="0" borderId="0" xfId="0" applyNumberFormat="1" applyFont="1"/>
    <xf numFmtId="204" fontId="74" fillId="0" borderId="0" xfId="0" applyNumberFormat="1" applyFont="1"/>
    <xf numFmtId="176" fontId="22" fillId="24" borderId="39" xfId="0" applyNumberFormat="1" applyFont="1" applyFill="1" applyBorder="1" applyAlignment="1">
      <alignment horizontal="center"/>
    </xf>
    <xf numFmtId="0" fontId="18" fillId="0" borderId="81" xfId="0" applyFont="1" applyBorder="1"/>
    <xf numFmtId="176" fontId="16" fillId="24" borderId="39" xfId="0" applyNumberFormat="1" applyFont="1" applyFill="1" applyBorder="1" applyAlignment="1">
      <alignment horizontal="center"/>
    </xf>
    <xf numFmtId="0" fontId="18" fillId="0" borderId="69" xfId="0" applyFont="1" applyBorder="1"/>
    <xf numFmtId="176" fontId="16" fillId="25" borderId="39" xfId="0" applyNumberFormat="1" applyFont="1" applyFill="1" applyBorder="1" applyAlignment="1">
      <alignment horizontal="center"/>
    </xf>
    <xf numFmtId="176" fontId="13" fillId="19" borderId="6" xfId="0" applyNumberFormat="1" applyFont="1" applyFill="1" applyBorder="1"/>
    <xf numFmtId="0" fontId="18" fillId="0" borderId="6" xfId="0" applyFont="1" applyBorder="1"/>
    <xf numFmtId="0" fontId="18" fillId="0" borderId="4" xfId="0" applyFont="1" applyBorder="1"/>
    <xf numFmtId="176" fontId="22" fillId="21" borderId="39" xfId="0" applyNumberFormat="1" applyFont="1" applyFill="1" applyBorder="1" applyAlignment="1">
      <alignment horizontal="center"/>
    </xf>
    <xf numFmtId="176" fontId="26" fillId="21" borderId="39" xfId="0" applyNumberFormat="1" applyFont="1" applyFill="1" applyBorder="1" applyAlignment="1">
      <alignment horizontal="center"/>
    </xf>
    <xf numFmtId="0" fontId="18" fillId="0" borderId="56" xfId="0" applyFont="1" applyBorder="1"/>
    <xf numFmtId="176" fontId="22" fillId="18" borderId="5" xfId="0" applyNumberFormat="1" applyFont="1" applyFill="1" applyBorder="1" applyAlignment="1">
      <alignment horizontal="center" vertical="center" wrapText="1"/>
    </xf>
    <xf numFmtId="0" fontId="18" fillId="0" borderId="5" xfId="0" applyFont="1" applyBorder="1"/>
    <xf numFmtId="176" fontId="16" fillId="18" borderId="79" xfId="0" applyNumberFormat="1" applyFont="1" applyFill="1" applyBorder="1" applyAlignment="1">
      <alignment horizontal="center" vertical="center"/>
    </xf>
    <xf numFmtId="0" fontId="18" fillId="0" borderId="79" xfId="0" applyFont="1" applyBorder="1"/>
    <xf numFmtId="0" fontId="18" fillId="0" borderId="29" xfId="0" applyFont="1" applyBorder="1"/>
    <xf numFmtId="176" fontId="22" fillId="19" borderId="39" xfId="0" applyNumberFormat="1" applyFont="1" applyFill="1" applyBorder="1" applyAlignment="1">
      <alignment horizontal="center"/>
    </xf>
    <xf numFmtId="176" fontId="16" fillId="19" borderId="39" xfId="0" applyNumberFormat="1" applyFont="1" applyFill="1" applyBorder="1" applyAlignment="1">
      <alignment horizontal="center"/>
    </xf>
    <xf numFmtId="176" fontId="49" fillId="20" borderId="5" xfId="0" applyNumberFormat="1" applyFont="1" applyFill="1" applyBorder="1" applyAlignment="1">
      <alignment horizontal="center" vertical="center" textRotation="90"/>
    </xf>
    <xf numFmtId="176" fontId="26" fillId="23" borderId="79" xfId="0" applyNumberFormat="1" applyFont="1" applyFill="1" applyBorder="1" applyAlignment="1">
      <alignment horizontal="center" vertical="center"/>
    </xf>
    <xf numFmtId="176" fontId="26" fillId="21" borderId="6" xfId="0" applyNumberFormat="1" applyFont="1" applyFill="1" applyBorder="1" applyAlignment="1">
      <alignment horizontal="center"/>
    </xf>
    <xf numFmtId="176" fontId="26" fillId="20" borderId="79" xfId="0" applyNumberFormat="1" applyFont="1" applyFill="1" applyBorder="1" applyAlignment="1">
      <alignment horizontal="center" vertical="center"/>
    </xf>
    <xf numFmtId="176" fontId="48" fillId="0" borderId="0" xfId="0" applyNumberFormat="1" applyFont="1" applyAlignment="1">
      <alignment horizontal="center"/>
    </xf>
    <xf numFmtId="0" fontId="0" fillId="0" borderId="0" xfId="0"/>
    <xf numFmtId="0" fontId="18" fillId="0" borderId="39" xfId="0" applyFont="1" applyBorder="1"/>
    <xf numFmtId="188" fontId="16" fillId="0" borderId="6" xfId="0" applyNumberFormat="1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176" fontId="16" fillId="0" borderId="0" xfId="0" applyNumberFormat="1" applyFont="1" applyAlignment="1">
      <alignment horizontal="center" vertical="center"/>
    </xf>
    <xf numFmtId="173" fontId="14" fillId="10" borderId="26" xfId="0" applyNumberFormat="1" applyFont="1" applyFill="1" applyBorder="1" applyAlignment="1">
      <alignment horizontal="center" vertical="center"/>
    </xf>
    <xf numFmtId="0" fontId="18" fillId="0" borderId="7" xfId="0" applyFont="1" applyBorder="1"/>
    <xf numFmtId="0" fontId="18" fillId="0" borderId="28" xfId="0" applyFont="1" applyBorder="1"/>
    <xf numFmtId="173" fontId="45" fillId="10" borderId="26" xfId="0" applyNumberFormat="1" applyFont="1" applyFill="1" applyBorder="1" applyAlignment="1">
      <alignment horizontal="center" vertical="center"/>
    </xf>
    <xf numFmtId="173" fontId="22" fillId="4" borderId="26" xfId="0" applyNumberFormat="1" applyFont="1" applyFill="1" applyBorder="1" applyAlignment="1">
      <alignment horizontal="center" vertical="center"/>
    </xf>
    <xf numFmtId="173" fontId="33" fillId="9" borderId="80" xfId="0" applyNumberFormat="1" applyFont="1" applyFill="1" applyBorder="1" applyAlignment="1">
      <alignment horizontal="left" vertical="center"/>
    </xf>
    <xf numFmtId="0" fontId="18" fillId="0" borderId="80" xfId="0" applyFont="1" applyBorder="1"/>
    <xf numFmtId="173" fontId="33" fillId="9" borderId="78" xfId="0" applyNumberFormat="1" applyFont="1" applyFill="1" applyBorder="1" applyAlignment="1">
      <alignment horizontal="right" vertical="center"/>
    </xf>
    <xf numFmtId="0" fontId="18" fillId="0" borderId="78" xfId="0" applyFont="1" applyBorder="1"/>
    <xf numFmtId="176" fontId="16" fillId="4" borderId="27" xfId="0" applyNumberFormat="1" applyFont="1" applyFill="1" applyBorder="1" applyAlignment="1">
      <alignment horizontal="center" vertical="center"/>
    </xf>
    <xf numFmtId="10" fontId="14" fillId="7" borderId="26" xfId="0" applyNumberFormat="1" applyFont="1" applyFill="1" applyBorder="1" applyAlignment="1">
      <alignment horizontal="center" vertical="center"/>
    </xf>
    <xf numFmtId="173" fontId="14" fillId="5" borderId="40" xfId="0" applyNumberFormat="1" applyFont="1" applyFill="1" applyBorder="1" applyAlignment="1">
      <alignment horizontal="center" vertical="center"/>
    </xf>
    <xf numFmtId="173" fontId="14" fillId="5" borderId="26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7" fillId="4" borderId="27" xfId="0" applyFont="1" applyFill="1" applyBorder="1" applyAlignment="1">
      <alignment horizontal="center" vertical="center"/>
    </xf>
    <xf numFmtId="0" fontId="17" fillId="5" borderId="27" xfId="0" applyFont="1" applyFill="1" applyBorder="1" applyAlignment="1">
      <alignment horizontal="center" vertical="center"/>
    </xf>
    <xf numFmtId="0" fontId="16" fillId="4" borderId="27" xfId="0" applyFont="1" applyFill="1" applyBorder="1" applyAlignment="1">
      <alignment horizontal="center" vertical="center"/>
    </xf>
    <xf numFmtId="0" fontId="16" fillId="5" borderId="27" xfId="0" applyFont="1" applyFill="1" applyBorder="1" applyAlignment="1">
      <alignment horizontal="center" vertical="center"/>
    </xf>
    <xf numFmtId="0" fontId="46" fillId="14" borderId="0" xfId="0" applyFont="1" applyFill="1"/>
    <xf numFmtId="0" fontId="24" fillId="13" borderId="50" xfId="0" applyFont="1" applyFill="1" applyBorder="1" applyAlignment="1">
      <alignment horizontal="left"/>
    </xf>
    <xf numFmtId="0" fontId="18" fillId="0" borderId="51" xfId="0" applyFont="1" applyBorder="1"/>
    <xf numFmtId="0" fontId="24" fillId="14" borderId="50" xfId="0" applyFont="1" applyFill="1" applyBorder="1" applyAlignment="1">
      <alignment horizontal="left"/>
    </xf>
    <xf numFmtId="0" fontId="24" fillId="14" borderId="0" xfId="0" applyFont="1" applyFill="1" applyAlignment="1">
      <alignment horizontal="left"/>
    </xf>
    <xf numFmtId="0" fontId="24" fillId="13" borderId="0" xfId="0" applyFont="1" applyFill="1" applyAlignment="1">
      <alignment horizontal="left"/>
    </xf>
    <xf numFmtId="0" fontId="24" fillId="0" borderId="0" xfId="0" applyFont="1"/>
    <xf numFmtId="0" fontId="46" fillId="0" borderId="0" xfId="0" applyFont="1"/>
    <xf numFmtId="0" fontId="46" fillId="11" borderId="0" xfId="0" applyFont="1" applyFill="1"/>
    <xf numFmtId="10" fontId="13" fillId="19" borderId="6" xfId="0" applyNumberFormat="1" applyFont="1" applyFill="1" applyBorder="1" applyAlignment="1">
      <alignment horizontal="center"/>
    </xf>
    <xf numFmtId="0" fontId="52" fillId="28" borderId="0" xfId="0" applyFont="1" applyFill="1" applyAlignment="1">
      <alignment horizontal="center" vertical="center"/>
    </xf>
    <xf numFmtId="0" fontId="56" fillId="2" borderId="0" xfId="0" applyFont="1" applyFill="1"/>
    <xf numFmtId="0" fontId="57" fillId="0" borderId="0" xfId="0" applyFont="1" applyAlignment="1">
      <alignment horizontal="center"/>
    </xf>
    <xf numFmtId="0" fontId="65" fillId="0" borderId="0" xfId="0" applyFont="1" applyAlignment="1">
      <alignment horizontal="right" vertical="center"/>
    </xf>
    <xf numFmtId="173" fontId="14" fillId="5" borderId="77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</cellXfs>
  <cellStyles count="3">
    <cellStyle name="Comma" xfId="2" builtinId="3"/>
    <cellStyle name="Normal" xfId="0" builtinId="0"/>
    <cellStyle name="Per cent" xfId="1" builtinId="5"/>
  </cellStyles>
  <dxfs count="22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microsoft.com/office/2022/11/relationships/FeaturePropertyBag" Target="featurePropertyBag/featurePropertyBag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10600" cy="6276975"/>
    <xdr:pic>
      <xdr:nvPicPr>
        <xdr:cNvPr id="1991038548" name="Visualization1" title="Vizualizace">
          <a:extLst>
            <a:ext uri="{FF2B5EF4-FFF2-40B4-BE49-F238E27FC236}">
              <a16:creationId xmlns:a16="http://schemas.microsoft.com/office/drawing/2014/main" id="{00000000-0008-0000-0300-000054D6AC76}"/>
            </a:ext>
            <a:ext uri="GoogleSheetsCustomDataVersion1">
              <go:sheetsCustomData xmlns="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 xmlns:go="http://customooxmlschemas.google.com/" pictureOfVisualization="1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absolute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>
  <person displayName="Dmitry Egorov" id="{438E5BD2-6BF2-4399-BBD9-81A6C70D790B}" userId="S::dmitry.egorov@ldparks.cz::6916219c-bff8-47c2-8c39-d3b782e180eb" providerId="AD"/>
  <person displayName="Vilma Taborová" id="{1D30B048-F19D-0541-B571-E9C419832CC9}" userId="S::vilma.taborova@ldparks.cz::8511cce5-d4ea-455f-b618-9a01229268ae" providerId="AD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6-01-13T11:46:49.52" personId="{438E5BD2-6BF2-4399-BBD9-81A6C70D790B}" id="{3EAF3DC5-308E-4756-B22A-A76BCA10A350}">
    <text>02.2026</text>
  </threadedComment>
  <threadedComment ref="D9" dT="2025-08-18T08:36:25.02" personId="{438E5BD2-6BF2-4399-BBD9-81A6C70D790B}" id="{8544212B-5EA9-4259-8B1A-DA9EC1A2CB68}">
    <text xml:space="preserve">Dodavka najemce - podlahy a svetel </text>
  </threadedComment>
  <threadedComment ref="E16" dT="2025-08-28T15:31:08.03" personId="{1D30B048-F19D-0541-B571-E9C419832CC9}" id="{92AA069F-5D1A-7343-8AFB-6FD8C1AE613C}">
    <text xml:space="preserve">výměry upřesněny podle posledního půdorysu </text>
  </threadedComment>
  <threadedComment ref="S23" dT="2025-08-18T08:36:25.02" personId="{438E5BD2-6BF2-4399-BBD9-81A6C70D790B}" id="{4473C771-AB5A-49F3-AD15-17B2B7F539AB}">
    <text xml:space="preserve">Dodavka najemce - podlahy a svetel 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F33" dT="2025-10-21T07:27:07.30" personId="{438E5BD2-6BF2-4399-BBD9-81A6C70D790B}" id="{A03013F1-CB15-44B2-BF06-4AFB62F57E94}">
    <text>VO plus autobusova zastavka plus chodnik - stavba</text>
  </threadedComment>
  <threadedComment ref="F38" dT="2025-10-21T07:26:21.47" personId="{438E5BD2-6BF2-4399-BBD9-81A6C70D790B}" id="{C31C5D34-48C7-4BF1-B907-672EE63FAD21}">
    <text>VO plus autobusova zastavka plus chodnik - projekt a SP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F38" dT="2026-01-09T14:22:08.81" personId="{438E5BD2-6BF2-4399-BBD9-81A6C70D790B}" id="{A64930F0-3304-483E-8D2A-5AF3130E849B}">
    <text>Prispevek Sinsay</text>
  </threadedComment>
  <threadedComment ref="AG38" dT="2026-01-09T14:22:08.81" personId="{438E5BD2-6BF2-4399-BBD9-81A6C70D790B}" id="{938F1831-7496-4035-80A5-ABE89A2FAD79}">
    <text>Prispevek Sinsay</text>
  </threadedComment>
  <threadedComment ref="AH38" dT="2026-01-09T14:22:18.09" personId="{438E5BD2-6BF2-4399-BBD9-81A6C70D790B}" id="{6ABB10EE-073B-4FDE-9948-D436A7544F34}">
    <text>Prispevek Sinsay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45"/>
  <sheetViews>
    <sheetView zoomScale="150" zoomScaleNormal="100" workbookViewId="0">
      <pane xSplit="4" topLeftCell="G1" activePane="topRight" state="frozen"/>
      <selection pane="topRight" activeCell="D13" sqref="D13"/>
    </sheetView>
  </sheetViews>
  <sheetFormatPr baseColWidth="10" defaultColWidth="12.6640625" defaultRowHeight="15" customHeight="1"/>
  <cols>
    <col min="1" max="1" width="5.1640625" customWidth="1"/>
    <col min="2" max="3" width="6.83203125" customWidth="1"/>
    <col min="4" max="4" width="22.1640625" customWidth="1"/>
    <col min="5" max="5" width="17" customWidth="1"/>
    <col min="6" max="6" width="10.6640625" customWidth="1"/>
    <col min="7" max="7" width="17" customWidth="1"/>
    <col min="8" max="8" width="22.1640625" customWidth="1"/>
    <col min="9" max="9" width="25.1640625" customWidth="1"/>
    <col min="10" max="10" width="13.5" customWidth="1"/>
    <col min="11" max="11" width="16" customWidth="1"/>
    <col min="12" max="12" width="14.6640625" customWidth="1"/>
    <col min="13" max="13" width="19.6640625" customWidth="1"/>
    <col min="14" max="14" width="14.33203125" customWidth="1"/>
    <col min="15" max="15" width="12.33203125" customWidth="1"/>
    <col min="16" max="16" width="20.83203125" customWidth="1"/>
    <col min="17" max="17" width="11.1640625" customWidth="1"/>
    <col min="18" max="19" width="10.6640625" customWidth="1"/>
    <col min="20" max="20" width="11.6640625" customWidth="1"/>
    <col min="21" max="26" width="10.6640625" customWidth="1"/>
    <col min="27" max="27" width="12" customWidth="1"/>
    <col min="28" max="30" width="10.6640625" customWidth="1"/>
  </cols>
  <sheetData>
    <row r="1" spans="1:28" ht="30.75" customHeight="1">
      <c r="A1" s="571" t="s">
        <v>0</v>
      </c>
      <c r="B1" s="571" t="s">
        <v>1</v>
      </c>
      <c r="C1" s="575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561" t="s">
        <v>7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3"/>
      <c r="X1" s="3"/>
      <c r="Y1" s="3"/>
      <c r="Z1" s="3"/>
      <c r="AA1" s="542" t="s">
        <v>21</v>
      </c>
      <c r="AB1" s="4" t="s">
        <v>22</v>
      </c>
    </row>
    <row r="2" spans="1:28" ht="13.5" customHeight="1">
      <c r="A2" s="572" t="b">
        <v>1</v>
      </c>
      <c r="B2" s="605" t="b">
        <v>1</v>
      </c>
      <c r="C2" s="576" t="b">
        <v>0</v>
      </c>
      <c r="D2" s="459" t="s">
        <v>23</v>
      </c>
      <c r="E2" s="545" t="s">
        <v>21</v>
      </c>
      <c r="F2" s="581">
        <v>1301.57</v>
      </c>
      <c r="G2" s="5" t="s">
        <v>24</v>
      </c>
      <c r="H2" s="6">
        <v>10.49</v>
      </c>
      <c r="I2" s="583">
        <f>H2*$E$33</f>
        <v>262.25</v>
      </c>
      <c r="J2" s="7">
        <v>0</v>
      </c>
      <c r="K2" s="7">
        <f>F2*I2+J2</f>
        <v>341336.73249999998</v>
      </c>
      <c r="L2" s="7">
        <f t="shared" ref="L2:L12" si="0">K2*0.21</f>
        <v>71680.713824999999</v>
      </c>
      <c r="M2" s="583">
        <v>50</v>
      </c>
      <c r="N2" s="7">
        <f t="shared" ref="N2:N12" si="1">M2*F2</f>
        <v>65078.5</v>
      </c>
      <c r="O2" s="7">
        <f t="shared" ref="O2:O12" si="2">N2*0.21</f>
        <v>13666.484999999999</v>
      </c>
      <c r="P2" s="7">
        <f t="shared" ref="P2:P12" si="3">K2+N2</f>
        <v>406415.23249999998</v>
      </c>
      <c r="Q2" s="7">
        <f t="shared" ref="Q2:Q12" si="4">SUM(K2:O2)-M2</f>
        <v>491762.43132499995</v>
      </c>
      <c r="R2" s="4"/>
      <c r="S2" s="4"/>
      <c r="T2" s="4"/>
      <c r="U2" s="4"/>
      <c r="V2" s="4"/>
      <c r="W2" s="3"/>
      <c r="X2" s="3"/>
      <c r="Y2" s="3"/>
      <c r="Z2" s="3"/>
      <c r="AA2" s="542" t="s">
        <v>25</v>
      </c>
      <c r="AB2" s="4" t="s">
        <v>26</v>
      </c>
    </row>
    <row r="3" spans="1:28" ht="13.5" customHeight="1">
      <c r="A3" s="572" t="b">
        <v>1</v>
      </c>
      <c r="B3" s="605" t="b">
        <v>1</v>
      </c>
      <c r="C3" s="577" t="b">
        <v>0</v>
      </c>
      <c r="D3" s="460" t="s">
        <v>27</v>
      </c>
      <c r="E3" s="545" t="s">
        <v>21</v>
      </c>
      <c r="F3" s="457">
        <v>133.91</v>
      </c>
      <c r="G3" s="474" t="s">
        <v>24</v>
      </c>
      <c r="H3" s="6">
        <v>18</v>
      </c>
      <c r="I3" s="7">
        <f>H3*$E$33</f>
        <v>450</v>
      </c>
      <c r="J3" s="7">
        <v>3000</v>
      </c>
      <c r="K3" s="7">
        <f t="shared" ref="K3:K12" si="5">F3*I3+J3</f>
        <v>63259.5</v>
      </c>
      <c r="L3" s="9">
        <f t="shared" si="0"/>
        <v>13284.494999999999</v>
      </c>
      <c r="M3" s="7">
        <v>38</v>
      </c>
      <c r="N3" s="462">
        <f t="shared" si="1"/>
        <v>5088.58</v>
      </c>
      <c r="O3" s="7">
        <f t="shared" si="2"/>
        <v>1068.6017999999999</v>
      </c>
      <c r="P3" s="9">
        <f t="shared" si="3"/>
        <v>68348.08</v>
      </c>
      <c r="Q3" s="7">
        <f t="shared" si="4"/>
        <v>82701.176800000001</v>
      </c>
      <c r="R3" s="4"/>
      <c r="S3" s="4"/>
      <c r="T3" s="4"/>
      <c r="U3" s="4"/>
      <c r="V3" s="4"/>
      <c r="W3" s="3"/>
      <c r="X3" s="3"/>
      <c r="Y3" s="3"/>
      <c r="Z3" s="3"/>
      <c r="AA3" s="4" t="s">
        <v>28</v>
      </c>
      <c r="AB3" s="543"/>
    </row>
    <row r="4" spans="1:28" ht="13.5" customHeight="1">
      <c r="A4" s="572" t="b">
        <v>0</v>
      </c>
      <c r="B4" s="574" t="b">
        <v>0</v>
      </c>
      <c r="C4" s="577" t="b">
        <v>0</v>
      </c>
      <c r="D4" s="565" t="s">
        <v>29</v>
      </c>
      <c r="E4" s="567" t="s">
        <v>21</v>
      </c>
      <c r="F4" s="566">
        <v>386.79</v>
      </c>
      <c r="G4" s="474" t="s">
        <v>24</v>
      </c>
      <c r="H4" s="458">
        <v>10</v>
      </c>
      <c r="I4" s="7">
        <f>H4*$E$33</f>
        <v>250</v>
      </c>
      <c r="J4" s="7">
        <v>0</v>
      </c>
      <c r="K4" s="569">
        <f t="shared" si="5"/>
        <v>96697.5</v>
      </c>
      <c r="L4" s="9">
        <f t="shared" si="0"/>
        <v>20306.474999999999</v>
      </c>
      <c r="M4" s="7">
        <f>1.5*$E$33</f>
        <v>37.5</v>
      </c>
      <c r="N4" s="7">
        <f t="shared" si="1"/>
        <v>14504.625</v>
      </c>
      <c r="O4" s="7">
        <f t="shared" si="2"/>
        <v>3045.9712500000001</v>
      </c>
      <c r="P4" s="9">
        <f t="shared" si="3"/>
        <v>111202.125</v>
      </c>
      <c r="Q4" s="7">
        <f t="shared" si="4"/>
        <v>134554.57125000001</v>
      </c>
      <c r="R4" s="4"/>
      <c r="S4" s="4"/>
      <c r="T4" s="4"/>
      <c r="U4" s="4"/>
      <c r="V4" s="4"/>
      <c r="W4" s="3"/>
      <c r="X4" s="3"/>
      <c r="Y4" s="3"/>
      <c r="Z4" s="3"/>
      <c r="AA4" s="3"/>
      <c r="AB4" s="3"/>
    </row>
    <row r="5" spans="1:28" ht="13.5" customHeight="1">
      <c r="A5" s="572" t="b">
        <v>1</v>
      </c>
      <c r="B5" s="605" t="b">
        <v>1</v>
      </c>
      <c r="C5" s="577" t="b">
        <v>0</v>
      </c>
      <c r="D5" s="460" t="s">
        <v>30</v>
      </c>
      <c r="E5" s="545" t="s">
        <v>25</v>
      </c>
      <c r="F5" s="582">
        <v>248.07</v>
      </c>
      <c r="G5" s="474" t="s">
        <v>24</v>
      </c>
      <c r="H5" s="584">
        <v>13.3</v>
      </c>
      <c r="I5" s="7">
        <f>H5*$E$33</f>
        <v>332.5</v>
      </c>
      <c r="J5" s="7">
        <v>1000</v>
      </c>
      <c r="K5" s="7">
        <f t="shared" si="5"/>
        <v>83483.274999999994</v>
      </c>
      <c r="L5" s="9">
        <f t="shared" si="0"/>
        <v>17531.487749999997</v>
      </c>
      <c r="M5" s="583">
        <v>40</v>
      </c>
      <c r="N5" s="7">
        <f t="shared" si="1"/>
        <v>9922.7999999999993</v>
      </c>
      <c r="O5" s="7">
        <f t="shared" si="2"/>
        <v>2083.7879999999996</v>
      </c>
      <c r="P5" s="9">
        <f>K5+N5</f>
        <v>93406.074999999997</v>
      </c>
      <c r="Q5" s="7">
        <f t="shared" si="4"/>
        <v>113021.35075</v>
      </c>
      <c r="R5" s="4"/>
      <c r="S5" s="4"/>
      <c r="T5" s="4"/>
      <c r="U5" s="4"/>
      <c r="V5" s="4"/>
      <c r="W5" s="3"/>
      <c r="X5" s="3"/>
      <c r="Y5" s="3"/>
      <c r="Z5" s="3"/>
      <c r="AA5" s="3"/>
      <c r="AB5" s="3"/>
    </row>
    <row r="6" spans="1:28" ht="13.5" customHeight="1">
      <c r="A6" s="572" t="b">
        <v>1</v>
      </c>
      <c r="B6" s="605" t="b">
        <v>1</v>
      </c>
      <c r="C6" s="577" t="b">
        <v>0</v>
      </c>
      <c r="D6" s="460" t="s">
        <v>31</v>
      </c>
      <c r="E6" s="545" t="s">
        <v>21</v>
      </c>
      <c r="F6" s="582">
        <v>552.08000000000004</v>
      </c>
      <c r="G6" s="474" t="s">
        <v>24</v>
      </c>
      <c r="H6" s="584">
        <v>9</v>
      </c>
      <c r="I6" s="7">
        <f t="shared" ref="I6:I7" si="6">H6*$E$33</f>
        <v>225</v>
      </c>
      <c r="J6" s="7">
        <v>0</v>
      </c>
      <c r="K6" s="7">
        <f t="shared" si="5"/>
        <v>124218.00000000001</v>
      </c>
      <c r="L6" s="9">
        <f t="shared" ref="L6:L11" si="7">K6*0.21</f>
        <v>26085.780000000002</v>
      </c>
      <c r="M6" s="583">
        <f>1.5*$E$33</f>
        <v>37.5</v>
      </c>
      <c r="N6" s="7">
        <f t="shared" si="1"/>
        <v>20703</v>
      </c>
      <c r="O6" s="7">
        <f t="shared" ref="O6:O11" si="8">N6*0.21</f>
        <v>4347.63</v>
      </c>
      <c r="P6" s="9">
        <f t="shared" si="3"/>
        <v>144921</v>
      </c>
      <c r="Q6" s="7">
        <f t="shared" si="4"/>
        <v>175354.41000000003</v>
      </c>
      <c r="R6" s="4"/>
      <c r="S6" s="4"/>
      <c r="T6" s="4"/>
      <c r="U6" s="4"/>
      <c r="V6" s="4"/>
      <c r="W6" s="3"/>
      <c r="X6" s="3"/>
      <c r="Y6" s="3"/>
      <c r="Z6" s="3"/>
      <c r="AA6" s="3"/>
      <c r="AB6" s="3"/>
    </row>
    <row r="7" spans="1:28" ht="13.5" customHeight="1">
      <c r="A7" s="572" t="b">
        <v>1</v>
      </c>
      <c r="B7" s="605" t="b">
        <v>1</v>
      </c>
      <c r="C7" s="577" t="b">
        <v>0</v>
      </c>
      <c r="D7" s="460" t="s">
        <v>32</v>
      </c>
      <c r="E7" s="545" t="s">
        <v>25</v>
      </c>
      <c r="F7" s="582">
        <v>437.32</v>
      </c>
      <c r="G7" s="475" t="s">
        <v>24</v>
      </c>
      <c r="H7" s="584">
        <v>12.35</v>
      </c>
      <c r="I7" s="7">
        <f t="shared" si="6"/>
        <v>308.75</v>
      </c>
      <c r="J7" s="7">
        <v>0</v>
      </c>
      <c r="K7" s="7">
        <f t="shared" si="5"/>
        <v>135022.54999999999</v>
      </c>
      <c r="L7" s="9">
        <f t="shared" si="7"/>
        <v>28354.735499999995</v>
      </c>
      <c r="M7" s="583">
        <f>1.8*$E$33</f>
        <v>45</v>
      </c>
      <c r="N7" s="7">
        <f t="shared" si="1"/>
        <v>19679.400000000001</v>
      </c>
      <c r="O7" s="9">
        <f t="shared" si="8"/>
        <v>4132.674</v>
      </c>
      <c r="P7" s="9">
        <f t="shared" si="3"/>
        <v>154701.94999999998</v>
      </c>
      <c r="Q7" s="7">
        <f t="shared" si="4"/>
        <v>187189.35949999999</v>
      </c>
      <c r="R7" s="4"/>
      <c r="S7" s="4"/>
      <c r="T7" s="4"/>
      <c r="U7" s="4"/>
      <c r="V7" s="4"/>
      <c r="W7" s="3"/>
      <c r="X7" s="3"/>
      <c r="Y7" s="3"/>
      <c r="Z7" s="3"/>
      <c r="AA7" s="3"/>
      <c r="AB7" s="3"/>
    </row>
    <row r="8" spans="1:28" ht="13.5" customHeight="1">
      <c r="A8" s="572" t="b">
        <v>1</v>
      </c>
      <c r="B8" s="605" t="b">
        <v>1</v>
      </c>
      <c r="C8" s="572" t="b">
        <v>1</v>
      </c>
      <c r="D8" s="609" t="s">
        <v>33</v>
      </c>
      <c r="E8" s="610" t="s">
        <v>21</v>
      </c>
      <c r="F8" s="607">
        <v>54.39</v>
      </c>
      <c r="G8" s="475" t="s">
        <v>24</v>
      </c>
      <c r="H8" s="608">
        <f>65</f>
        <v>65</v>
      </c>
      <c r="I8" s="7">
        <f>H8*$E$33</f>
        <v>1625</v>
      </c>
      <c r="J8" s="7">
        <f>150*E33</f>
        <v>3750</v>
      </c>
      <c r="K8" s="7">
        <f t="shared" si="5"/>
        <v>92133.75</v>
      </c>
      <c r="L8" s="9">
        <f t="shared" si="7"/>
        <v>19348.087499999998</v>
      </c>
      <c r="M8" s="7">
        <f>N8/F8</f>
        <v>55.157198014340871</v>
      </c>
      <c r="N8" s="7">
        <v>3000</v>
      </c>
      <c r="O8" s="9">
        <f t="shared" si="8"/>
        <v>630</v>
      </c>
      <c r="P8" s="9">
        <f t="shared" si="3"/>
        <v>95133.75</v>
      </c>
      <c r="Q8" s="7">
        <f t="shared" si="4"/>
        <v>115111.83749999999</v>
      </c>
      <c r="R8" s="4"/>
      <c r="S8" s="4"/>
      <c r="T8" s="4"/>
      <c r="U8" s="4"/>
      <c r="V8" s="4"/>
      <c r="W8" s="3"/>
      <c r="X8" s="3"/>
      <c r="Y8" s="3"/>
      <c r="Z8" s="3"/>
      <c r="AA8" s="3"/>
      <c r="AB8" s="3"/>
    </row>
    <row r="9" spans="1:28" ht="13.5" customHeight="1">
      <c r="A9" s="572" t="b">
        <v>0</v>
      </c>
      <c r="B9" s="605" t="b">
        <v>1</v>
      </c>
      <c r="C9" s="572" t="b">
        <v>1</v>
      </c>
      <c r="D9" s="611" t="s">
        <v>34</v>
      </c>
      <c r="E9" s="610" t="s">
        <v>25</v>
      </c>
      <c r="F9" s="607">
        <v>833.95</v>
      </c>
      <c r="G9" s="475" t="s">
        <v>24</v>
      </c>
      <c r="H9" s="608">
        <v>8</v>
      </c>
      <c r="I9" s="7">
        <f>H9*$E$33</f>
        <v>200</v>
      </c>
      <c r="J9" s="7">
        <v>0</v>
      </c>
      <c r="K9" s="7">
        <f>F9*I9+J9</f>
        <v>166790</v>
      </c>
      <c r="L9" s="9">
        <f t="shared" si="7"/>
        <v>35025.9</v>
      </c>
      <c r="M9" s="7">
        <f>1*$E$33</f>
        <v>25</v>
      </c>
      <c r="N9" s="7">
        <f t="shared" si="1"/>
        <v>20848.75</v>
      </c>
      <c r="O9" s="9">
        <f t="shared" si="8"/>
        <v>4378.2375000000002</v>
      </c>
      <c r="P9" s="9">
        <f t="shared" si="3"/>
        <v>187638.75</v>
      </c>
      <c r="Q9" s="7">
        <f t="shared" si="4"/>
        <v>227042.88749999998</v>
      </c>
      <c r="R9" s="4"/>
      <c r="S9" s="4"/>
      <c r="T9" s="4"/>
      <c r="U9" s="4"/>
      <c r="V9" s="4"/>
      <c r="W9" s="3"/>
      <c r="X9" s="3"/>
      <c r="Y9" s="3"/>
      <c r="Z9" s="3"/>
      <c r="AA9" s="3"/>
      <c r="AB9" s="3"/>
    </row>
    <row r="10" spans="1:28" ht="13.5" customHeight="1">
      <c r="A10" s="572" t="b">
        <v>1</v>
      </c>
      <c r="B10" s="572" t="b">
        <v>0</v>
      </c>
      <c r="C10" s="572" t="b">
        <v>0</v>
      </c>
      <c r="D10" s="460" t="s">
        <v>35</v>
      </c>
      <c r="E10" s="456" t="s">
        <v>28</v>
      </c>
      <c r="F10" s="456">
        <v>1</v>
      </c>
      <c r="G10" s="456" t="s">
        <v>24</v>
      </c>
      <c r="H10" s="541">
        <f>K10/E33</f>
        <v>200</v>
      </c>
      <c r="I10" s="7">
        <v>5000</v>
      </c>
      <c r="J10" s="7">
        <v>0</v>
      </c>
      <c r="K10" s="7">
        <f t="shared" si="5"/>
        <v>5000</v>
      </c>
      <c r="L10" s="9">
        <f t="shared" si="7"/>
        <v>1050</v>
      </c>
      <c r="M10" s="7">
        <v>0</v>
      </c>
      <c r="N10" s="7">
        <f t="shared" si="1"/>
        <v>0</v>
      </c>
      <c r="O10" s="9">
        <f t="shared" si="8"/>
        <v>0</v>
      </c>
      <c r="P10" s="9">
        <f t="shared" si="3"/>
        <v>5000</v>
      </c>
      <c r="Q10" s="7">
        <f t="shared" si="4"/>
        <v>6050</v>
      </c>
      <c r="R10" s="4"/>
      <c r="S10" s="4"/>
      <c r="T10" s="4"/>
      <c r="U10" s="4"/>
      <c r="V10" s="4"/>
      <c r="W10" s="3"/>
      <c r="X10" s="3"/>
      <c r="Y10" s="3"/>
      <c r="Z10" s="3"/>
      <c r="AA10" s="3"/>
      <c r="AB10" s="3"/>
    </row>
    <row r="11" spans="1:28" ht="13.5" customHeight="1">
      <c r="A11" s="572" t="b">
        <v>1</v>
      </c>
      <c r="B11" s="572" t="b">
        <v>0</v>
      </c>
      <c r="C11" s="572" t="b">
        <v>0</v>
      </c>
      <c r="D11" s="461" t="s">
        <v>36</v>
      </c>
      <c r="E11" s="456" t="s">
        <v>28</v>
      </c>
      <c r="F11" s="456">
        <v>1</v>
      </c>
      <c r="G11" s="456" t="s">
        <v>24</v>
      </c>
      <c r="H11" s="10">
        <f>I11/E33</f>
        <v>186.66666666666669</v>
      </c>
      <c r="I11" s="7">
        <f>56000/12</f>
        <v>4666.666666666667</v>
      </c>
      <c r="J11" s="7"/>
      <c r="K11" s="7">
        <f t="shared" si="5"/>
        <v>4666.666666666667</v>
      </c>
      <c r="L11" s="9">
        <f t="shared" si="7"/>
        <v>980</v>
      </c>
      <c r="M11" s="7">
        <v>0</v>
      </c>
      <c r="N11" s="7">
        <f t="shared" si="1"/>
        <v>0</v>
      </c>
      <c r="O11" s="9">
        <f t="shared" si="8"/>
        <v>0</v>
      </c>
      <c r="P11" s="9">
        <f t="shared" si="3"/>
        <v>4666.666666666667</v>
      </c>
      <c r="Q11" s="7">
        <f t="shared" si="4"/>
        <v>5646.666666666667</v>
      </c>
      <c r="R11" s="11"/>
      <c r="S11" s="4"/>
      <c r="T11" s="4"/>
      <c r="U11" s="4"/>
      <c r="V11" s="4"/>
      <c r="W11" s="3"/>
      <c r="X11" s="3"/>
      <c r="Y11" s="3"/>
      <c r="Z11" s="3"/>
      <c r="AA11" s="3"/>
      <c r="AB11" s="3"/>
    </row>
    <row r="12" spans="1:28" ht="13.5" customHeight="1">
      <c r="A12" s="573"/>
      <c r="B12" s="573"/>
      <c r="C12" s="573"/>
      <c r="D12" s="8" t="s">
        <v>37</v>
      </c>
      <c r="E12" s="456" t="s">
        <v>28</v>
      </c>
      <c r="F12" s="456">
        <v>1</v>
      </c>
      <c r="G12" s="456" t="s">
        <v>24</v>
      </c>
      <c r="H12" s="10">
        <f>I12/24.4</f>
        <v>102.45901639344262</v>
      </c>
      <c r="I12" s="7">
        <v>2500</v>
      </c>
      <c r="J12" s="7"/>
      <c r="K12" s="7">
        <f t="shared" si="5"/>
        <v>2500</v>
      </c>
      <c r="L12" s="9">
        <f t="shared" si="0"/>
        <v>525</v>
      </c>
      <c r="M12" s="7">
        <v>0</v>
      </c>
      <c r="N12" s="7">
        <f t="shared" si="1"/>
        <v>0</v>
      </c>
      <c r="O12" s="9">
        <f t="shared" si="2"/>
        <v>0</v>
      </c>
      <c r="P12" s="9">
        <f t="shared" si="3"/>
        <v>2500</v>
      </c>
      <c r="Q12" s="7">
        <f t="shared" si="4"/>
        <v>3025</v>
      </c>
      <c r="R12" s="11"/>
      <c r="S12" s="4"/>
      <c r="T12" s="4"/>
      <c r="U12" s="4"/>
      <c r="V12" s="4"/>
      <c r="W12" s="3"/>
      <c r="X12" s="3"/>
      <c r="Y12" s="3"/>
      <c r="Z12" s="3"/>
      <c r="AA12" s="3"/>
      <c r="AB12" s="3"/>
    </row>
    <row r="13" spans="1:28" ht="13.5" customHeight="1">
      <c r="D13" s="12" t="s">
        <v>38</v>
      </c>
      <c r="E13" s="4"/>
      <c r="F13" s="476">
        <f>SUM(F2:F12)</f>
        <v>3951.08</v>
      </c>
      <c r="G13" s="4"/>
      <c r="H13" s="13"/>
      <c r="I13" s="4"/>
      <c r="J13" s="4"/>
      <c r="K13" s="14">
        <f>SUM(K2:K12)</f>
        <v>1115107.9741666666</v>
      </c>
      <c r="L13" s="4"/>
      <c r="M13" s="4"/>
      <c r="N13" s="14">
        <f>SUM(N2:N12)</f>
        <v>158825.655</v>
      </c>
      <c r="O13" s="4"/>
      <c r="P13" s="14">
        <f>(K13+N13)*12</f>
        <v>15287203.550000001</v>
      </c>
      <c r="Q13" s="4"/>
      <c r="R13" s="4"/>
      <c r="S13" s="4"/>
      <c r="T13" s="4"/>
      <c r="U13" s="4"/>
      <c r="V13" s="4"/>
      <c r="W13" s="3"/>
      <c r="X13" s="3"/>
      <c r="Y13" s="3"/>
      <c r="Z13" s="3"/>
      <c r="AA13" s="3"/>
      <c r="AB13" s="3"/>
    </row>
    <row r="14" spans="1:28" ht="13.5" customHeight="1">
      <c r="D14" s="3"/>
      <c r="E14" s="3"/>
      <c r="F14" s="3"/>
      <c r="G14" s="3"/>
      <c r="H14" s="3"/>
      <c r="I14" s="578"/>
      <c r="J14" s="3"/>
      <c r="K14" s="580"/>
      <c r="L14" s="3"/>
      <c r="M14" s="3"/>
      <c r="N14" s="16">
        <f>N13*12</f>
        <v>1905907.8599999999</v>
      </c>
      <c r="O14" s="3"/>
      <c r="P14" s="15">
        <f>K14+N14</f>
        <v>1905907.8599999999</v>
      </c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13.5" customHeight="1">
      <c r="D15" s="3" t="s">
        <v>39</v>
      </c>
      <c r="E15" s="3"/>
      <c r="F15" s="17"/>
      <c r="G15" s="3"/>
      <c r="H15" s="562"/>
      <c r="I15" s="578"/>
      <c r="J15" s="3"/>
      <c r="K15" s="580"/>
      <c r="L15" s="3"/>
      <c r="M15" s="3"/>
      <c r="N15" s="3"/>
      <c r="O15" s="3"/>
      <c r="P15" s="16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13.5" customHeight="1">
      <c r="D16" s="3" t="s">
        <v>40</v>
      </c>
      <c r="E16" s="3">
        <v>3933</v>
      </c>
      <c r="F16" s="3"/>
      <c r="G16" s="3"/>
      <c r="H16" s="3"/>
      <c r="I16" s="578"/>
      <c r="J16" s="3"/>
      <c r="K16" s="3"/>
      <c r="L16" s="3"/>
      <c r="M16" s="563"/>
      <c r="N16" s="3"/>
      <c r="O16" s="3"/>
      <c r="P16" s="597">
        <f>P2*12</f>
        <v>4876982.79</v>
      </c>
      <c r="Q16" s="3"/>
      <c r="R16" s="3"/>
      <c r="S16" s="600" t="s">
        <v>23</v>
      </c>
      <c r="T16" s="602">
        <f>P2*12*0.075</f>
        <v>365773.70925000001</v>
      </c>
      <c r="U16" s="3"/>
      <c r="V16" s="3"/>
      <c r="W16" s="3"/>
      <c r="X16" s="3"/>
      <c r="Y16" s="3"/>
      <c r="Z16" s="3"/>
      <c r="AA16" s="3"/>
      <c r="AB16" s="3"/>
    </row>
    <row r="17" spans="4:22" ht="13.5" customHeight="1">
      <c r="D17" s="3"/>
      <c r="E17" s="3"/>
      <c r="F17" s="3"/>
      <c r="G17" s="3"/>
      <c r="H17" s="554"/>
      <c r="I17" s="578"/>
      <c r="J17" s="3"/>
      <c r="K17" s="454"/>
      <c r="L17" s="455"/>
      <c r="M17" s="563"/>
      <c r="N17" s="3"/>
      <c r="O17" s="3"/>
      <c r="P17" s="597">
        <f>P16*0.15</f>
        <v>731547.41850000003</v>
      </c>
      <c r="Q17" s="3"/>
      <c r="R17" s="3"/>
      <c r="S17" s="460" t="s">
        <v>27</v>
      </c>
      <c r="T17" s="599">
        <f t="shared" ref="T17:T25" si="9">P3*12*0.075</f>
        <v>61513.271999999997</v>
      </c>
      <c r="U17" s="3"/>
      <c r="V17" s="3"/>
    </row>
    <row r="18" spans="4:22" ht="13.5" customHeight="1">
      <c r="D18" s="3" t="s">
        <v>41</v>
      </c>
      <c r="E18" s="546">
        <f>E16-F13</f>
        <v>-18.079999999999927</v>
      </c>
      <c r="F18" s="3"/>
      <c r="G18" s="3"/>
      <c r="H18" s="554"/>
      <c r="I18" s="578"/>
      <c r="J18" s="543"/>
      <c r="K18" s="454"/>
      <c r="L18" s="455"/>
      <c r="M18" s="563"/>
      <c r="N18" s="3"/>
      <c r="O18" s="3"/>
      <c r="P18" s="597"/>
      <c r="Q18" s="3"/>
      <c r="R18" s="3"/>
      <c r="S18" s="565" t="s">
        <v>29</v>
      </c>
      <c r="T18" s="599">
        <f t="shared" si="9"/>
        <v>100081.91249999999</v>
      </c>
      <c r="U18" s="3"/>
      <c r="V18" s="3"/>
    </row>
    <row r="19" spans="4:22" ht="13.5" customHeight="1">
      <c r="D19" s="543" t="s">
        <v>42</v>
      </c>
      <c r="E19" s="547">
        <f>F13/E16</f>
        <v>1.0045969997457411</v>
      </c>
      <c r="F19" s="543"/>
      <c r="G19" s="543"/>
      <c r="H19" s="554"/>
      <c r="I19" s="578"/>
      <c r="J19" s="543"/>
      <c r="K19" s="454"/>
      <c r="L19" s="543"/>
      <c r="M19" s="563"/>
      <c r="N19" s="543"/>
      <c r="O19" s="543"/>
      <c r="P19" s="543"/>
      <c r="Q19" s="543"/>
      <c r="R19" s="3"/>
      <c r="S19" s="601" t="s">
        <v>30</v>
      </c>
      <c r="T19" s="602">
        <f t="shared" si="9"/>
        <v>84065.467499999984</v>
      </c>
      <c r="U19" s="3"/>
      <c r="V19" s="3"/>
    </row>
    <row r="20" spans="4:22" ht="13.5" customHeight="1">
      <c r="D20" s="543" t="s">
        <v>43</v>
      </c>
      <c r="E20" s="547">
        <v>0.7</v>
      </c>
      <c r="F20" s="543"/>
      <c r="G20" s="543"/>
      <c r="H20" s="554"/>
      <c r="I20" s="578"/>
      <c r="J20" s="543"/>
      <c r="K20" s="454"/>
      <c r="L20" s="604"/>
      <c r="M20" s="563"/>
      <c r="N20" s="543"/>
      <c r="O20" s="543"/>
      <c r="P20" s="543"/>
      <c r="Q20" s="543"/>
      <c r="R20" s="3"/>
      <c r="S20" s="601" t="s">
        <v>31</v>
      </c>
      <c r="T20" s="602">
        <f t="shared" si="9"/>
        <v>130428.9</v>
      </c>
      <c r="U20" s="3"/>
      <c r="V20" s="3"/>
    </row>
    <row r="21" spans="4:22" ht="13.5" customHeight="1">
      <c r="D21" s="543" t="s">
        <v>44</v>
      </c>
      <c r="E21" s="547">
        <v>0.75</v>
      </c>
      <c r="F21" s="543"/>
      <c r="G21" s="543"/>
      <c r="H21" s="554"/>
      <c r="I21" s="578"/>
      <c r="J21" s="543"/>
      <c r="K21" s="454"/>
      <c r="L21" s="543"/>
      <c r="M21" s="563"/>
      <c r="N21" s="543"/>
      <c r="O21" s="543"/>
      <c r="P21" s="543"/>
      <c r="Q21" s="543"/>
      <c r="R21" s="3"/>
      <c r="S21" s="601" t="s">
        <v>32</v>
      </c>
      <c r="T21" s="602">
        <f>P7*12*0.075</f>
        <v>139231.75499999998</v>
      </c>
      <c r="U21" s="3"/>
      <c r="V21" s="3"/>
    </row>
    <row r="22" spans="4:22" ht="13.5" customHeight="1">
      <c r="D22" s="543" t="s">
        <v>45</v>
      </c>
      <c r="E22" s="557">
        <v>547605</v>
      </c>
      <c r="F22" s="543"/>
      <c r="G22" s="543"/>
      <c r="H22" s="554"/>
      <c r="I22" s="578"/>
      <c r="J22" s="543"/>
      <c r="K22" s="454"/>
      <c r="L22" s="543"/>
      <c r="M22" s="563"/>
      <c r="N22" s="543"/>
      <c r="O22" s="543"/>
      <c r="P22" s="543"/>
      <c r="Q22" s="543"/>
      <c r="R22" s="3"/>
      <c r="S22" s="565" t="s">
        <v>33</v>
      </c>
      <c r="T22" s="599">
        <f t="shared" si="9"/>
        <v>85620.375</v>
      </c>
      <c r="U22" s="3"/>
      <c r="V22" s="3"/>
    </row>
    <row r="23" spans="4:22" ht="13.5" customHeight="1">
      <c r="D23" s="543" t="s">
        <v>45</v>
      </c>
      <c r="E23" s="558">
        <f>E22*E33</f>
        <v>13690125</v>
      </c>
      <c r="F23" s="543"/>
      <c r="G23" s="559"/>
      <c r="H23" s="554"/>
      <c r="I23" s="578"/>
      <c r="J23" s="560"/>
      <c r="K23" s="454"/>
      <c r="L23" s="579"/>
      <c r="M23" s="563"/>
      <c r="N23" s="543"/>
      <c r="O23" s="543"/>
      <c r="P23" s="543"/>
      <c r="Q23" s="543"/>
      <c r="R23" s="3"/>
      <c r="S23" s="568" t="s">
        <v>34</v>
      </c>
      <c r="T23" s="599">
        <f t="shared" si="9"/>
        <v>168874.875</v>
      </c>
      <c r="U23" s="3"/>
      <c r="V23" s="3"/>
    </row>
    <row r="24" spans="4:22" ht="13.5" customHeight="1">
      <c r="D24" s="543" t="s">
        <v>46</v>
      </c>
      <c r="E24" s="547">
        <f>K14/E23</f>
        <v>0</v>
      </c>
      <c r="F24" s="543"/>
      <c r="G24" s="543"/>
      <c r="H24" s="554"/>
      <c r="I24" s="578"/>
      <c r="J24" s="543"/>
      <c r="K24" s="454"/>
      <c r="L24" s="579"/>
      <c r="M24" s="563"/>
      <c r="N24" s="543"/>
      <c r="O24" s="543"/>
      <c r="P24" s="543"/>
      <c r="Q24" s="543"/>
      <c r="R24" s="3"/>
      <c r="S24" s="460" t="s">
        <v>35</v>
      </c>
      <c r="T24" s="599">
        <f t="shared" si="9"/>
        <v>4500</v>
      </c>
      <c r="U24" s="3"/>
      <c r="V24" s="3"/>
    </row>
    <row r="25" spans="4:22" ht="13.5" customHeight="1">
      <c r="D25" s="543" t="s">
        <v>47</v>
      </c>
      <c r="E25" s="547">
        <v>0.7</v>
      </c>
      <c r="F25" s="543"/>
      <c r="G25" s="543"/>
      <c r="H25" s="554"/>
      <c r="I25" s="543"/>
      <c r="J25" s="543"/>
      <c r="K25" s="543"/>
      <c r="L25" s="543"/>
      <c r="M25" s="563"/>
      <c r="N25" s="564"/>
      <c r="O25" s="560"/>
      <c r="P25" s="560"/>
      <c r="Q25" s="560"/>
      <c r="R25" s="3"/>
      <c r="S25" s="461" t="s">
        <v>36</v>
      </c>
      <c r="T25" s="599">
        <f t="shared" si="9"/>
        <v>4200</v>
      </c>
      <c r="U25" s="3"/>
      <c r="V25" s="3"/>
    </row>
    <row r="26" spans="4:22" ht="13.5" customHeight="1">
      <c r="D26" s="543" t="s">
        <v>48</v>
      </c>
      <c r="E26" s="557">
        <f>(E23-K14)/F29/12/E33</f>
        <v>-2523.9905973451432</v>
      </c>
      <c r="F26" s="543"/>
      <c r="G26" s="543"/>
      <c r="H26" s="554"/>
      <c r="I26" s="543"/>
      <c r="J26" s="543"/>
      <c r="K26" s="543"/>
      <c r="L26" s="543"/>
      <c r="M26" s="543"/>
      <c r="N26" s="543"/>
      <c r="O26" s="543"/>
      <c r="P26" s="543"/>
      <c r="Q26" s="543"/>
      <c r="R26" s="3"/>
      <c r="S26" s="3"/>
      <c r="T26" s="599">
        <f>SUM(T16:T25)</f>
        <v>1144290.2662500001</v>
      </c>
      <c r="U26" s="599">
        <f>T16+T19+T20+T21</f>
        <v>719499.83175000001</v>
      </c>
      <c r="V26" s="599">
        <f>U26</f>
        <v>719499.83175000001</v>
      </c>
    </row>
    <row r="27" spans="4:22" ht="13.5" customHeight="1">
      <c r="D27" s="543"/>
      <c r="E27" s="547"/>
      <c r="F27" s="543"/>
      <c r="G27" s="543"/>
      <c r="H27" s="543"/>
      <c r="I27" s="543"/>
      <c r="J27" s="543"/>
      <c r="K27" s="543"/>
      <c r="L27" s="543"/>
      <c r="M27" s="543"/>
      <c r="N27" s="543"/>
      <c r="O27" s="543"/>
      <c r="P27" s="543"/>
      <c r="Q27" s="543"/>
      <c r="R27" s="3"/>
      <c r="S27" s="3"/>
      <c r="T27" s="599">
        <f>T26*2</f>
        <v>2288580.5325000002</v>
      </c>
      <c r="U27" s="3"/>
      <c r="V27" s="3"/>
    </row>
    <row r="28" spans="4:22" ht="13.5" customHeight="1">
      <c r="D28" s="551" t="s">
        <v>49</v>
      </c>
      <c r="E28" s="552"/>
      <c r="F28" s="551"/>
      <c r="G28" s="551"/>
      <c r="H28" s="551"/>
      <c r="I28" s="551"/>
      <c r="J28" s="551"/>
      <c r="K28" s="551"/>
      <c r="L28" s="551"/>
      <c r="M28" s="551"/>
      <c r="N28" s="551"/>
      <c r="O28" s="551"/>
      <c r="P28" s="551"/>
      <c r="Q28" s="551"/>
      <c r="R28" s="543"/>
      <c r="S28" s="3"/>
      <c r="T28" s="3"/>
      <c r="U28" s="3"/>
      <c r="V28" s="3"/>
    </row>
    <row r="29" spans="4:22" ht="13.5" customHeight="1">
      <c r="D29" s="4" t="s">
        <v>41</v>
      </c>
      <c r="E29" s="459" t="s">
        <v>21</v>
      </c>
      <c r="F29" s="4">
        <f>E16-F13</f>
        <v>-18.079999999999927</v>
      </c>
      <c r="G29" s="4" t="s">
        <v>24</v>
      </c>
      <c r="H29" s="549">
        <v>9</v>
      </c>
      <c r="I29" s="550">
        <f t="shared" ref="I29" si="10">H29*$E$33</f>
        <v>225</v>
      </c>
      <c r="J29" s="550">
        <v>0</v>
      </c>
      <c r="K29" s="550">
        <f>F29*I29+J29</f>
        <v>-4067.9999999999836</v>
      </c>
      <c r="L29" s="550">
        <f>K29*0.21</f>
        <v>-854.27999999999656</v>
      </c>
      <c r="M29" s="550">
        <f>1.5*$E$33</f>
        <v>37.5</v>
      </c>
      <c r="N29" s="550">
        <f>M29*F29</f>
        <v>-677.99999999999727</v>
      </c>
      <c r="O29" s="550">
        <f t="shared" ref="O29" si="11">N29*0.21</f>
        <v>-142.37999999999943</v>
      </c>
      <c r="P29" s="550">
        <f>K29+N29</f>
        <v>-4745.9999999999809</v>
      </c>
      <c r="Q29" s="550">
        <f>SUM(K29:O29)-M29</f>
        <v>-5742.6599999999771</v>
      </c>
      <c r="R29" s="543"/>
      <c r="S29" s="3"/>
      <c r="T29" s="3"/>
      <c r="U29" s="3"/>
      <c r="V29" s="3"/>
    </row>
    <row r="30" spans="4:22" ht="13.5" customHeight="1">
      <c r="D30" s="543"/>
      <c r="E30" s="553"/>
      <c r="F30" s="553"/>
      <c r="G30" s="553"/>
      <c r="H30" s="553"/>
      <c r="I30" s="553"/>
      <c r="J30" s="543"/>
      <c r="K30" s="543"/>
      <c r="L30" s="543"/>
      <c r="M30" s="543"/>
      <c r="N30" s="543"/>
      <c r="O30" s="543"/>
      <c r="P30" s="543"/>
      <c r="Q30" s="548"/>
      <c r="R30" s="543"/>
      <c r="S30" s="3"/>
      <c r="T30" s="3"/>
      <c r="U30" s="3"/>
      <c r="V30" s="3"/>
    </row>
    <row r="31" spans="4:22" ht="13.5" customHeight="1">
      <c r="D31" s="4" t="s">
        <v>50</v>
      </c>
      <c r="E31" s="555">
        <f>K14+K29*12</f>
        <v>-48815.999999999804</v>
      </c>
      <c r="F31" s="556"/>
      <c r="G31" s="554"/>
      <c r="H31" s="473"/>
      <c r="I31" s="18"/>
      <c r="J31" s="3"/>
      <c r="K31" s="3"/>
      <c r="L31" s="3"/>
      <c r="M31" s="3"/>
      <c r="N31" s="3"/>
      <c r="O31" s="3"/>
      <c r="P31" s="3"/>
      <c r="Q31" s="548"/>
      <c r="R31" s="543"/>
      <c r="S31" s="3"/>
      <c r="T31" s="3"/>
      <c r="U31" s="3"/>
      <c r="V31" s="3"/>
    </row>
    <row r="33" spans="4:9" ht="13.5" customHeight="1">
      <c r="D33" s="3" t="s">
        <v>51</v>
      </c>
      <c r="E33" s="17">
        <v>25</v>
      </c>
      <c r="F33" s="3"/>
      <c r="G33" s="3"/>
      <c r="H33" s="3"/>
      <c r="I33" s="3"/>
    </row>
    <row r="34" spans="4:9" ht="13.5" customHeight="1">
      <c r="D34" s="3"/>
      <c r="E34" s="3"/>
      <c r="F34" s="3"/>
      <c r="G34" s="3"/>
      <c r="H34" s="578"/>
      <c r="I34" s="3"/>
    </row>
    <row r="35" spans="4:9" ht="13.5" customHeight="1">
      <c r="D35" s="3"/>
      <c r="E35" s="3"/>
      <c r="F35" s="3"/>
      <c r="G35" s="3"/>
      <c r="H35" s="578"/>
      <c r="I35" s="3"/>
    </row>
    <row r="36" spans="4:9" ht="13.5" customHeight="1">
      <c r="D36" s="3"/>
      <c r="E36" s="3"/>
      <c r="F36" s="3"/>
      <c r="G36" s="3"/>
      <c r="H36" s="578"/>
      <c r="I36" s="3"/>
    </row>
    <row r="37" spans="4:9" ht="13.5" customHeight="1">
      <c r="D37" s="3"/>
      <c r="E37" s="3"/>
      <c r="F37" s="3"/>
      <c r="G37" s="3"/>
      <c r="H37" s="578"/>
      <c r="I37" s="3"/>
    </row>
    <row r="38" spans="4:9" ht="13.5" customHeight="1">
      <c r="D38" s="3"/>
      <c r="E38" s="3"/>
      <c r="F38" s="3"/>
      <c r="G38" s="3"/>
      <c r="H38" s="578"/>
      <c r="I38" s="3"/>
    </row>
    <row r="39" spans="4:9" ht="13.5" customHeight="1">
      <c r="D39" s="3"/>
      <c r="E39" s="3"/>
      <c r="F39" s="3"/>
      <c r="G39" s="3"/>
      <c r="H39" s="578"/>
      <c r="I39" s="3"/>
    </row>
    <row r="40" spans="4:9" ht="13.5" customHeight="1">
      <c r="D40" s="3"/>
      <c r="E40" s="3"/>
      <c r="F40" s="3"/>
      <c r="G40" s="3"/>
      <c r="H40" s="578"/>
      <c r="I40" s="3"/>
    </row>
    <row r="41" spans="4:9" ht="13.5" customHeight="1">
      <c r="D41" s="3"/>
      <c r="E41" s="3"/>
      <c r="F41" s="3"/>
      <c r="G41" s="3"/>
      <c r="H41" s="578"/>
      <c r="I41" s="3"/>
    </row>
    <row r="42" spans="4:9" ht="13.5" customHeight="1">
      <c r="D42" s="3"/>
      <c r="E42" s="3"/>
      <c r="F42" s="3"/>
      <c r="G42" s="3"/>
      <c r="H42" s="578"/>
      <c r="I42" s="3"/>
    </row>
    <row r="43" spans="4:9" ht="13.5" customHeight="1">
      <c r="D43" s="3"/>
      <c r="E43" s="3"/>
      <c r="F43" s="3"/>
      <c r="G43" s="3"/>
      <c r="H43" s="578"/>
      <c r="I43" s="3"/>
    </row>
    <row r="44" spans="4:9" ht="13.5" customHeight="1">
      <c r="D44" s="3"/>
      <c r="E44" s="3"/>
      <c r="F44" s="3"/>
      <c r="G44" s="3"/>
      <c r="H44" s="578"/>
      <c r="I44" s="3"/>
    </row>
    <row r="45" spans="4:9" ht="13.5" customHeight="1">
      <c r="D45" s="3"/>
      <c r="E45" s="3"/>
      <c r="F45" s="3"/>
      <c r="G45" s="3"/>
      <c r="H45" s="578"/>
      <c r="I45" s="18"/>
    </row>
  </sheetData>
  <conditionalFormatting sqref="D2:D12">
    <cfRule type="cellIs" dxfId="21" priority="13" operator="equal">
      <formula>0</formula>
    </cfRule>
  </conditionalFormatting>
  <conditionalFormatting sqref="E29">
    <cfRule type="cellIs" dxfId="20" priority="6" operator="equal">
      <formula>0</formula>
    </cfRule>
  </conditionalFormatting>
  <conditionalFormatting sqref="E2:G10 H2:M11 H12:O12">
    <cfRule type="cellIs" dxfId="19" priority="11" operator="equal">
      <formula>0</formula>
    </cfRule>
  </conditionalFormatting>
  <conditionalFormatting sqref="H29:P29">
    <cfRule type="cellIs" dxfId="18" priority="3" operator="equal">
      <formula>0</formula>
    </cfRule>
  </conditionalFormatting>
  <conditionalFormatting sqref="N2:O5 P3:P12 N6:P11">
    <cfRule type="cellIs" dxfId="17" priority="14" operator="equal">
      <formula>0</formula>
    </cfRule>
  </conditionalFormatting>
  <conditionalFormatting sqref="S16:S25">
    <cfRule type="cellIs" dxfId="16" priority="1" operator="equal">
      <formula>0</formula>
    </cfRule>
  </conditionalFormatting>
  <dataValidations count="1">
    <dataValidation type="list" allowBlank="1" showErrorMessage="1" sqref="E29:E30 E2:E12" xr:uid="{4755A0E7-0DEE-5A4F-BD3C-2C155E1C9240}">
      <formula1>$AA$2:$AA$4</formula1>
    </dataValidation>
  </dataValidations>
  <pageMargins left="0.7" right="0.7" top="0.75" bottom="0.75" header="0" footer="0"/>
  <pageSetup orientation="landscape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B2:T79"/>
  <sheetViews>
    <sheetView topLeftCell="B19" workbookViewId="0">
      <selection activeCell="B2" sqref="B2:C4"/>
    </sheetView>
  </sheetViews>
  <sheetFormatPr baseColWidth="10" defaultColWidth="12.6640625" defaultRowHeight="15" customHeight="1"/>
  <cols>
    <col min="1" max="10" width="12.6640625" customWidth="1"/>
    <col min="16" max="16" width="15.1640625" bestFit="1" customWidth="1"/>
  </cols>
  <sheetData>
    <row r="2" spans="2:20" ht="15" customHeight="1">
      <c r="B2" s="673" t="s">
        <v>370</v>
      </c>
      <c r="C2" s="640"/>
      <c r="D2" s="640"/>
      <c r="E2" s="640"/>
      <c r="G2" s="673" t="s">
        <v>371</v>
      </c>
      <c r="H2" s="640"/>
      <c r="I2" s="640"/>
      <c r="J2" s="640"/>
      <c r="L2" s="673" t="s">
        <v>372</v>
      </c>
      <c r="M2" s="640"/>
      <c r="N2" s="640"/>
      <c r="O2" s="640"/>
      <c r="Q2" s="673" t="s">
        <v>373</v>
      </c>
      <c r="R2" s="640"/>
      <c r="S2" s="640"/>
      <c r="T2" s="640"/>
    </row>
    <row r="3" spans="2:20" ht="15" customHeight="1">
      <c r="B3" s="640"/>
      <c r="C3" s="640"/>
      <c r="D3" s="640"/>
      <c r="E3" s="640"/>
      <c r="G3" s="640"/>
      <c r="H3" s="640"/>
      <c r="I3" s="640"/>
      <c r="J3" s="640"/>
      <c r="L3" s="640"/>
      <c r="M3" s="640"/>
      <c r="N3" s="640"/>
      <c r="O3" s="640"/>
      <c r="Q3" s="640"/>
      <c r="R3" s="640"/>
      <c r="S3" s="640"/>
      <c r="T3" s="640"/>
    </row>
    <row r="7" spans="2:20" ht="15" customHeight="1">
      <c r="B7" s="340" t="s">
        <v>374</v>
      </c>
      <c r="C7" s="341" t="s">
        <v>375</v>
      </c>
      <c r="D7" s="342" t="s">
        <v>331</v>
      </c>
      <c r="E7" s="343" t="s">
        <v>376</v>
      </c>
      <c r="G7" s="340" t="s">
        <v>374</v>
      </c>
      <c r="H7" s="341" t="s">
        <v>375</v>
      </c>
      <c r="I7" s="342" t="s">
        <v>331</v>
      </c>
      <c r="J7" s="343" t="s">
        <v>376</v>
      </c>
      <c r="L7" s="340" t="s">
        <v>374</v>
      </c>
      <c r="M7" s="341" t="s">
        <v>375</v>
      </c>
      <c r="N7" s="342" t="s">
        <v>331</v>
      </c>
      <c r="O7" s="343" t="s">
        <v>376</v>
      </c>
      <c r="Q7" s="340" t="s">
        <v>374</v>
      </c>
      <c r="R7" s="341" t="s">
        <v>375</v>
      </c>
      <c r="S7" s="342" t="s">
        <v>331</v>
      </c>
      <c r="T7" s="343" t="s">
        <v>376</v>
      </c>
    </row>
    <row r="8" spans="2:20" ht="15" customHeight="1">
      <c r="B8" s="344">
        <v>45292</v>
      </c>
      <c r="C8" s="345">
        <f t="array" ref="C8:C79">TRANSPOSE('Cash-flow'!E111:BX111)</f>
        <v>0</v>
      </c>
      <c r="D8" s="346">
        <f>0-C8</f>
        <v>0</v>
      </c>
      <c r="E8" s="347">
        <f>D8*'Cash-flow'!$D$55/12</f>
        <v>0</v>
      </c>
      <c r="G8" s="344">
        <v>45292</v>
      </c>
      <c r="H8" s="348">
        <f t="array" ref="H8:H79">TRANSPOSE('Cash-flow'!E126:BX126)</f>
        <v>0</v>
      </c>
      <c r="I8" s="346">
        <f>0-H8</f>
        <v>0</v>
      </c>
      <c r="J8" s="347">
        <f>I8*'Cash-flow'!$D$56/12</f>
        <v>0</v>
      </c>
      <c r="L8" s="344">
        <v>45292</v>
      </c>
      <c r="M8" s="348">
        <f t="array" ref="M8:M79">TRANSPOSE('Cash-flow 6.2025'!E126:BX126)</f>
        <v>0</v>
      </c>
      <c r="N8" s="346">
        <f>0-M8</f>
        <v>0</v>
      </c>
      <c r="O8" s="347">
        <f>N8*'Cash-flow 6.2025'!$D$57/12</f>
        <v>0</v>
      </c>
      <c r="Q8" s="344">
        <v>45292</v>
      </c>
      <c r="R8" s="345">
        <f t="array" ref="R8:R79">TRANSPOSE('Cash-flow'!E159:BX159)</f>
        <v>0</v>
      </c>
      <c r="S8" s="346">
        <f>0-R8</f>
        <v>0</v>
      </c>
      <c r="T8" s="347">
        <f>S8*'Cash-flow 6.2025'!$D$58/12</f>
        <v>0</v>
      </c>
    </row>
    <row r="9" spans="2:20" ht="15" customHeight="1">
      <c r="B9" s="349">
        <v>45323</v>
      </c>
      <c r="C9" s="345">
        <v>0</v>
      </c>
      <c r="D9" s="346">
        <f t="shared" ref="D9:D78" si="0">D8-C9</f>
        <v>0</v>
      </c>
      <c r="E9" s="347">
        <f>D9*'Cash-flow'!$D$55/12</f>
        <v>0</v>
      </c>
      <c r="G9" s="349">
        <v>45323</v>
      </c>
      <c r="H9" s="345">
        <v>0</v>
      </c>
      <c r="I9" s="346">
        <f t="shared" ref="I9:I78" si="1">I8-H9</f>
        <v>0</v>
      </c>
      <c r="J9" s="347">
        <f>I9*'Cash-flow'!$D$56/12</f>
        <v>0</v>
      </c>
      <c r="L9" s="349">
        <v>45323</v>
      </c>
      <c r="M9" s="345">
        <v>0</v>
      </c>
      <c r="N9" s="346">
        <f t="shared" ref="N9:N78" si="2">N8-M9</f>
        <v>0</v>
      </c>
      <c r="O9" s="347">
        <f>N9*'Cash-flow 6.2025'!$D$57/12</f>
        <v>0</v>
      </c>
      <c r="Q9" s="349">
        <v>45323</v>
      </c>
      <c r="R9" s="345">
        <v>0</v>
      </c>
      <c r="S9" s="346">
        <f t="shared" ref="S9:S78" si="3">S8-R9</f>
        <v>0</v>
      </c>
      <c r="T9" s="347">
        <f>S9*'Cash-flow 6.2025'!$D$58/12</f>
        <v>0</v>
      </c>
    </row>
    <row r="10" spans="2:20" ht="15" customHeight="1">
      <c r="B10" s="349">
        <v>45352</v>
      </c>
      <c r="C10" s="345">
        <v>0</v>
      </c>
      <c r="D10" s="346">
        <f t="shared" si="0"/>
        <v>0</v>
      </c>
      <c r="E10" s="347">
        <f>D10*'Cash-flow'!$D$55/12</f>
        <v>0</v>
      </c>
      <c r="G10" s="349">
        <v>45352</v>
      </c>
      <c r="H10" s="345">
        <v>0</v>
      </c>
      <c r="I10" s="346">
        <f t="shared" si="1"/>
        <v>0</v>
      </c>
      <c r="J10" s="347">
        <f>I10*'Cash-flow'!$D$56/12</f>
        <v>0</v>
      </c>
      <c r="L10" s="349">
        <v>45352</v>
      </c>
      <c r="M10" s="345">
        <v>0</v>
      </c>
      <c r="N10" s="346">
        <f t="shared" si="2"/>
        <v>0</v>
      </c>
      <c r="O10" s="347">
        <f>N10*'Cash-flow 6.2025'!$D$57/12</f>
        <v>0</v>
      </c>
      <c r="Q10" s="349">
        <v>45352</v>
      </c>
      <c r="R10" s="345">
        <v>0</v>
      </c>
      <c r="S10" s="346">
        <f t="shared" si="3"/>
        <v>0</v>
      </c>
      <c r="T10" s="347">
        <f>S10*'Cash-flow 6.2025'!$D$58/12</f>
        <v>0</v>
      </c>
    </row>
    <row r="11" spans="2:20" ht="15" customHeight="1">
      <c r="B11" s="349">
        <v>45383</v>
      </c>
      <c r="C11" s="345">
        <v>0</v>
      </c>
      <c r="D11" s="346">
        <f t="shared" si="0"/>
        <v>0</v>
      </c>
      <c r="E11" s="347">
        <f>D11*'Cash-flow'!$D$55/12</f>
        <v>0</v>
      </c>
      <c r="G11" s="349">
        <v>45383</v>
      </c>
      <c r="H11" s="345">
        <v>0</v>
      </c>
      <c r="I11" s="346">
        <f t="shared" si="1"/>
        <v>0</v>
      </c>
      <c r="J11" s="347">
        <f>I11*'Cash-flow'!$D$56/12</f>
        <v>0</v>
      </c>
      <c r="L11" s="349">
        <v>45383</v>
      </c>
      <c r="M11" s="345">
        <v>0</v>
      </c>
      <c r="N11" s="346">
        <f t="shared" si="2"/>
        <v>0</v>
      </c>
      <c r="O11" s="347">
        <f>N11*'Cash-flow 6.2025'!$D$57/12</f>
        <v>0</v>
      </c>
      <c r="Q11" s="349">
        <v>45383</v>
      </c>
      <c r="R11" s="345">
        <v>0</v>
      </c>
      <c r="S11" s="346">
        <f t="shared" si="3"/>
        <v>0</v>
      </c>
      <c r="T11" s="347">
        <f>S11*'Cash-flow 6.2025'!$D$58/12</f>
        <v>0</v>
      </c>
    </row>
    <row r="12" spans="2:20" ht="15" customHeight="1">
      <c r="B12" s="349">
        <v>45413</v>
      </c>
      <c r="C12" s="345">
        <v>0</v>
      </c>
      <c r="D12" s="346">
        <f t="shared" si="0"/>
        <v>0</v>
      </c>
      <c r="E12" s="347">
        <f>D12*'Cash-flow'!$D$55/12</f>
        <v>0</v>
      </c>
      <c r="G12" s="349">
        <v>45413</v>
      </c>
      <c r="H12" s="345">
        <v>0</v>
      </c>
      <c r="I12" s="346">
        <f t="shared" si="1"/>
        <v>0</v>
      </c>
      <c r="J12" s="347">
        <f>I12*'Cash-flow'!$D$56/12</f>
        <v>0</v>
      </c>
      <c r="L12" s="349">
        <v>45413</v>
      </c>
      <c r="M12" s="345">
        <v>0</v>
      </c>
      <c r="N12" s="346">
        <f t="shared" si="2"/>
        <v>0</v>
      </c>
      <c r="O12" s="347">
        <f>N12*'Cash-flow 6.2025'!$D$57/12</f>
        <v>0</v>
      </c>
      <c r="Q12" s="349">
        <v>45413</v>
      </c>
      <c r="R12" s="345">
        <v>0</v>
      </c>
      <c r="S12" s="346">
        <f t="shared" si="3"/>
        <v>0</v>
      </c>
      <c r="T12" s="347">
        <f>S12*'Cash-flow 6.2025'!$D$58/12</f>
        <v>0</v>
      </c>
    </row>
    <row r="13" spans="2:20" ht="15" customHeight="1">
      <c r="B13" s="350">
        <v>45444</v>
      </c>
      <c r="C13" s="345">
        <v>0</v>
      </c>
      <c r="D13" s="346">
        <f t="shared" si="0"/>
        <v>0</v>
      </c>
      <c r="E13" s="347">
        <f>D13*'Cash-flow'!$D$55/12</f>
        <v>0</v>
      </c>
      <c r="G13" s="350">
        <v>45444</v>
      </c>
      <c r="H13" s="345">
        <v>0</v>
      </c>
      <c r="I13" s="346">
        <f t="shared" si="1"/>
        <v>0</v>
      </c>
      <c r="J13" s="347">
        <f>I13*'Cash-flow'!$D$56/12</f>
        <v>0</v>
      </c>
      <c r="L13" s="350">
        <v>45444</v>
      </c>
      <c r="M13" s="345">
        <v>0</v>
      </c>
      <c r="N13" s="346">
        <f t="shared" si="2"/>
        <v>0</v>
      </c>
      <c r="O13" s="347">
        <f>N13*'Cash-flow 6.2025'!$D$57/12</f>
        <v>0</v>
      </c>
      <c r="Q13" s="350">
        <v>45444</v>
      </c>
      <c r="R13" s="345">
        <v>0</v>
      </c>
      <c r="S13" s="346">
        <f t="shared" si="3"/>
        <v>0</v>
      </c>
      <c r="T13" s="347">
        <f>S13*'Cash-flow 6.2025'!$D$58/12</f>
        <v>0</v>
      </c>
    </row>
    <row r="14" spans="2:20" ht="15" customHeight="1">
      <c r="B14" s="349">
        <v>45474</v>
      </c>
      <c r="C14" s="345">
        <v>0</v>
      </c>
      <c r="D14" s="346">
        <f t="shared" si="0"/>
        <v>0</v>
      </c>
      <c r="E14" s="347">
        <f>D14*'Cash-flow'!$D$55/12</f>
        <v>0</v>
      </c>
      <c r="G14" s="349">
        <v>45474</v>
      </c>
      <c r="H14" s="345">
        <v>0</v>
      </c>
      <c r="I14" s="346">
        <f t="shared" si="1"/>
        <v>0</v>
      </c>
      <c r="J14" s="347">
        <f>I14*'Cash-flow'!$D$56/12</f>
        <v>0</v>
      </c>
      <c r="L14" s="349">
        <v>45474</v>
      </c>
      <c r="M14" s="345">
        <v>0</v>
      </c>
      <c r="N14" s="346">
        <f t="shared" si="2"/>
        <v>0</v>
      </c>
      <c r="O14" s="347">
        <f>N14*'Cash-flow 6.2025'!$D$57/12</f>
        <v>0</v>
      </c>
      <c r="Q14" s="349">
        <v>45474</v>
      </c>
      <c r="R14" s="345">
        <v>0</v>
      </c>
      <c r="S14" s="346">
        <f t="shared" si="3"/>
        <v>0</v>
      </c>
      <c r="T14" s="347">
        <f>S14*'Cash-flow 6.2025'!$D$58/12</f>
        <v>0</v>
      </c>
    </row>
    <row r="15" spans="2:20" ht="15" customHeight="1">
      <c r="B15" s="349">
        <v>45505</v>
      </c>
      <c r="C15" s="345">
        <v>0</v>
      </c>
      <c r="D15" s="346">
        <f t="shared" si="0"/>
        <v>0</v>
      </c>
      <c r="E15" s="347">
        <f>D15*'Cash-flow'!$D$55/12</f>
        <v>0</v>
      </c>
      <c r="G15" s="349">
        <v>45505</v>
      </c>
      <c r="H15" s="345">
        <v>0</v>
      </c>
      <c r="I15" s="346">
        <f t="shared" si="1"/>
        <v>0</v>
      </c>
      <c r="J15" s="347">
        <f>I15*'Cash-flow'!$D$56/12</f>
        <v>0</v>
      </c>
      <c r="L15" s="349">
        <v>45505</v>
      </c>
      <c r="M15" s="345">
        <v>0</v>
      </c>
      <c r="N15" s="346">
        <f t="shared" si="2"/>
        <v>0</v>
      </c>
      <c r="O15" s="347">
        <f>N15*'Cash-flow 6.2025'!$D$57/12</f>
        <v>0</v>
      </c>
      <c r="Q15" s="349">
        <v>45505</v>
      </c>
      <c r="R15" s="345">
        <v>0</v>
      </c>
      <c r="S15" s="346">
        <f t="shared" si="3"/>
        <v>0</v>
      </c>
      <c r="T15" s="347">
        <f>S15*'Cash-flow 6.2025'!$D$58/12</f>
        <v>0</v>
      </c>
    </row>
    <row r="16" spans="2:20" ht="15" customHeight="1">
      <c r="B16" s="349">
        <v>45536</v>
      </c>
      <c r="C16" s="345">
        <v>0</v>
      </c>
      <c r="D16" s="346">
        <f t="shared" si="0"/>
        <v>0</v>
      </c>
      <c r="E16" s="347">
        <f>D16*'Cash-flow'!$D$55/12</f>
        <v>0</v>
      </c>
      <c r="G16" s="349">
        <v>45536</v>
      </c>
      <c r="H16" s="345">
        <v>0</v>
      </c>
      <c r="I16" s="346">
        <f t="shared" si="1"/>
        <v>0</v>
      </c>
      <c r="J16" s="347">
        <f>I16*'Cash-flow'!$D$56/12</f>
        <v>0</v>
      </c>
      <c r="L16" s="349">
        <v>45536</v>
      </c>
      <c r="M16" s="345">
        <v>0</v>
      </c>
      <c r="N16" s="346">
        <f t="shared" si="2"/>
        <v>0</v>
      </c>
      <c r="O16" s="347">
        <f>N16*'Cash-flow 6.2025'!$D$57/12</f>
        <v>0</v>
      </c>
      <c r="Q16" s="349">
        <v>45536</v>
      </c>
      <c r="R16" s="345">
        <v>0</v>
      </c>
      <c r="S16" s="346">
        <f t="shared" si="3"/>
        <v>0</v>
      </c>
      <c r="T16" s="347">
        <f>S16*'Cash-flow 6.2025'!$D$58/12</f>
        <v>0</v>
      </c>
    </row>
    <row r="17" spans="2:20" ht="15" customHeight="1">
      <c r="B17" s="349">
        <v>45566</v>
      </c>
      <c r="C17" s="345">
        <v>0</v>
      </c>
      <c r="D17" s="346">
        <f t="shared" si="0"/>
        <v>0</v>
      </c>
      <c r="E17" s="347">
        <f>D17*'Cash-flow'!$D$55/12</f>
        <v>0</v>
      </c>
      <c r="G17" s="349">
        <v>45566</v>
      </c>
      <c r="H17" s="345">
        <v>0</v>
      </c>
      <c r="I17" s="346">
        <f t="shared" si="1"/>
        <v>0</v>
      </c>
      <c r="J17" s="347">
        <f>I17*'Cash-flow'!$D$56/12</f>
        <v>0</v>
      </c>
      <c r="L17" s="349">
        <v>45566</v>
      </c>
      <c r="M17" s="345">
        <v>0</v>
      </c>
      <c r="N17" s="346">
        <f t="shared" si="2"/>
        <v>0</v>
      </c>
      <c r="O17" s="347">
        <f>N17*'Cash-flow 6.2025'!$D$57/12</f>
        <v>0</v>
      </c>
      <c r="Q17" s="349">
        <v>45566</v>
      </c>
      <c r="R17" s="345">
        <v>0</v>
      </c>
      <c r="S17" s="346">
        <f t="shared" si="3"/>
        <v>0</v>
      </c>
      <c r="T17" s="347">
        <f>S17*'Cash-flow 6.2025'!$D$58/12</f>
        <v>0</v>
      </c>
    </row>
    <row r="18" spans="2:20" ht="15" customHeight="1">
      <c r="B18" s="349">
        <v>45597</v>
      </c>
      <c r="C18" s="345">
        <v>0</v>
      </c>
      <c r="D18" s="346">
        <f t="shared" si="0"/>
        <v>0</v>
      </c>
      <c r="E18" s="347">
        <f>D18*'Cash-flow'!$D$55/12</f>
        <v>0</v>
      </c>
      <c r="G18" s="349">
        <v>45597</v>
      </c>
      <c r="H18" s="345">
        <v>0</v>
      </c>
      <c r="I18" s="346">
        <f t="shared" si="1"/>
        <v>0</v>
      </c>
      <c r="J18" s="347">
        <f>I18*'Cash-flow'!$D$56/12</f>
        <v>0</v>
      </c>
      <c r="L18" s="349">
        <v>45597</v>
      </c>
      <c r="M18" s="345">
        <v>0</v>
      </c>
      <c r="N18" s="346">
        <f t="shared" si="2"/>
        <v>0</v>
      </c>
      <c r="O18" s="347">
        <f>N18*'Cash-flow 6.2025'!$D$57/12</f>
        <v>0</v>
      </c>
      <c r="Q18" s="349">
        <v>45597</v>
      </c>
      <c r="R18" s="345">
        <v>0</v>
      </c>
      <c r="S18" s="346">
        <f t="shared" si="3"/>
        <v>0</v>
      </c>
      <c r="T18" s="347">
        <f>S18*'Cash-flow 6.2025'!$D$58/12</f>
        <v>0</v>
      </c>
    </row>
    <row r="19" spans="2:20" ht="15" customHeight="1">
      <c r="B19" s="349">
        <v>45627</v>
      </c>
      <c r="C19" s="345">
        <v>0</v>
      </c>
      <c r="D19" s="346">
        <f t="shared" si="0"/>
        <v>0</v>
      </c>
      <c r="E19" s="347">
        <f>D19*'Cash-flow'!$D$55/12</f>
        <v>0</v>
      </c>
      <c r="G19" s="349">
        <v>45627</v>
      </c>
      <c r="H19" s="345">
        <v>0</v>
      </c>
      <c r="I19" s="346">
        <f t="shared" si="1"/>
        <v>0</v>
      </c>
      <c r="J19" s="347">
        <f>I19*'Cash-flow'!$D$56/12</f>
        <v>0</v>
      </c>
      <c r="L19" s="349">
        <v>45627</v>
      </c>
      <c r="M19" s="345">
        <v>0</v>
      </c>
      <c r="N19" s="346">
        <f t="shared" si="2"/>
        <v>0</v>
      </c>
      <c r="O19" s="347">
        <f>N19*'Cash-flow 6.2025'!$D$57/12</f>
        <v>0</v>
      </c>
      <c r="Q19" s="349">
        <v>45627</v>
      </c>
      <c r="R19" s="345">
        <v>0</v>
      </c>
      <c r="S19" s="346">
        <f t="shared" si="3"/>
        <v>0</v>
      </c>
      <c r="T19" s="347">
        <f>S19*'Cash-flow 6.2025'!$D$58/12</f>
        <v>0</v>
      </c>
    </row>
    <row r="20" spans="2:20" ht="15" customHeight="1">
      <c r="B20" s="344">
        <v>45658</v>
      </c>
      <c r="C20" s="345">
        <v>0</v>
      </c>
      <c r="D20" s="346">
        <f t="shared" si="0"/>
        <v>0</v>
      </c>
      <c r="E20" s="347">
        <f>D20*'Cash-flow'!$D$55/12</f>
        <v>0</v>
      </c>
      <c r="G20" s="344">
        <v>45658</v>
      </c>
      <c r="H20" s="345">
        <v>0</v>
      </c>
      <c r="I20" s="346">
        <f t="shared" si="1"/>
        <v>0</v>
      </c>
      <c r="J20" s="347">
        <f>I20*'Cash-flow'!$D$56/12</f>
        <v>0</v>
      </c>
      <c r="L20" s="344">
        <v>45658</v>
      </c>
      <c r="M20" s="345">
        <v>0</v>
      </c>
      <c r="N20" s="346">
        <f t="shared" si="2"/>
        <v>0</v>
      </c>
      <c r="O20" s="347">
        <f>N20*'Cash-flow 6.2025'!$D$57/12</f>
        <v>0</v>
      </c>
      <c r="Q20" s="344">
        <v>45658</v>
      </c>
      <c r="R20" s="345">
        <v>0</v>
      </c>
      <c r="S20" s="346">
        <f t="shared" si="3"/>
        <v>0</v>
      </c>
      <c r="T20" s="347">
        <f>S20*'Cash-flow 6.2025'!$D$58/12</f>
        <v>0</v>
      </c>
    </row>
    <row r="21" spans="2:20" ht="15" customHeight="1">
      <c r="B21" s="349">
        <v>45689</v>
      </c>
      <c r="C21" s="345">
        <v>0</v>
      </c>
      <c r="D21" s="346">
        <f t="shared" si="0"/>
        <v>0</v>
      </c>
      <c r="E21" s="347">
        <f>D21*'Cash-flow'!$D$55/12</f>
        <v>0</v>
      </c>
      <c r="G21" s="349">
        <v>45689</v>
      </c>
      <c r="H21" s="345">
        <v>0</v>
      </c>
      <c r="I21" s="346">
        <f t="shared" si="1"/>
        <v>0</v>
      </c>
      <c r="J21" s="347">
        <f>I21*'Cash-flow'!$D$56/12</f>
        <v>0</v>
      </c>
      <c r="L21" s="349">
        <v>45689</v>
      </c>
      <c r="M21" s="345">
        <v>0</v>
      </c>
      <c r="N21" s="346">
        <f t="shared" si="2"/>
        <v>0</v>
      </c>
      <c r="O21" s="347">
        <f>N21*'Cash-flow 6.2025'!$D$57/12</f>
        <v>0</v>
      </c>
      <c r="Q21" s="349">
        <v>45689</v>
      </c>
      <c r="R21" s="345">
        <v>0</v>
      </c>
      <c r="S21" s="346">
        <f t="shared" si="3"/>
        <v>0</v>
      </c>
      <c r="T21" s="347">
        <f>S21*'Cash-flow 6.2025'!$D$58/12</f>
        <v>0</v>
      </c>
    </row>
    <row r="22" spans="2:20" ht="15" customHeight="1">
      <c r="B22" s="349">
        <v>45717</v>
      </c>
      <c r="C22" s="345">
        <v>0</v>
      </c>
      <c r="D22" s="346">
        <f t="shared" si="0"/>
        <v>0</v>
      </c>
      <c r="E22" s="347">
        <f>D22*'Cash-flow'!$D$55/12</f>
        <v>0</v>
      </c>
      <c r="G22" s="349">
        <v>45717</v>
      </c>
      <c r="H22" s="345">
        <v>-1200000</v>
      </c>
      <c r="I22" s="346">
        <f t="shared" si="1"/>
        <v>1200000</v>
      </c>
      <c r="J22" s="347">
        <f>I22*'Cash-flow'!$D$56/12</f>
        <v>11000</v>
      </c>
      <c r="L22" s="349">
        <v>45717</v>
      </c>
      <c r="M22" s="345">
        <v>0</v>
      </c>
      <c r="N22" s="346">
        <f t="shared" si="2"/>
        <v>0</v>
      </c>
      <c r="O22" s="347">
        <f>N22*'Cash-flow 6.2025'!$D$57/12</f>
        <v>0</v>
      </c>
      <c r="Q22" s="349">
        <v>45717</v>
      </c>
      <c r="R22" s="345">
        <v>0</v>
      </c>
      <c r="S22" s="346">
        <f t="shared" si="3"/>
        <v>0</v>
      </c>
      <c r="T22" s="347">
        <f>S22*'Cash-flow 6.2025'!$D$58/12</f>
        <v>0</v>
      </c>
    </row>
    <row r="23" spans="2:20" ht="15" customHeight="1">
      <c r="B23" s="349">
        <v>45748</v>
      </c>
      <c r="C23" s="345">
        <v>0</v>
      </c>
      <c r="D23" s="346">
        <f t="shared" si="0"/>
        <v>0</v>
      </c>
      <c r="E23" s="347">
        <f>D23*'Cash-flow'!$D$55/12</f>
        <v>0</v>
      </c>
      <c r="G23" s="349">
        <v>45748</v>
      </c>
      <c r="H23" s="345">
        <v>-15000000</v>
      </c>
      <c r="I23" s="346">
        <f t="shared" si="1"/>
        <v>16200000</v>
      </c>
      <c r="J23" s="347">
        <f>I23*'Cash-flow'!$D$56/12</f>
        <v>148500</v>
      </c>
      <c r="L23" s="349">
        <v>45748</v>
      </c>
      <c r="M23" s="345">
        <v>0</v>
      </c>
      <c r="N23" s="346">
        <f t="shared" si="2"/>
        <v>0</v>
      </c>
      <c r="O23" s="347">
        <f>N23*'Cash-flow 6.2025'!$D$57/12</f>
        <v>0</v>
      </c>
      <c r="Q23" s="349">
        <v>45748</v>
      </c>
      <c r="R23" s="345">
        <v>0</v>
      </c>
      <c r="S23" s="346">
        <f t="shared" si="3"/>
        <v>0</v>
      </c>
      <c r="T23" s="347">
        <f>S23*'Cash-flow 6.2025'!$D$58/12</f>
        <v>0</v>
      </c>
    </row>
    <row r="24" spans="2:20" ht="15" customHeight="1">
      <c r="B24" s="349">
        <v>45778</v>
      </c>
      <c r="C24" s="345">
        <v>0</v>
      </c>
      <c r="D24" s="346">
        <f t="shared" si="0"/>
        <v>0</v>
      </c>
      <c r="E24" s="347">
        <f>D24*'Cash-flow'!$D$55/12</f>
        <v>0</v>
      </c>
      <c r="G24" s="349">
        <v>45778</v>
      </c>
      <c r="H24" s="345">
        <v>-3700000</v>
      </c>
      <c r="I24" s="346">
        <f t="shared" si="1"/>
        <v>19900000</v>
      </c>
      <c r="J24" s="347">
        <f>I24*'Cash-flow'!$D$56/12</f>
        <v>182416.66666666666</v>
      </c>
      <c r="L24" s="349">
        <v>45778</v>
      </c>
      <c r="M24" s="345">
        <v>-25000000</v>
      </c>
      <c r="N24" s="346">
        <f t="shared" si="2"/>
        <v>25000000</v>
      </c>
      <c r="O24" s="347">
        <f>N24*'Cash-flow 6.2025'!$D$57/12</f>
        <v>229166.66666666666</v>
      </c>
      <c r="Q24" s="349">
        <v>45778</v>
      </c>
      <c r="R24" s="345">
        <v>0</v>
      </c>
      <c r="S24" s="346">
        <f t="shared" si="3"/>
        <v>0</v>
      </c>
      <c r="T24" s="347">
        <f>S24*'Cash-flow 6.2025'!$D$58/12</f>
        <v>0</v>
      </c>
    </row>
    <row r="25" spans="2:20" ht="15" customHeight="1">
      <c r="B25" s="350">
        <v>45809</v>
      </c>
      <c r="C25" s="345">
        <v>0</v>
      </c>
      <c r="D25" s="346">
        <f t="shared" si="0"/>
        <v>0</v>
      </c>
      <c r="E25" s="347">
        <f>D25*'Cash-flow'!$D$55/12</f>
        <v>0</v>
      </c>
      <c r="G25" s="350">
        <v>45809</v>
      </c>
      <c r="H25" s="345">
        <v>0</v>
      </c>
      <c r="I25" s="346">
        <f t="shared" si="1"/>
        <v>19900000</v>
      </c>
      <c r="J25" s="347">
        <f>I25*'Cash-flow'!$D$56/12</f>
        <v>182416.66666666666</v>
      </c>
      <c r="L25" s="350">
        <v>45809</v>
      </c>
      <c r="M25" s="345">
        <v>-6500000</v>
      </c>
      <c r="N25" s="346">
        <f t="shared" si="2"/>
        <v>31500000</v>
      </c>
      <c r="O25" s="347">
        <f>N25*'Cash-flow 6.2025'!$D$57/12</f>
        <v>288750</v>
      </c>
      <c r="Q25" s="350">
        <v>45809</v>
      </c>
      <c r="R25" s="345">
        <v>0</v>
      </c>
      <c r="S25" s="346">
        <f t="shared" si="3"/>
        <v>0</v>
      </c>
      <c r="T25" s="347">
        <f>S25*'Cash-flow 6.2025'!$D$58/12</f>
        <v>0</v>
      </c>
    </row>
    <row r="26" spans="2:20" ht="15" customHeight="1">
      <c r="B26" s="349">
        <v>45839</v>
      </c>
      <c r="C26" s="345">
        <v>0</v>
      </c>
      <c r="D26" s="346">
        <f t="shared" si="0"/>
        <v>0</v>
      </c>
      <c r="E26" s="347">
        <f>D26*'Cash-flow'!$D$55/12</f>
        <v>0</v>
      </c>
      <c r="G26" s="349">
        <v>45839</v>
      </c>
      <c r="H26" s="345">
        <v>0</v>
      </c>
      <c r="I26" s="346">
        <f t="shared" si="1"/>
        <v>19900000</v>
      </c>
      <c r="J26" s="347">
        <f>I26*'Cash-flow'!$D$56/12</f>
        <v>182416.66666666666</v>
      </c>
      <c r="L26" s="349">
        <v>45839</v>
      </c>
      <c r="M26" s="345">
        <v>-1000000</v>
      </c>
      <c r="N26" s="346">
        <f t="shared" si="2"/>
        <v>32500000</v>
      </c>
      <c r="O26" s="347">
        <f>N26*'Cash-flow 6.2025'!$D$57/12</f>
        <v>297916.66666666669</v>
      </c>
      <c r="Q26" s="349">
        <v>45839</v>
      </c>
      <c r="R26" s="345">
        <v>0</v>
      </c>
      <c r="S26" s="346">
        <f t="shared" si="3"/>
        <v>0</v>
      </c>
      <c r="T26" s="347">
        <f>S26*'Cash-flow 6.2025'!$D$58/12</f>
        <v>0</v>
      </c>
    </row>
    <row r="27" spans="2:20" ht="15" customHeight="1">
      <c r="B27" s="349">
        <v>45870</v>
      </c>
      <c r="C27" s="345">
        <v>0</v>
      </c>
      <c r="D27" s="346">
        <f t="shared" si="0"/>
        <v>0</v>
      </c>
      <c r="E27" s="347">
        <f>D27*'Cash-flow'!$D$55/12</f>
        <v>0</v>
      </c>
      <c r="G27" s="349">
        <v>45870</v>
      </c>
      <c r="H27" s="345">
        <v>0</v>
      </c>
      <c r="I27" s="346">
        <f t="shared" si="1"/>
        <v>19900000</v>
      </c>
      <c r="J27" s="347">
        <f>I27*'Cash-flow'!$D$56/12</f>
        <v>182416.66666666666</v>
      </c>
      <c r="L27" s="349">
        <v>45870</v>
      </c>
      <c r="M27" s="345">
        <v>-2000000</v>
      </c>
      <c r="N27" s="346">
        <f t="shared" si="2"/>
        <v>34500000</v>
      </c>
      <c r="O27" s="347">
        <f>N27*'Cash-flow 6.2025'!$D$57/12</f>
        <v>316250</v>
      </c>
      <c r="Q27" s="349">
        <v>45870</v>
      </c>
      <c r="R27" s="345">
        <v>0</v>
      </c>
      <c r="S27" s="346">
        <f t="shared" si="3"/>
        <v>0</v>
      </c>
      <c r="T27" s="347">
        <f>S27*'Cash-flow 6.2025'!$D$58/12</f>
        <v>0</v>
      </c>
    </row>
    <row r="28" spans="2:20" ht="15" customHeight="1">
      <c r="B28" s="349">
        <v>45901</v>
      </c>
      <c r="C28" s="345">
        <v>0</v>
      </c>
      <c r="D28" s="346">
        <f t="shared" si="0"/>
        <v>0</v>
      </c>
      <c r="E28" s="347">
        <f>D28*'Cash-flow'!$D$55/12</f>
        <v>0</v>
      </c>
      <c r="G28" s="349">
        <v>45901</v>
      </c>
      <c r="H28" s="345">
        <v>0</v>
      </c>
      <c r="I28" s="346">
        <f t="shared" si="1"/>
        <v>19900000</v>
      </c>
      <c r="J28" s="347">
        <f>I28*'Cash-flow'!$D$56/12</f>
        <v>182416.66666666666</v>
      </c>
      <c r="L28" s="349">
        <v>45901</v>
      </c>
      <c r="M28" s="345">
        <v>-9500000</v>
      </c>
      <c r="N28" s="346">
        <f t="shared" si="2"/>
        <v>44000000</v>
      </c>
      <c r="O28" s="347">
        <f>N28*'Cash-flow 6.2025'!$D$57/12</f>
        <v>403333.33333333331</v>
      </c>
      <c r="Q28" s="349">
        <v>45901</v>
      </c>
      <c r="R28" s="345">
        <v>0</v>
      </c>
      <c r="S28" s="346">
        <f t="shared" si="3"/>
        <v>0</v>
      </c>
      <c r="T28" s="347">
        <f>S28*'Cash-flow 6.2025'!$D$58/12</f>
        <v>0</v>
      </c>
    </row>
    <row r="29" spans="2:20" ht="15" customHeight="1">
      <c r="B29" s="349">
        <v>45931</v>
      </c>
      <c r="C29" s="345">
        <v>0</v>
      </c>
      <c r="D29" s="346">
        <f t="shared" si="0"/>
        <v>0</v>
      </c>
      <c r="E29" s="347">
        <f>D29*'Cash-flow'!$D$55/12</f>
        <v>0</v>
      </c>
      <c r="G29" s="349">
        <v>45931</v>
      </c>
      <c r="H29" s="345">
        <v>0</v>
      </c>
      <c r="I29" s="346">
        <f t="shared" si="1"/>
        <v>19900000</v>
      </c>
      <c r="J29" s="347">
        <f>I29*'Cash-flow'!$D$56/12</f>
        <v>182416.66666666666</v>
      </c>
      <c r="L29" s="349">
        <v>45931</v>
      </c>
      <c r="M29" s="345">
        <v>-6000000</v>
      </c>
      <c r="N29" s="346">
        <f t="shared" si="2"/>
        <v>50000000</v>
      </c>
      <c r="O29" s="347">
        <f>N29*'Cash-flow 6.2025'!$D$57/12</f>
        <v>458333.33333333331</v>
      </c>
      <c r="Q29" s="349">
        <v>45931</v>
      </c>
      <c r="R29" s="345">
        <v>0</v>
      </c>
      <c r="S29" s="346">
        <f t="shared" si="3"/>
        <v>0</v>
      </c>
      <c r="T29" s="347">
        <f>S29*'Cash-flow 6.2025'!$D$58/12</f>
        <v>0</v>
      </c>
    </row>
    <row r="30" spans="2:20" ht="15" customHeight="1">
      <c r="B30" s="349">
        <v>45962</v>
      </c>
      <c r="C30" s="345">
        <v>0</v>
      </c>
      <c r="D30" s="346">
        <f t="shared" si="0"/>
        <v>0</v>
      </c>
      <c r="E30" s="347">
        <f>D30*'Cash-flow'!$D$55/12</f>
        <v>0</v>
      </c>
      <c r="G30" s="349">
        <v>45962</v>
      </c>
      <c r="H30" s="345">
        <v>0</v>
      </c>
      <c r="I30" s="346">
        <f t="shared" si="1"/>
        <v>19900000</v>
      </c>
      <c r="J30" s="347">
        <f>I30*'Cash-flow'!$D$56/12</f>
        <v>182416.66666666666</v>
      </c>
      <c r="L30" s="349">
        <v>45962</v>
      </c>
      <c r="M30" s="345">
        <v>0</v>
      </c>
      <c r="N30" s="346">
        <f t="shared" si="2"/>
        <v>50000000</v>
      </c>
      <c r="O30" s="347">
        <f>N30*'Cash-flow 6.2025'!$D$57/12</f>
        <v>458333.33333333331</v>
      </c>
      <c r="Q30" s="349">
        <v>45962</v>
      </c>
      <c r="R30" s="345">
        <v>0</v>
      </c>
      <c r="S30" s="346">
        <f t="shared" si="3"/>
        <v>0</v>
      </c>
      <c r="T30" s="347">
        <f>S30*'Cash-flow 6.2025'!$D$58/12</f>
        <v>0</v>
      </c>
    </row>
    <row r="31" spans="2:20" ht="15" customHeight="1">
      <c r="B31" s="349">
        <v>45992</v>
      </c>
      <c r="C31" s="345">
        <v>0</v>
      </c>
      <c r="D31" s="346">
        <f t="shared" si="0"/>
        <v>0</v>
      </c>
      <c r="E31" s="347">
        <f>D31*'Cash-flow'!$D$55/12</f>
        <v>0</v>
      </c>
      <c r="G31" s="349">
        <v>45992</v>
      </c>
      <c r="H31" s="345">
        <v>0</v>
      </c>
      <c r="I31" s="346">
        <f t="shared" si="1"/>
        <v>19900000</v>
      </c>
      <c r="J31" s="347">
        <f>I31*'Cash-flow'!$D$56/12</f>
        <v>182416.66666666666</v>
      </c>
      <c r="L31" s="349">
        <v>45992</v>
      </c>
      <c r="M31" s="345">
        <v>0</v>
      </c>
      <c r="N31" s="346">
        <f t="shared" si="2"/>
        <v>50000000</v>
      </c>
      <c r="O31" s="347">
        <f>N31*'Cash-flow 6.2025'!$D$57/12</f>
        <v>458333.33333333331</v>
      </c>
      <c r="Q31" s="349">
        <v>45992</v>
      </c>
      <c r="R31" s="345">
        <v>0</v>
      </c>
      <c r="S31" s="346">
        <f t="shared" si="3"/>
        <v>0</v>
      </c>
      <c r="T31" s="347">
        <f>S31*'Cash-flow 6.2025'!$D$58/12</f>
        <v>0</v>
      </c>
    </row>
    <row r="32" spans="2:20" ht="15" customHeight="1">
      <c r="B32" s="344">
        <v>46023</v>
      </c>
      <c r="C32" s="345">
        <v>0</v>
      </c>
      <c r="D32" s="346">
        <f t="shared" si="0"/>
        <v>0</v>
      </c>
      <c r="E32" s="347">
        <f>D32*'Cash-flow'!$D$55/12</f>
        <v>0</v>
      </c>
      <c r="G32" s="344">
        <v>46023</v>
      </c>
      <c r="H32" s="345">
        <v>19900000</v>
      </c>
      <c r="I32" s="346">
        <f t="shared" si="1"/>
        <v>0</v>
      </c>
      <c r="J32" s="347">
        <f>I32*'Cash-flow'!$D$56/12</f>
        <v>0</v>
      </c>
      <c r="L32" s="344">
        <v>46023</v>
      </c>
      <c r="M32" s="345">
        <v>0</v>
      </c>
      <c r="N32" s="346">
        <f t="shared" si="2"/>
        <v>50000000</v>
      </c>
      <c r="O32" s="347">
        <f>N32*'Cash-flow 6.2025'!$D$57/12</f>
        <v>458333.33333333331</v>
      </c>
      <c r="Q32" s="344">
        <v>46023</v>
      </c>
      <c r="R32" s="345">
        <v>0</v>
      </c>
      <c r="S32" s="346">
        <f t="shared" si="3"/>
        <v>0</v>
      </c>
      <c r="T32" s="347">
        <f>S32*'Cash-flow 6.2025'!$D$58/12</f>
        <v>0</v>
      </c>
    </row>
    <row r="33" spans="2:20" ht="15" customHeight="1">
      <c r="B33" s="349">
        <v>46054</v>
      </c>
      <c r="C33" s="345">
        <v>0</v>
      </c>
      <c r="D33" s="346">
        <f t="shared" si="0"/>
        <v>0</v>
      </c>
      <c r="E33" s="347">
        <f>D33*'Cash-flow'!$D$55/12</f>
        <v>0</v>
      </c>
      <c r="G33" s="349">
        <v>46054</v>
      </c>
      <c r="H33" s="345">
        <v>0</v>
      </c>
      <c r="I33" s="346">
        <f t="shared" si="1"/>
        <v>0</v>
      </c>
      <c r="J33" s="347">
        <f>I33*'Cash-flow'!$D$56/12</f>
        <v>0</v>
      </c>
      <c r="L33" s="349">
        <v>46054</v>
      </c>
      <c r="M33" s="345">
        <v>0</v>
      </c>
      <c r="N33" s="346">
        <f t="shared" si="2"/>
        <v>50000000</v>
      </c>
      <c r="O33" s="347">
        <f>N33*'Cash-flow 6.2025'!$D$57/12</f>
        <v>458333.33333333331</v>
      </c>
      <c r="Q33" s="349">
        <v>46054</v>
      </c>
      <c r="R33" s="345">
        <v>0</v>
      </c>
      <c r="S33" s="346">
        <f t="shared" si="3"/>
        <v>0</v>
      </c>
      <c r="T33" s="347">
        <f>S33*'Cash-flow 6.2025'!$D$58/12</f>
        <v>0</v>
      </c>
    </row>
    <row r="34" spans="2:20" ht="15" customHeight="1">
      <c r="B34" s="349">
        <v>46082</v>
      </c>
      <c r="C34" s="345">
        <v>0</v>
      </c>
      <c r="D34" s="346">
        <f t="shared" si="0"/>
        <v>0</v>
      </c>
      <c r="E34" s="347">
        <f>D34*'Cash-flow'!$D$55/12</f>
        <v>0</v>
      </c>
      <c r="G34" s="349">
        <v>46082</v>
      </c>
      <c r="H34" s="345">
        <v>0</v>
      </c>
      <c r="I34" s="346">
        <f t="shared" si="1"/>
        <v>0</v>
      </c>
      <c r="J34" s="347">
        <f>I34*'Cash-flow'!$D$56/12</f>
        <v>0</v>
      </c>
      <c r="L34" s="349">
        <v>46082</v>
      </c>
      <c r="M34" s="345">
        <v>0</v>
      </c>
      <c r="N34" s="346">
        <f t="shared" si="2"/>
        <v>50000000</v>
      </c>
      <c r="O34" s="347">
        <f>N34*'Cash-flow 6.2025'!$D$57/12</f>
        <v>458333.33333333331</v>
      </c>
      <c r="Q34" s="349">
        <v>46082</v>
      </c>
      <c r="R34" s="345">
        <v>0</v>
      </c>
      <c r="S34" s="346">
        <f t="shared" si="3"/>
        <v>0</v>
      </c>
      <c r="T34" s="347">
        <f>S34*'Cash-flow 6.2025'!$D$58/12</f>
        <v>0</v>
      </c>
    </row>
    <row r="35" spans="2:20" ht="15" customHeight="1">
      <c r="B35" s="349">
        <v>46113</v>
      </c>
      <c r="C35" s="345">
        <v>0</v>
      </c>
      <c r="D35" s="346">
        <f t="shared" si="0"/>
        <v>0</v>
      </c>
      <c r="E35" s="347">
        <f>D35*'Cash-flow'!$D$55/12</f>
        <v>0</v>
      </c>
      <c r="G35" s="349">
        <v>46113</v>
      </c>
      <c r="H35" s="345">
        <v>0</v>
      </c>
      <c r="I35" s="346">
        <f t="shared" si="1"/>
        <v>0</v>
      </c>
      <c r="J35" s="347">
        <f>I35*'Cash-flow'!$D$56/12</f>
        <v>0</v>
      </c>
      <c r="L35" s="349">
        <v>46113</v>
      </c>
      <c r="M35" s="345">
        <v>0</v>
      </c>
      <c r="N35" s="346">
        <f t="shared" si="2"/>
        <v>50000000</v>
      </c>
      <c r="O35" s="347">
        <f>N35*'Cash-flow 6.2025'!$D$57/12</f>
        <v>458333.33333333331</v>
      </c>
      <c r="Q35" s="349">
        <v>46113</v>
      </c>
      <c r="R35" s="345">
        <v>0</v>
      </c>
      <c r="S35" s="346">
        <f t="shared" si="3"/>
        <v>0</v>
      </c>
      <c r="T35" s="347">
        <f>S35*'Cash-flow 6.2025'!$D$58/12</f>
        <v>0</v>
      </c>
    </row>
    <row r="36" spans="2:20" ht="15" customHeight="1">
      <c r="B36" s="349">
        <v>46143</v>
      </c>
      <c r="C36" s="345">
        <v>0</v>
      </c>
      <c r="D36" s="346">
        <f t="shared" si="0"/>
        <v>0</v>
      </c>
      <c r="E36" s="347">
        <f>D36*'Cash-flow'!$D$55/12</f>
        <v>0</v>
      </c>
      <c r="G36" s="349">
        <v>46143</v>
      </c>
      <c r="H36" s="345">
        <v>0</v>
      </c>
      <c r="I36" s="346">
        <f t="shared" si="1"/>
        <v>0</v>
      </c>
      <c r="J36" s="347">
        <f>I36*'Cash-flow'!$D$56/12</f>
        <v>0</v>
      </c>
      <c r="L36" s="349">
        <v>46143</v>
      </c>
      <c r="M36" s="345">
        <v>0</v>
      </c>
      <c r="N36" s="346">
        <f t="shared" si="2"/>
        <v>50000000</v>
      </c>
      <c r="O36" s="347">
        <f>N36*'Cash-flow 6.2025'!$D$57/12</f>
        <v>458333.33333333331</v>
      </c>
      <c r="Q36" s="349">
        <v>46143</v>
      </c>
      <c r="R36" s="345">
        <v>0</v>
      </c>
      <c r="S36" s="346">
        <f t="shared" si="3"/>
        <v>0</v>
      </c>
      <c r="T36" s="347">
        <f>S36*'Cash-flow 6.2025'!$D$58/12</f>
        <v>0</v>
      </c>
    </row>
    <row r="37" spans="2:20" ht="15" customHeight="1">
      <c r="B37" s="350">
        <v>46174</v>
      </c>
      <c r="C37" s="345">
        <v>0</v>
      </c>
      <c r="D37" s="346">
        <f t="shared" si="0"/>
        <v>0</v>
      </c>
      <c r="E37" s="347">
        <f>D37*'Cash-flow'!$D$55/12</f>
        <v>0</v>
      </c>
      <c r="G37" s="350">
        <v>46174</v>
      </c>
      <c r="H37" s="345">
        <v>0</v>
      </c>
      <c r="I37" s="346">
        <f t="shared" si="1"/>
        <v>0</v>
      </c>
      <c r="J37" s="347">
        <f>I37*'Cash-flow'!$D$56/12</f>
        <v>0</v>
      </c>
      <c r="L37" s="350">
        <v>46174</v>
      </c>
      <c r="M37" s="345">
        <v>0</v>
      </c>
      <c r="N37" s="346">
        <f t="shared" si="2"/>
        <v>50000000</v>
      </c>
      <c r="O37" s="347">
        <f>N37*'Cash-flow 6.2025'!$D$57/12</f>
        <v>458333.33333333331</v>
      </c>
      <c r="P37" s="471">
        <f>-SUM(O24:O37)-O37</f>
        <v>-6118749.9999999991</v>
      </c>
      <c r="Q37" s="350">
        <v>46174</v>
      </c>
      <c r="R37" s="345">
        <v>0</v>
      </c>
      <c r="S37" s="346">
        <f t="shared" si="3"/>
        <v>0</v>
      </c>
      <c r="T37" s="347">
        <f>S37*'Cash-flow 6.2025'!$D$58/12</f>
        <v>0</v>
      </c>
    </row>
    <row r="38" spans="2:20" ht="15" customHeight="1">
      <c r="B38" s="349">
        <v>46204</v>
      </c>
      <c r="C38" s="345">
        <v>0</v>
      </c>
      <c r="D38" s="346">
        <f t="shared" si="0"/>
        <v>0</v>
      </c>
      <c r="E38" s="347">
        <f>D38*'Cash-flow'!$D$55/12</f>
        <v>0</v>
      </c>
      <c r="G38" s="349">
        <v>46204</v>
      </c>
      <c r="H38" s="345">
        <v>0</v>
      </c>
      <c r="I38" s="346">
        <f t="shared" si="1"/>
        <v>0</v>
      </c>
      <c r="J38" s="347">
        <f>I38*'Cash-flow'!$D$56/12</f>
        <v>0</v>
      </c>
      <c r="L38" s="349">
        <v>46204</v>
      </c>
      <c r="M38" s="345">
        <v>50000000</v>
      </c>
      <c r="N38" s="346">
        <f t="shared" si="2"/>
        <v>0</v>
      </c>
      <c r="O38" s="347">
        <f>N38*'Cash-flow 6.2025'!$D$57/12</f>
        <v>0</v>
      </c>
      <c r="P38" s="471">
        <f>-SUM(O24:O37)-O37</f>
        <v>-6118749.9999999991</v>
      </c>
      <c r="Q38" s="349">
        <v>46204</v>
      </c>
      <c r="R38" s="345">
        <v>0</v>
      </c>
      <c r="S38" s="346">
        <f t="shared" si="3"/>
        <v>0</v>
      </c>
      <c r="T38" s="347">
        <f>S38*'Cash-flow 6.2025'!$D$58/12</f>
        <v>0</v>
      </c>
    </row>
    <row r="39" spans="2:20" ht="15" customHeight="1">
      <c r="B39" s="349">
        <v>46235</v>
      </c>
      <c r="C39" s="345">
        <v>0</v>
      </c>
      <c r="D39" s="346">
        <f t="shared" si="0"/>
        <v>0</v>
      </c>
      <c r="E39" s="347">
        <f>D39*'Cash-flow'!$D$55/12</f>
        <v>0</v>
      </c>
      <c r="G39" s="349">
        <v>46235</v>
      </c>
      <c r="H39" s="345">
        <v>0</v>
      </c>
      <c r="I39" s="346">
        <f t="shared" si="1"/>
        <v>0</v>
      </c>
      <c r="J39" s="347">
        <f>I39*'Cash-flow'!$D$56/12</f>
        <v>0</v>
      </c>
      <c r="L39" s="349">
        <v>46235</v>
      </c>
      <c r="M39" s="345">
        <v>0</v>
      </c>
      <c r="N39" s="346">
        <f t="shared" si="2"/>
        <v>0</v>
      </c>
      <c r="O39" s="347">
        <f>N39*'Cash-flow 6.2025'!$D$57/12</f>
        <v>0</v>
      </c>
      <c r="Q39" s="349">
        <v>46235</v>
      </c>
      <c r="R39" s="345">
        <v>0</v>
      </c>
      <c r="S39" s="346">
        <f t="shared" si="3"/>
        <v>0</v>
      </c>
      <c r="T39" s="347">
        <f>S39*'Cash-flow 6.2025'!$D$58/12</f>
        <v>0</v>
      </c>
    </row>
    <row r="40" spans="2:20" ht="15" customHeight="1">
      <c r="B40" s="349">
        <v>46266</v>
      </c>
      <c r="C40" s="345">
        <v>0</v>
      </c>
      <c r="D40" s="346">
        <f t="shared" si="0"/>
        <v>0</v>
      </c>
      <c r="E40" s="347">
        <f>D40*'Cash-flow'!$D$55/12</f>
        <v>0</v>
      </c>
      <c r="G40" s="349">
        <v>46266</v>
      </c>
      <c r="H40" s="345">
        <v>0</v>
      </c>
      <c r="I40" s="346">
        <f t="shared" si="1"/>
        <v>0</v>
      </c>
      <c r="J40" s="347">
        <f>I40*'Cash-flow'!$D$56/12</f>
        <v>0</v>
      </c>
      <c r="L40" s="349">
        <v>46266</v>
      </c>
      <c r="M40" s="345">
        <v>0</v>
      </c>
      <c r="N40" s="346">
        <f t="shared" si="2"/>
        <v>0</v>
      </c>
      <c r="O40" s="347">
        <f>N40*'Cash-flow 6.2025'!$D$57/12</f>
        <v>0</v>
      </c>
      <c r="Q40" s="349">
        <v>46266</v>
      </c>
      <c r="R40" s="345">
        <v>0</v>
      </c>
      <c r="S40" s="346">
        <f t="shared" si="3"/>
        <v>0</v>
      </c>
      <c r="T40" s="347">
        <f>S40*'Cash-flow 6.2025'!$D$58/12</f>
        <v>0</v>
      </c>
    </row>
    <row r="41" spans="2:20" ht="15" customHeight="1">
      <c r="B41" s="349">
        <v>46296</v>
      </c>
      <c r="C41" s="345">
        <v>0</v>
      </c>
      <c r="D41" s="346">
        <f t="shared" si="0"/>
        <v>0</v>
      </c>
      <c r="E41" s="347">
        <f>D41*'Cash-flow'!$D$55/12</f>
        <v>0</v>
      </c>
      <c r="G41" s="349">
        <v>46296</v>
      </c>
      <c r="H41" s="345">
        <v>0</v>
      </c>
      <c r="I41" s="346">
        <f t="shared" si="1"/>
        <v>0</v>
      </c>
      <c r="J41" s="347">
        <f>I41*'Cash-flow'!$D$56/12</f>
        <v>0</v>
      </c>
      <c r="L41" s="349">
        <v>46296</v>
      </c>
      <c r="M41" s="345">
        <v>0</v>
      </c>
      <c r="N41" s="346">
        <f t="shared" si="2"/>
        <v>0</v>
      </c>
      <c r="O41" s="347">
        <f>N41*'Cash-flow 6.2025'!$D$57/12</f>
        <v>0</v>
      </c>
      <c r="Q41" s="349">
        <v>46296</v>
      </c>
      <c r="R41" s="345">
        <v>0</v>
      </c>
      <c r="S41" s="346">
        <f t="shared" si="3"/>
        <v>0</v>
      </c>
      <c r="T41" s="347">
        <f>S41*'Cash-flow 6.2025'!$D$58/12</f>
        <v>0</v>
      </c>
    </row>
    <row r="42" spans="2:20" ht="15" customHeight="1">
      <c r="B42" s="349">
        <v>46327</v>
      </c>
      <c r="C42" s="345">
        <v>0</v>
      </c>
      <c r="D42" s="346">
        <f t="shared" si="0"/>
        <v>0</v>
      </c>
      <c r="E42" s="347">
        <f>D42*'Cash-flow'!$D$55/12</f>
        <v>0</v>
      </c>
      <c r="G42" s="349">
        <v>46327</v>
      </c>
      <c r="H42" s="345">
        <v>0</v>
      </c>
      <c r="I42" s="346">
        <f t="shared" si="1"/>
        <v>0</v>
      </c>
      <c r="J42" s="347">
        <f>I42*'Cash-flow'!$D$56/12</f>
        <v>0</v>
      </c>
      <c r="L42" s="349">
        <v>46327</v>
      </c>
      <c r="M42" s="345">
        <v>0</v>
      </c>
      <c r="N42" s="346">
        <f t="shared" si="2"/>
        <v>0</v>
      </c>
      <c r="O42" s="347">
        <f>N42*'Cash-flow 6.2025'!$D$57/12</f>
        <v>0</v>
      </c>
      <c r="Q42" s="349">
        <v>46327</v>
      </c>
      <c r="R42" s="345">
        <v>0</v>
      </c>
      <c r="S42" s="346">
        <f t="shared" si="3"/>
        <v>0</v>
      </c>
      <c r="T42" s="347">
        <f>S42*'Cash-flow 6.2025'!$D$58/12</f>
        <v>0</v>
      </c>
    </row>
    <row r="43" spans="2:20" ht="15" customHeight="1">
      <c r="B43" s="349">
        <v>46357</v>
      </c>
      <c r="C43" s="345">
        <v>0</v>
      </c>
      <c r="D43" s="346">
        <f t="shared" si="0"/>
        <v>0</v>
      </c>
      <c r="E43" s="347">
        <f>D43*'Cash-flow'!$D$55/12</f>
        <v>0</v>
      </c>
      <c r="G43" s="349">
        <v>46357</v>
      </c>
      <c r="H43" s="345">
        <v>0</v>
      </c>
      <c r="I43" s="346">
        <f t="shared" si="1"/>
        <v>0</v>
      </c>
      <c r="J43" s="347">
        <f>I43*'Cash-flow'!$D$56/12</f>
        <v>0</v>
      </c>
      <c r="L43" s="349">
        <v>46357</v>
      </c>
      <c r="M43" s="345">
        <v>0</v>
      </c>
      <c r="N43" s="346">
        <f t="shared" si="2"/>
        <v>0</v>
      </c>
      <c r="O43" s="347">
        <f>N43*'Cash-flow 6.2025'!$D$57/12</f>
        <v>0</v>
      </c>
      <c r="Q43" s="349">
        <v>46357</v>
      </c>
      <c r="R43" s="345">
        <v>0</v>
      </c>
      <c r="S43" s="346">
        <f t="shared" si="3"/>
        <v>0</v>
      </c>
      <c r="T43" s="347">
        <f>S43*'Cash-flow 6.2025'!$D$58/12</f>
        <v>0</v>
      </c>
    </row>
    <row r="44" spans="2:20" ht="15" customHeight="1">
      <c r="B44" s="344">
        <v>46388</v>
      </c>
      <c r="C44" s="345">
        <v>0</v>
      </c>
      <c r="D44" s="346">
        <f t="shared" si="0"/>
        <v>0</v>
      </c>
      <c r="E44" s="347">
        <f>D44*'Cash-flow'!$D$55/12</f>
        <v>0</v>
      </c>
      <c r="G44" s="344">
        <v>46388</v>
      </c>
      <c r="H44" s="345">
        <v>0</v>
      </c>
      <c r="I44" s="346">
        <f t="shared" si="1"/>
        <v>0</v>
      </c>
      <c r="J44" s="347">
        <f>I44*'Cash-flow'!$D$56/12</f>
        <v>0</v>
      </c>
      <c r="L44" s="344">
        <v>46388</v>
      </c>
      <c r="M44" s="345">
        <v>0</v>
      </c>
      <c r="N44" s="346">
        <f t="shared" si="2"/>
        <v>0</v>
      </c>
      <c r="O44" s="347">
        <f>N44*'Cash-flow 6.2025'!$D$57/12</f>
        <v>0</v>
      </c>
      <c r="Q44" s="344">
        <v>46388</v>
      </c>
      <c r="R44" s="345">
        <v>0</v>
      </c>
      <c r="S44" s="346">
        <f t="shared" si="3"/>
        <v>0</v>
      </c>
      <c r="T44" s="347">
        <f>S44*'Cash-flow 6.2025'!$D$58/12</f>
        <v>0</v>
      </c>
    </row>
    <row r="45" spans="2:20" ht="15" customHeight="1">
      <c r="B45" s="349">
        <v>46419</v>
      </c>
      <c r="C45" s="345">
        <v>0</v>
      </c>
      <c r="D45" s="346">
        <f t="shared" si="0"/>
        <v>0</v>
      </c>
      <c r="E45" s="347">
        <f>D45*'Cash-flow'!$D$55/12</f>
        <v>0</v>
      </c>
      <c r="G45" s="349">
        <v>46419</v>
      </c>
      <c r="H45" s="345">
        <v>0</v>
      </c>
      <c r="I45" s="346">
        <f t="shared" si="1"/>
        <v>0</v>
      </c>
      <c r="J45" s="347">
        <f>I45*'Cash-flow'!$D$56/12</f>
        <v>0</v>
      </c>
      <c r="L45" s="349">
        <v>46419</v>
      </c>
      <c r="M45" s="345">
        <v>0</v>
      </c>
      <c r="N45" s="346">
        <f t="shared" si="2"/>
        <v>0</v>
      </c>
      <c r="O45" s="347">
        <f>N45*'Cash-flow 6.2025'!$D$57/12</f>
        <v>0</v>
      </c>
      <c r="Q45" s="349">
        <v>46419</v>
      </c>
      <c r="R45" s="345">
        <v>0</v>
      </c>
      <c r="S45" s="346">
        <f t="shared" si="3"/>
        <v>0</v>
      </c>
      <c r="T45" s="347">
        <f>S45*'Cash-flow 6.2025'!$D$58/12</f>
        <v>0</v>
      </c>
    </row>
    <row r="46" spans="2:20" ht="15" customHeight="1">
      <c r="B46" s="349">
        <v>46447</v>
      </c>
      <c r="C46" s="345">
        <v>0</v>
      </c>
      <c r="D46" s="346">
        <f t="shared" si="0"/>
        <v>0</v>
      </c>
      <c r="E46" s="347">
        <f>D46*'Cash-flow'!$D$55/12</f>
        <v>0</v>
      </c>
      <c r="G46" s="349">
        <v>46447</v>
      </c>
      <c r="H46" s="345">
        <v>0</v>
      </c>
      <c r="I46" s="346">
        <f t="shared" si="1"/>
        <v>0</v>
      </c>
      <c r="J46" s="347">
        <f>I46*'Cash-flow'!$D$56/12</f>
        <v>0</v>
      </c>
      <c r="L46" s="349">
        <v>46447</v>
      </c>
      <c r="M46" s="345">
        <v>0</v>
      </c>
      <c r="N46" s="346">
        <f t="shared" si="2"/>
        <v>0</v>
      </c>
      <c r="O46" s="347">
        <f>N46*'Cash-flow 6.2025'!$D$57/12</f>
        <v>0</v>
      </c>
      <c r="Q46" s="349">
        <v>46447</v>
      </c>
      <c r="R46" s="345">
        <v>0</v>
      </c>
      <c r="S46" s="346">
        <f t="shared" si="3"/>
        <v>0</v>
      </c>
      <c r="T46" s="347">
        <f>S46*'Cash-flow 6.2025'!$D$58/12</f>
        <v>0</v>
      </c>
    </row>
    <row r="47" spans="2:20" ht="15" customHeight="1">
      <c r="B47" s="349">
        <v>46478</v>
      </c>
      <c r="C47" s="345">
        <v>0</v>
      </c>
      <c r="D47" s="346">
        <f t="shared" si="0"/>
        <v>0</v>
      </c>
      <c r="E47" s="347">
        <f>D47*'Cash-flow'!$D$55/12</f>
        <v>0</v>
      </c>
      <c r="G47" s="349">
        <v>46478</v>
      </c>
      <c r="H47" s="345">
        <v>0</v>
      </c>
      <c r="I47" s="346">
        <f t="shared" si="1"/>
        <v>0</v>
      </c>
      <c r="J47" s="347">
        <f>I47*'Cash-flow'!$D$56/12</f>
        <v>0</v>
      </c>
      <c r="L47" s="349">
        <v>46478</v>
      </c>
      <c r="M47" s="345">
        <v>0</v>
      </c>
      <c r="N47" s="346">
        <f t="shared" si="2"/>
        <v>0</v>
      </c>
      <c r="O47" s="347">
        <f>N47*'Cash-flow 6.2025'!$D$57/12</f>
        <v>0</v>
      </c>
      <c r="Q47" s="349">
        <v>46478</v>
      </c>
      <c r="R47" s="345">
        <v>0</v>
      </c>
      <c r="S47" s="346">
        <f t="shared" si="3"/>
        <v>0</v>
      </c>
      <c r="T47" s="347">
        <f>S47*'Cash-flow 6.2025'!$D$58/12</f>
        <v>0</v>
      </c>
    </row>
    <row r="48" spans="2:20" ht="15" customHeight="1">
      <c r="B48" s="349">
        <v>46508</v>
      </c>
      <c r="C48" s="345">
        <v>0</v>
      </c>
      <c r="D48" s="346">
        <f t="shared" si="0"/>
        <v>0</v>
      </c>
      <c r="E48" s="347">
        <f>D48*'Cash-flow'!$D$55/12</f>
        <v>0</v>
      </c>
      <c r="G48" s="349">
        <v>46508</v>
      </c>
      <c r="H48" s="345">
        <v>0</v>
      </c>
      <c r="I48" s="346">
        <f t="shared" si="1"/>
        <v>0</v>
      </c>
      <c r="J48" s="347">
        <f>I48*'Cash-flow'!$D$56/12</f>
        <v>0</v>
      </c>
      <c r="L48" s="349">
        <v>46508</v>
      </c>
      <c r="M48" s="345">
        <v>0</v>
      </c>
      <c r="N48" s="346">
        <f t="shared" si="2"/>
        <v>0</v>
      </c>
      <c r="O48" s="347">
        <f>N48*'Cash-flow 6.2025'!$D$57/12</f>
        <v>0</v>
      </c>
      <c r="Q48" s="349">
        <v>46508</v>
      </c>
      <c r="R48" s="345">
        <v>0</v>
      </c>
      <c r="S48" s="346">
        <f t="shared" si="3"/>
        <v>0</v>
      </c>
      <c r="T48" s="347">
        <f>S48*'Cash-flow 6.2025'!$D$58/12</f>
        <v>0</v>
      </c>
    </row>
    <row r="49" spans="2:20" ht="15" customHeight="1">
      <c r="B49" s="350">
        <v>46539</v>
      </c>
      <c r="C49" s="345">
        <v>0</v>
      </c>
      <c r="D49" s="346">
        <f t="shared" si="0"/>
        <v>0</v>
      </c>
      <c r="E49" s="347">
        <f>D49*'Cash-flow'!$D$55/12</f>
        <v>0</v>
      </c>
      <c r="G49" s="350">
        <v>46539</v>
      </c>
      <c r="H49" s="345">
        <v>0</v>
      </c>
      <c r="I49" s="346">
        <f t="shared" si="1"/>
        <v>0</v>
      </c>
      <c r="J49" s="347">
        <f>I49*'Cash-flow'!$D$56/12</f>
        <v>0</v>
      </c>
      <c r="L49" s="350">
        <v>46539</v>
      </c>
      <c r="M49" s="345">
        <v>0</v>
      </c>
      <c r="N49" s="346">
        <f t="shared" si="2"/>
        <v>0</v>
      </c>
      <c r="O49" s="347">
        <f>N49*'Cash-flow 6.2025'!$D$57/12</f>
        <v>0</v>
      </c>
      <c r="Q49" s="350">
        <v>46539</v>
      </c>
      <c r="R49" s="345">
        <v>0</v>
      </c>
      <c r="S49" s="346">
        <f t="shared" si="3"/>
        <v>0</v>
      </c>
      <c r="T49" s="347">
        <f>S49*'Cash-flow 6.2025'!$D$58/12</f>
        <v>0</v>
      </c>
    </row>
    <row r="50" spans="2:20" ht="15" customHeight="1">
      <c r="B50" s="349">
        <v>46569</v>
      </c>
      <c r="C50" s="345">
        <v>0</v>
      </c>
      <c r="D50" s="346">
        <f t="shared" si="0"/>
        <v>0</v>
      </c>
      <c r="E50" s="347">
        <f>D50*'Cash-flow'!$D$55/12</f>
        <v>0</v>
      </c>
      <c r="G50" s="349">
        <v>46569</v>
      </c>
      <c r="H50" s="345">
        <v>0</v>
      </c>
      <c r="I50" s="346">
        <f t="shared" si="1"/>
        <v>0</v>
      </c>
      <c r="J50" s="347">
        <f>I50*'Cash-flow'!$D$56/12</f>
        <v>0</v>
      </c>
      <c r="L50" s="349">
        <v>46569</v>
      </c>
      <c r="M50" s="345">
        <v>0</v>
      </c>
      <c r="N50" s="346">
        <f t="shared" si="2"/>
        <v>0</v>
      </c>
      <c r="O50" s="347">
        <f>N50*'Cash-flow 6.2025'!$D$57/12</f>
        <v>0</v>
      </c>
      <c r="Q50" s="349">
        <v>46569</v>
      </c>
      <c r="R50" s="345">
        <v>0</v>
      </c>
      <c r="S50" s="346">
        <f t="shared" si="3"/>
        <v>0</v>
      </c>
      <c r="T50" s="347">
        <f>S50*'Cash-flow 6.2025'!$D$58/12</f>
        <v>0</v>
      </c>
    </row>
    <row r="51" spans="2:20" ht="15" customHeight="1">
      <c r="B51" s="349">
        <v>46600</v>
      </c>
      <c r="C51" s="345">
        <v>0</v>
      </c>
      <c r="D51" s="346">
        <f t="shared" si="0"/>
        <v>0</v>
      </c>
      <c r="E51" s="347">
        <f>D51*'Cash-flow'!$D$55/12</f>
        <v>0</v>
      </c>
      <c r="G51" s="349">
        <v>46600</v>
      </c>
      <c r="H51" s="345">
        <v>0</v>
      </c>
      <c r="I51" s="346">
        <f t="shared" si="1"/>
        <v>0</v>
      </c>
      <c r="J51" s="347">
        <f>I51*'Cash-flow'!$D$56/12</f>
        <v>0</v>
      </c>
      <c r="L51" s="349">
        <v>46600</v>
      </c>
      <c r="M51" s="345">
        <v>0</v>
      </c>
      <c r="N51" s="346">
        <f t="shared" si="2"/>
        <v>0</v>
      </c>
      <c r="O51" s="347">
        <f>N51*'Cash-flow 6.2025'!$D$57/12</f>
        <v>0</v>
      </c>
      <c r="Q51" s="349">
        <v>46600</v>
      </c>
      <c r="R51" s="345">
        <v>0</v>
      </c>
      <c r="S51" s="346">
        <f t="shared" si="3"/>
        <v>0</v>
      </c>
      <c r="T51" s="347">
        <f>S51*'Cash-flow 6.2025'!$D$58/12</f>
        <v>0</v>
      </c>
    </row>
    <row r="52" spans="2:20" ht="15" customHeight="1">
      <c r="B52" s="349">
        <v>46631</v>
      </c>
      <c r="C52" s="345">
        <v>0</v>
      </c>
      <c r="D52" s="346">
        <f t="shared" si="0"/>
        <v>0</v>
      </c>
      <c r="E52" s="347">
        <f>D52*'Cash-flow'!$D$55/12</f>
        <v>0</v>
      </c>
      <c r="G52" s="349">
        <v>46631</v>
      </c>
      <c r="H52" s="345">
        <v>0</v>
      </c>
      <c r="I52" s="346">
        <f t="shared" si="1"/>
        <v>0</v>
      </c>
      <c r="J52" s="347">
        <f>I52*'Cash-flow'!$D$56/12</f>
        <v>0</v>
      </c>
      <c r="L52" s="349">
        <v>46631</v>
      </c>
      <c r="M52" s="345">
        <v>0</v>
      </c>
      <c r="N52" s="346">
        <f t="shared" si="2"/>
        <v>0</v>
      </c>
      <c r="O52" s="347">
        <f>N52*'Cash-flow 6.2025'!$D$57/12</f>
        <v>0</v>
      </c>
      <c r="Q52" s="349">
        <v>46631</v>
      </c>
      <c r="R52" s="345">
        <v>0</v>
      </c>
      <c r="S52" s="346">
        <f t="shared" si="3"/>
        <v>0</v>
      </c>
      <c r="T52" s="347">
        <f>S52*'Cash-flow 6.2025'!$D$58/12</f>
        <v>0</v>
      </c>
    </row>
    <row r="53" spans="2:20" ht="15" customHeight="1">
      <c r="B53" s="349">
        <v>46661</v>
      </c>
      <c r="C53" s="345">
        <v>0</v>
      </c>
      <c r="D53" s="346">
        <f t="shared" si="0"/>
        <v>0</v>
      </c>
      <c r="E53" s="347">
        <f>D53*'Cash-flow'!$D$55/12</f>
        <v>0</v>
      </c>
      <c r="G53" s="349">
        <v>46661</v>
      </c>
      <c r="H53" s="345">
        <v>0</v>
      </c>
      <c r="I53" s="346">
        <f t="shared" si="1"/>
        <v>0</v>
      </c>
      <c r="J53" s="347">
        <f>I53*'Cash-flow'!$D$56/12</f>
        <v>0</v>
      </c>
      <c r="L53" s="349">
        <v>46661</v>
      </c>
      <c r="M53" s="345">
        <v>0</v>
      </c>
      <c r="N53" s="346">
        <f t="shared" si="2"/>
        <v>0</v>
      </c>
      <c r="O53" s="347">
        <f>N53*'Cash-flow 6.2025'!$D$57/12</f>
        <v>0</v>
      </c>
      <c r="Q53" s="349">
        <v>46661</v>
      </c>
      <c r="R53" s="345">
        <v>0</v>
      </c>
      <c r="S53" s="346">
        <f t="shared" si="3"/>
        <v>0</v>
      </c>
      <c r="T53" s="347">
        <f>S53*'Cash-flow 6.2025'!$D$58/12</f>
        <v>0</v>
      </c>
    </row>
    <row r="54" spans="2:20" ht="15" customHeight="1">
      <c r="B54" s="349">
        <v>46692</v>
      </c>
      <c r="C54" s="345">
        <v>0</v>
      </c>
      <c r="D54" s="346">
        <f t="shared" si="0"/>
        <v>0</v>
      </c>
      <c r="E54" s="347">
        <f>D54*'Cash-flow'!$D$55/12</f>
        <v>0</v>
      </c>
      <c r="G54" s="349">
        <v>46692</v>
      </c>
      <c r="H54" s="345">
        <v>0</v>
      </c>
      <c r="I54" s="346">
        <f t="shared" si="1"/>
        <v>0</v>
      </c>
      <c r="J54" s="347">
        <f>I54*'Cash-flow'!$D$56/12</f>
        <v>0</v>
      </c>
      <c r="L54" s="349">
        <v>46692</v>
      </c>
      <c r="M54" s="345">
        <v>0</v>
      </c>
      <c r="N54" s="346">
        <f t="shared" si="2"/>
        <v>0</v>
      </c>
      <c r="O54" s="347">
        <f>N54*'Cash-flow 6.2025'!$D$57/12</f>
        <v>0</v>
      </c>
      <c r="Q54" s="349">
        <v>46692</v>
      </c>
      <c r="R54" s="345">
        <v>0</v>
      </c>
      <c r="S54" s="346">
        <f t="shared" si="3"/>
        <v>0</v>
      </c>
      <c r="T54" s="347">
        <f>S54*'Cash-flow 6.2025'!$D$58/12</f>
        <v>0</v>
      </c>
    </row>
    <row r="55" spans="2:20" ht="15" customHeight="1">
      <c r="B55" s="349">
        <v>46722</v>
      </c>
      <c r="C55" s="345">
        <v>0</v>
      </c>
      <c r="D55" s="346">
        <f t="shared" si="0"/>
        <v>0</v>
      </c>
      <c r="E55" s="347">
        <f>D55*'Cash-flow'!$D$55/12</f>
        <v>0</v>
      </c>
      <c r="G55" s="349">
        <v>46722</v>
      </c>
      <c r="H55" s="345">
        <v>0</v>
      </c>
      <c r="I55" s="346">
        <f t="shared" si="1"/>
        <v>0</v>
      </c>
      <c r="J55" s="347">
        <f>I55*'Cash-flow'!$D$56/12</f>
        <v>0</v>
      </c>
      <c r="L55" s="349">
        <v>46722</v>
      </c>
      <c r="M55" s="345">
        <v>0</v>
      </c>
      <c r="N55" s="346">
        <f t="shared" si="2"/>
        <v>0</v>
      </c>
      <c r="O55" s="347">
        <f>N55*'Cash-flow 6.2025'!$D$57/12</f>
        <v>0</v>
      </c>
      <c r="Q55" s="349">
        <v>46722</v>
      </c>
      <c r="R55" s="345">
        <v>0</v>
      </c>
      <c r="S55" s="346">
        <f t="shared" si="3"/>
        <v>0</v>
      </c>
      <c r="T55" s="347">
        <f>S55*'Cash-flow 6.2025'!$D$58/12</f>
        <v>0</v>
      </c>
    </row>
    <row r="56" spans="2:20" ht="15" customHeight="1">
      <c r="B56" s="344">
        <v>46753</v>
      </c>
      <c r="C56" s="345">
        <v>0</v>
      </c>
      <c r="D56" s="346">
        <f t="shared" si="0"/>
        <v>0</v>
      </c>
      <c r="E56" s="347">
        <f>D56*'Cash-flow'!$D$55/12</f>
        <v>0</v>
      </c>
      <c r="G56" s="344">
        <v>46753</v>
      </c>
      <c r="H56" s="345">
        <v>0</v>
      </c>
      <c r="I56" s="346">
        <f t="shared" si="1"/>
        <v>0</v>
      </c>
      <c r="J56" s="347">
        <f>I56*'Cash-flow'!$D$56/12</f>
        <v>0</v>
      </c>
      <c r="L56" s="344">
        <v>46753</v>
      </c>
      <c r="M56" s="345">
        <v>0</v>
      </c>
      <c r="N56" s="346">
        <f t="shared" si="2"/>
        <v>0</v>
      </c>
      <c r="O56" s="347">
        <f>N56*'Cash-flow 6.2025'!$D$57/12</f>
        <v>0</v>
      </c>
      <c r="Q56" s="344">
        <v>46753</v>
      </c>
      <c r="R56" s="345">
        <v>0</v>
      </c>
      <c r="S56" s="346">
        <f t="shared" si="3"/>
        <v>0</v>
      </c>
      <c r="T56" s="347">
        <f>S56*'Cash-flow 6.2025'!$D$58/12</f>
        <v>0</v>
      </c>
    </row>
    <row r="57" spans="2:20" ht="15" customHeight="1">
      <c r="B57" s="349">
        <v>46784</v>
      </c>
      <c r="C57" s="345">
        <v>0</v>
      </c>
      <c r="D57" s="346">
        <f t="shared" si="0"/>
        <v>0</v>
      </c>
      <c r="E57" s="347">
        <f>D57*'Cash-flow'!$D$55/12</f>
        <v>0</v>
      </c>
      <c r="G57" s="349">
        <v>46784</v>
      </c>
      <c r="H57" s="345">
        <v>0</v>
      </c>
      <c r="I57" s="346">
        <f t="shared" si="1"/>
        <v>0</v>
      </c>
      <c r="J57" s="347">
        <f>I57*'Cash-flow'!$D$56/12</f>
        <v>0</v>
      </c>
      <c r="L57" s="349">
        <v>46784</v>
      </c>
      <c r="M57" s="345">
        <v>0</v>
      </c>
      <c r="N57" s="346">
        <f t="shared" si="2"/>
        <v>0</v>
      </c>
      <c r="O57" s="347">
        <f>N57*'Cash-flow 6.2025'!$D$57/12</f>
        <v>0</v>
      </c>
      <c r="Q57" s="349">
        <v>46784</v>
      </c>
      <c r="R57" s="345">
        <v>0</v>
      </c>
      <c r="S57" s="346">
        <f t="shared" si="3"/>
        <v>0</v>
      </c>
      <c r="T57" s="347">
        <f>S57*'Cash-flow 6.2025'!$D$58/12</f>
        <v>0</v>
      </c>
    </row>
    <row r="58" spans="2:20" ht="15" customHeight="1">
      <c r="B58" s="349">
        <v>46813</v>
      </c>
      <c r="C58" s="345">
        <v>0</v>
      </c>
      <c r="D58" s="346">
        <f t="shared" si="0"/>
        <v>0</v>
      </c>
      <c r="E58" s="347">
        <f>D58*'Cash-flow'!$D$55/12</f>
        <v>0</v>
      </c>
      <c r="G58" s="349">
        <v>46813</v>
      </c>
      <c r="H58" s="345">
        <v>0</v>
      </c>
      <c r="I58" s="346">
        <f t="shared" si="1"/>
        <v>0</v>
      </c>
      <c r="J58" s="347">
        <f>I58*'Cash-flow'!$D$56/12</f>
        <v>0</v>
      </c>
      <c r="L58" s="349">
        <v>46813</v>
      </c>
      <c r="M58" s="345">
        <v>0</v>
      </c>
      <c r="N58" s="346">
        <f t="shared" si="2"/>
        <v>0</v>
      </c>
      <c r="O58" s="347">
        <f>N58*'Cash-flow 6.2025'!$D$57/12</f>
        <v>0</v>
      </c>
      <c r="Q58" s="349">
        <v>46813</v>
      </c>
      <c r="R58" s="345">
        <v>0</v>
      </c>
      <c r="S58" s="346">
        <f t="shared" si="3"/>
        <v>0</v>
      </c>
      <c r="T58" s="347">
        <f>S58*'Cash-flow 6.2025'!$D$58/12</f>
        <v>0</v>
      </c>
    </row>
    <row r="59" spans="2:20" ht="15" customHeight="1">
      <c r="B59" s="349">
        <v>46844</v>
      </c>
      <c r="C59" s="345">
        <v>0</v>
      </c>
      <c r="D59" s="346">
        <f t="shared" si="0"/>
        <v>0</v>
      </c>
      <c r="E59" s="347">
        <f>D59*'Cash-flow'!$D$55/12</f>
        <v>0</v>
      </c>
      <c r="G59" s="349">
        <v>46844</v>
      </c>
      <c r="H59" s="345">
        <v>0</v>
      </c>
      <c r="I59" s="346">
        <f t="shared" si="1"/>
        <v>0</v>
      </c>
      <c r="J59" s="347">
        <f>I59*'Cash-flow'!$D$56/12</f>
        <v>0</v>
      </c>
      <c r="L59" s="349">
        <v>46844</v>
      </c>
      <c r="M59" s="345">
        <v>0</v>
      </c>
      <c r="N59" s="346">
        <f t="shared" si="2"/>
        <v>0</v>
      </c>
      <c r="O59" s="347">
        <f>N59*'Cash-flow 6.2025'!$D$57/12</f>
        <v>0</v>
      </c>
      <c r="Q59" s="349">
        <v>46844</v>
      </c>
      <c r="R59" s="345">
        <v>0</v>
      </c>
      <c r="S59" s="346">
        <f t="shared" si="3"/>
        <v>0</v>
      </c>
      <c r="T59" s="347">
        <f>S59*'Cash-flow 6.2025'!$D$58/12</f>
        <v>0</v>
      </c>
    </row>
    <row r="60" spans="2:20" ht="14">
      <c r="B60" s="349">
        <v>46874</v>
      </c>
      <c r="C60" s="345">
        <v>0</v>
      </c>
      <c r="D60" s="346">
        <f t="shared" si="0"/>
        <v>0</v>
      </c>
      <c r="E60" s="347">
        <f>D60*'Cash-flow'!$D$55/12</f>
        <v>0</v>
      </c>
      <c r="G60" s="349">
        <v>46874</v>
      </c>
      <c r="H60" s="345">
        <v>0</v>
      </c>
      <c r="I60" s="346">
        <f t="shared" si="1"/>
        <v>0</v>
      </c>
      <c r="J60" s="347">
        <f>I60*'Cash-flow'!$D$56/12</f>
        <v>0</v>
      </c>
      <c r="L60" s="349">
        <v>46874</v>
      </c>
      <c r="M60" s="345">
        <v>0</v>
      </c>
      <c r="N60" s="346">
        <f t="shared" si="2"/>
        <v>0</v>
      </c>
      <c r="O60" s="347">
        <f>N60*'Cash-flow 6.2025'!$D$57/12</f>
        <v>0</v>
      </c>
      <c r="Q60" s="349">
        <v>46874</v>
      </c>
      <c r="R60" s="345">
        <v>0</v>
      </c>
      <c r="S60" s="346">
        <f t="shared" si="3"/>
        <v>0</v>
      </c>
      <c r="T60" s="347">
        <f>S60*'Cash-flow 6.2025'!$D$58/12</f>
        <v>0</v>
      </c>
    </row>
    <row r="61" spans="2:20" ht="14">
      <c r="B61" s="350">
        <v>46905</v>
      </c>
      <c r="C61" s="345">
        <v>0</v>
      </c>
      <c r="D61" s="346">
        <f t="shared" si="0"/>
        <v>0</v>
      </c>
      <c r="E61" s="347">
        <f>D61*'Cash-flow'!$D$55/12</f>
        <v>0</v>
      </c>
      <c r="G61" s="350">
        <v>46905</v>
      </c>
      <c r="H61" s="345">
        <v>0</v>
      </c>
      <c r="I61" s="346">
        <f t="shared" si="1"/>
        <v>0</v>
      </c>
      <c r="J61" s="347">
        <f>I61*'Cash-flow'!$D$56/12</f>
        <v>0</v>
      </c>
      <c r="L61" s="350">
        <v>46905</v>
      </c>
      <c r="M61" s="345">
        <v>0</v>
      </c>
      <c r="N61" s="346">
        <f t="shared" si="2"/>
        <v>0</v>
      </c>
      <c r="O61" s="347">
        <f>N61*'Cash-flow 6.2025'!$D$57/12</f>
        <v>0</v>
      </c>
      <c r="Q61" s="350">
        <v>46905</v>
      </c>
      <c r="R61" s="345">
        <v>0</v>
      </c>
      <c r="S61" s="346">
        <f t="shared" si="3"/>
        <v>0</v>
      </c>
      <c r="T61" s="347">
        <f>S61*'Cash-flow 6.2025'!$D$58/12</f>
        <v>0</v>
      </c>
    </row>
    <row r="62" spans="2:20" ht="14">
      <c r="B62" s="349">
        <v>46935</v>
      </c>
      <c r="C62" s="345">
        <v>0</v>
      </c>
      <c r="D62" s="346">
        <f t="shared" si="0"/>
        <v>0</v>
      </c>
      <c r="E62" s="347">
        <f>D62*'Cash-flow'!$D$55/12</f>
        <v>0</v>
      </c>
      <c r="G62" s="349">
        <v>46935</v>
      </c>
      <c r="H62" s="345">
        <v>0</v>
      </c>
      <c r="I62" s="346">
        <f t="shared" si="1"/>
        <v>0</v>
      </c>
      <c r="J62" s="347">
        <f>I62*'Cash-flow'!$D$56/12</f>
        <v>0</v>
      </c>
      <c r="L62" s="349">
        <v>46935</v>
      </c>
      <c r="M62" s="345">
        <v>0</v>
      </c>
      <c r="N62" s="346">
        <f t="shared" si="2"/>
        <v>0</v>
      </c>
      <c r="O62" s="347">
        <f>N62*'Cash-flow 6.2025'!$D$57/12</f>
        <v>0</v>
      </c>
      <c r="Q62" s="349">
        <v>46935</v>
      </c>
      <c r="R62" s="345">
        <v>0</v>
      </c>
      <c r="S62" s="346">
        <f t="shared" si="3"/>
        <v>0</v>
      </c>
      <c r="T62" s="347">
        <f>S62*'Cash-flow 6.2025'!$D$58/12</f>
        <v>0</v>
      </c>
    </row>
    <row r="63" spans="2:20" ht="14">
      <c r="B63" s="349">
        <v>46966</v>
      </c>
      <c r="C63" s="345">
        <v>0</v>
      </c>
      <c r="D63" s="346">
        <f t="shared" si="0"/>
        <v>0</v>
      </c>
      <c r="E63" s="347">
        <f>D63*'Cash-flow'!$D$55/12</f>
        <v>0</v>
      </c>
      <c r="G63" s="349">
        <v>46966</v>
      </c>
      <c r="H63" s="345">
        <v>0</v>
      </c>
      <c r="I63" s="346">
        <f t="shared" si="1"/>
        <v>0</v>
      </c>
      <c r="J63" s="347">
        <f>I63*'Cash-flow'!$D$56/12</f>
        <v>0</v>
      </c>
      <c r="L63" s="349">
        <v>46966</v>
      </c>
      <c r="M63" s="345">
        <v>0</v>
      </c>
      <c r="N63" s="346">
        <f t="shared" si="2"/>
        <v>0</v>
      </c>
      <c r="O63" s="347">
        <f>N63*'Cash-flow 6.2025'!$D$57/12</f>
        <v>0</v>
      </c>
      <c r="Q63" s="349">
        <v>46966</v>
      </c>
      <c r="R63" s="345">
        <v>0</v>
      </c>
      <c r="S63" s="346">
        <f t="shared" si="3"/>
        <v>0</v>
      </c>
      <c r="T63" s="347">
        <f>S63*'Cash-flow 6.2025'!$D$58/12</f>
        <v>0</v>
      </c>
    </row>
    <row r="64" spans="2:20" ht="14">
      <c r="B64" s="349">
        <v>46997</v>
      </c>
      <c r="C64" s="345">
        <v>0</v>
      </c>
      <c r="D64" s="346">
        <f t="shared" si="0"/>
        <v>0</v>
      </c>
      <c r="E64" s="347">
        <f>D64*'Cash-flow'!$D$55/12</f>
        <v>0</v>
      </c>
      <c r="G64" s="349">
        <v>46997</v>
      </c>
      <c r="H64" s="345">
        <v>0</v>
      </c>
      <c r="I64" s="346">
        <f t="shared" si="1"/>
        <v>0</v>
      </c>
      <c r="J64" s="347">
        <f>I64*'Cash-flow'!$D$56/12</f>
        <v>0</v>
      </c>
      <c r="L64" s="349">
        <v>46997</v>
      </c>
      <c r="M64" s="345">
        <v>0</v>
      </c>
      <c r="N64" s="346">
        <f t="shared" si="2"/>
        <v>0</v>
      </c>
      <c r="O64" s="347">
        <f>N64*'Cash-flow 6.2025'!$D$57/12</f>
        <v>0</v>
      </c>
      <c r="Q64" s="349">
        <v>46997</v>
      </c>
      <c r="R64" s="345">
        <v>0</v>
      </c>
      <c r="S64" s="346">
        <f t="shared" si="3"/>
        <v>0</v>
      </c>
      <c r="T64" s="347">
        <f>S64*'Cash-flow 6.2025'!$D$58/12</f>
        <v>0</v>
      </c>
    </row>
    <row r="65" spans="2:20" ht="14">
      <c r="B65" s="349">
        <v>47027</v>
      </c>
      <c r="C65" s="345">
        <v>0</v>
      </c>
      <c r="D65" s="346">
        <f t="shared" si="0"/>
        <v>0</v>
      </c>
      <c r="E65" s="347">
        <f>D65*'Cash-flow'!$D$55/12</f>
        <v>0</v>
      </c>
      <c r="G65" s="349">
        <v>47027</v>
      </c>
      <c r="H65" s="345">
        <v>0</v>
      </c>
      <c r="I65" s="346">
        <f t="shared" si="1"/>
        <v>0</v>
      </c>
      <c r="J65" s="347">
        <f>I65*'Cash-flow'!$D$56/12</f>
        <v>0</v>
      </c>
      <c r="L65" s="349">
        <v>47027</v>
      </c>
      <c r="M65" s="345">
        <v>0</v>
      </c>
      <c r="N65" s="346">
        <f t="shared" si="2"/>
        <v>0</v>
      </c>
      <c r="O65" s="347">
        <f>N65*'Cash-flow 6.2025'!$D$57/12</f>
        <v>0</v>
      </c>
      <c r="Q65" s="349">
        <v>47027</v>
      </c>
      <c r="R65" s="345">
        <v>0</v>
      </c>
      <c r="S65" s="346">
        <f t="shared" si="3"/>
        <v>0</v>
      </c>
      <c r="T65" s="347">
        <f>S65*'Cash-flow 6.2025'!$D$58/12</f>
        <v>0</v>
      </c>
    </row>
    <row r="66" spans="2:20" ht="14">
      <c r="B66" s="349">
        <v>47058</v>
      </c>
      <c r="C66" s="345">
        <v>0</v>
      </c>
      <c r="D66" s="346">
        <f t="shared" si="0"/>
        <v>0</v>
      </c>
      <c r="E66" s="347">
        <f>D66*'Cash-flow'!$D$55/12</f>
        <v>0</v>
      </c>
      <c r="G66" s="349">
        <v>47058</v>
      </c>
      <c r="H66" s="345">
        <v>0</v>
      </c>
      <c r="I66" s="346">
        <f t="shared" si="1"/>
        <v>0</v>
      </c>
      <c r="J66" s="347">
        <f>I66*'Cash-flow'!$D$56/12</f>
        <v>0</v>
      </c>
      <c r="L66" s="349">
        <v>47058</v>
      </c>
      <c r="M66" s="345">
        <v>0</v>
      </c>
      <c r="N66" s="346">
        <f t="shared" si="2"/>
        <v>0</v>
      </c>
      <c r="O66" s="347">
        <f>N66*'Cash-flow 6.2025'!$D$57/12</f>
        <v>0</v>
      </c>
      <c r="Q66" s="349">
        <v>47058</v>
      </c>
      <c r="R66" s="345">
        <v>0</v>
      </c>
      <c r="S66" s="346">
        <f t="shared" si="3"/>
        <v>0</v>
      </c>
      <c r="T66" s="347">
        <f>S66*'Cash-flow 6.2025'!$D$58/12</f>
        <v>0</v>
      </c>
    </row>
    <row r="67" spans="2:20" ht="14">
      <c r="B67" s="349">
        <v>47088</v>
      </c>
      <c r="C67" s="345">
        <v>0</v>
      </c>
      <c r="D67" s="346">
        <f t="shared" si="0"/>
        <v>0</v>
      </c>
      <c r="E67" s="347">
        <f>D67*'Cash-flow'!$D$55/12</f>
        <v>0</v>
      </c>
      <c r="G67" s="349">
        <v>47088</v>
      </c>
      <c r="H67" s="345">
        <v>0</v>
      </c>
      <c r="I67" s="346">
        <f t="shared" si="1"/>
        <v>0</v>
      </c>
      <c r="J67" s="347">
        <f>I67*'Cash-flow'!$D$56/12</f>
        <v>0</v>
      </c>
      <c r="L67" s="349">
        <v>47088</v>
      </c>
      <c r="M67" s="345">
        <v>0</v>
      </c>
      <c r="N67" s="346">
        <f t="shared" si="2"/>
        <v>0</v>
      </c>
      <c r="O67" s="347">
        <f>N67*'Cash-flow 6.2025'!$D$57/12</f>
        <v>0</v>
      </c>
      <c r="Q67" s="349">
        <v>47088</v>
      </c>
      <c r="R67" s="345">
        <v>0</v>
      </c>
      <c r="S67" s="346">
        <f t="shared" si="3"/>
        <v>0</v>
      </c>
      <c r="T67" s="347">
        <f>S67*'Cash-flow 6.2025'!$D$58/12</f>
        <v>0</v>
      </c>
    </row>
    <row r="68" spans="2:20" ht="14">
      <c r="B68" s="344">
        <v>47119</v>
      </c>
      <c r="C68" s="345">
        <v>0</v>
      </c>
      <c r="D68" s="346">
        <f t="shared" si="0"/>
        <v>0</v>
      </c>
      <c r="E68" s="347">
        <f>D68*'Cash-flow'!$D$55/12</f>
        <v>0</v>
      </c>
      <c r="G68" s="344">
        <v>47119</v>
      </c>
      <c r="H68" s="345">
        <v>0</v>
      </c>
      <c r="I68" s="346">
        <f t="shared" si="1"/>
        <v>0</v>
      </c>
      <c r="J68" s="347">
        <f>I68*'Cash-flow'!$D$56/12</f>
        <v>0</v>
      </c>
      <c r="L68" s="344">
        <v>47119</v>
      </c>
      <c r="M68" s="345">
        <v>0</v>
      </c>
      <c r="N68" s="346">
        <f t="shared" si="2"/>
        <v>0</v>
      </c>
      <c r="O68" s="347">
        <f>N68*'Cash-flow 6.2025'!$D$57/12</f>
        <v>0</v>
      </c>
      <c r="Q68" s="344">
        <v>47119</v>
      </c>
      <c r="R68" s="345">
        <v>0</v>
      </c>
      <c r="S68" s="346">
        <f t="shared" si="3"/>
        <v>0</v>
      </c>
      <c r="T68" s="347">
        <f>S68*'Cash-flow 6.2025'!$D$58/12</f>
        <v>0</v>
      </c>
    </row>
    <row r="69" spans="2:20" ht="14">
      <c r="B69" s="349">
        <v>47150</v>
      </c>
      <c r="C69" s="345">
        <v>0</v>
      </c>
      <c r="D69" s="346">
        <f t="shared" si="0"/>
        <v>0</v>
      </c>
      <c r="E69" s="347">
        <f>D69*'Cash-flow'!$D$55/12</f>
        <v>0</v>
      </c>
      <c r="G69" s="349">
        <v>47150</v>
      </c>
      <c r="H69" s="345">
        <v>0</v>
      </c>
      <c r="I69" s="346">
        <f t="shared" si="1"/>
        <v>0</v>
      </c>
      <c r="J69" s="347">
        <f>I69*'Cash-flow'!$D$56/12</f>
        <v>0</v>
      </c>
      <c r="L69" s="349">
        <v>47150</v>
      </c>
      <c r="M69" s="345">
        <v>0</v>
      </c>
      <c r="N69" s="346">
        <f t="shared" si="2"/>
        <v>0</v>
      </c>
      <c r="O69" s="347">
        <f>N69*'Cash-flow 6.2025'!$D$57/12</f>
        <v>0</v>
      </c>
      <c r="Q69" s="349">
        <v>47150</v>
      </c>
      <c r="R69" s="345">
        <v>0</v>
      </c>
      <c r="S69" s="346">
        <f t="shared" si="3"/>
        <v>0</v>
      </c>
      <c r="T69" s="347">
        <f>S69*'Cash-flow 6.2025'!$D$58/12</f>
        <v>0</v>
      </c>
    </row>
    <row r="70" spans="2:20" ht="14">
      <c r="B70" s="349">
        <v>47178</v>
      </c>
      <c r="C70" s="345">
        <v>0</v>
      </c>
      <c r="D70" s="346">
        <f t="shared" si="0"/>
        <v>0</v>
      </c>
      <c r="E70" s="347">
        <f>D70*'Cash-flow'!$D$55/12</f>
        <v>0</v>
      </c>
      <c r="G70" s="349">
        <v>47178</v>
      </c>
      <c r="H70" s="345">
        <v>0</v>
      </c>
      <c r="I70" s="346">
        <f t="shared" si="1"/>
        <v>0</v>
      </c>
      <c r="J70" s="347">
        <f>I70*'Cash-flow'!$D$56/12</f>
        <v>0</v>
      </c>
      <c r="L70" s="349">
        <v>47178</v>
      </c>
      <c r="M70" s="345">
        <v>0</v>
      </c>
      <c r="N70" s="346">
        <f t="shared" si="2"/>
        <v>0</v>
      </c>
      <c r="O70" s="347">
        <f>N70*'Cash-flow 6.2025'!$D$57/12</f>
        <v>0</v>
      </c>
      <c r="Q70" s="349">
        <v>47178</v>
      </c>
      <c r="R70" s="345">
        <v>0</v>
      </c>
      <c r="S70" s="346">
        <f t="shared" si="3"/>
        <v>0</v>
      </c>
      <c r="T70" s="347">
        <f>S70*'Cash-flow 6.2025'!$D$58/12</f>
        <v>0</v>
      </c>
    </row>
    <row r="71" spans="2:20" ht="14">
      <c r="B71" s="349">
        <v>47209</v>
      </c>
      <c r="C71" s="345">
        <v>0</v>
      </c>
      <c r="D71" s="346">
        <f t="shared" si="0"/>
        <v>0</v>
      </c>
      <c r="E71" s="347">
        <f>D71*'Cash-flow'!$D$55/12</f>
        <v>0</v>
      </c>
      <c r="G71" s="349">
        <v>47209</v>
      </c>
      <c r="H71" s="345">
        <v>0</v>
      </c>
      <c r="I71" s="346">
        <f t="shared" si="1"/>
        <v>0</v>
      </c>
      <c r="J71" s="347">
        <f>I71*'Cash-flow'!$D$56/12</f>
        <v>0</v>
      </c>
      <c r="L71" s="349">
        <v>47209</v>
      </c>
      <c r="M71" s="345">
        <v>0</v>
      </c>
      <c r="N71" s="346">
        <f t="shared" si="2"/>
        <v>0</v>
      </c>
      <c r="O71" s="347">
        <f>N71*'Cash-flow 6.2025'!$D$57/12</f>
        <v>0</v>
      </c>
      <c r="Q71" s="349">
        <v>47209</v>
      </c>
      <c r="R71" s="345">
        <v>0</v>
      </c>
      <c r="S71" s="346">
        <f t="shared" si="3"/>
        <v>0</v>
      </c>
      <c r="T71" s="347">
        <f>S71*'Cash-flow 6.2025'!$D$58/12</f>
        <v>0</v>
      </c>
    </row>
    <row r="72" spans="2:20" ht="14">
      <c r="B72" s="349">
        <v>47239</v>
      </c>
      <c r="C72" s="345">
        <v>0</v>
      </c>
      <c r="D72" s="346">
        <f t="shared" si="0"/>
        <v>0</v>
      </c>
      <c r="E72" s="347">
        <f>D72*'Cash-flow'!$D$55/12</f>
        <v>0</v>
      </c>
      <c r="G72" s="349">
        <v>47239</v>
      </c>
      <c r="H72" s="345">
        <v>0</v>
      </c>
      <c r="I72" s="346">
        <f t="shared" si="1"/>
        <v>0</v>
      </c>
      <c r="J72" s="347">
        <f>I72*'Cash-flow'!$D$56/12</f>
        <v>0</v>
      </c>
      <c r="L72" s="349">
        <v>47239</v>
      </c>
      <c r="M72" s="345">
        <v>0</v>
      </c>
      <c r="N72" s="346">
        <f t="shared" si="2"/>
        <v>0</v>
      </c>
      <c r="O72" s="347">
        <f>N72*'Cash-flow 6.2025'!$D$57/12</f>
        <v>0</v>
      </c>
      <c r="Q72" s="349">
        <v>47239</v>
      </c>
      <c r="R72" s="345">
        <v>0</v>
      </c>
      <c r="S72" s="346">
        <f t="shared" si="3"/>
        <v>0</v>
      </c>
      <c r="T72" s="347">
        <f>S72*'Cash-flow 6.2025'!$D$58/12</f>
        <v>0</v>
      </c>
    </row>
    <row r="73" spans="2:20" ht="14">
      <c r="B73" s="350">
        <v>47270</v>
      </c>
      <c r="C73" s="345">
        <v>0</v>
      </c>
      <c r="D73" s="346">
        <f t="shared" si="0"/>
        <v>0</v>
      </c>
      <c r="E73" s="347">
        <f>D73*'Cash-flow'!$D$55/12</f>
        <v>0</v>
      </c>
      <c r="G73" s="350">
        <v>47270</v>
      </c>
      <c r="H73" s="345">
        <v>0</v>
      </c>
      <c r="I73" s="346">
        <f t="shared" si="1"/>
        <v>0</v>
      </c>
      <c r="J73" s="347">
        <f>I73*'Cash-flow'!$D$56/12</f>
        <v>0</v>
      </c>
      <c r="L73" s="350">
        <v>47270</v>
      </c>
      <c r="M73" s="345">
        <v>0</v>
      </c>
      <c r="N73" s="346">
        <f t="shared" si="2"/>
        <v>0</v>
      </c>
      <c r="O73" s="347">
        <f>N73*'Cash-flow 6.2025'!$D$57/12</f>
        <v>0</v>
      </c>
      <c r="Q73" s="350">
        <v>47270</v>
      </c>
      <c r="R73" s="345">
        <v>0</v>
      </c>
      <c r="S73" s="346">
        <f t="shared" si="3"/>
        <v>0</v>
      </c>
      <c r="T73" s="347">
        <f>S73*'Cash-flow 6.2025'!$D$58/12</f>
        <v>0</v>
      </c>
    </row>
    <row r="74" spans="2:20" ht="14">
      <c r="B74" s="349">
        <v>47300</v>
      </c>
      <c r="C74" s="345">
        <v>0</v>
      </c>
      <c r="D74" s="346">
        <f t="shared" si="0"/>
        <v>0</v>
      </c>
      <c r="E74" s="347">
        <f>D74*'Cash-flow'!$D$55/12</f>
        <v>0</v>
      </c>
      <c r="G74" s="349">
        <v>47300</v>
      </c>
      <c r="H74" s="345">
        <v>0</v>
      </c>
      <c r="I74" s="346">
        <f t="shared" si="1"/>
        <v>0</v>
      </c>
      <c r="J74" s="347">
        <f>I74*'Cash-flow'!$D$56/12</f>
        <v>0</v>
      </c>
      <c r="L74" s="349">
        <v>47300</v>
      </c>
      <c r="M74" s="345">
        <v>0</v>
      </c>
      <c r="N74" s="346">
        <f t="shared" si="2"/>
        <v>0</v>
      </c>
      <c r="O74" s="347">
        <f>N74*'Cash-flow 6.2025'!$D$57/12</f>
        <v>0</v>
      </c>
      <c r="Q74" s="349">
        <v>47300</v>
      </c>
      <c r="R74" s="345">
        <v>0</v>
      </c>
      <c r="S74" s="346">
        <f t="shared" si="3"/>
        <v>0</v>
      </c>
      <c r="T74" s="347">
        <f>S74*'Cash-flow 6.2025'!$D$58/12</f>
        <v>0</v>
      </c>
    </row>
    <row r="75" spans="2:20" ht="14">
      <c r="B75" s="349">
        <v>47331</v>
      </c>
      <c r="C75" s="345">
        <v>0</v>
      </c>
      <c r="D75" s="346">
        <f t="shared" si="0"/>
        <v>0</v>
      </c>
      <c r="E75" s="347">
        <f>D75*'Cash-flow'!$D$55/12</f>
        <v>0</v>
      </c>
      <c r="G75" s="349">
        <v>47331</v>
      </c>
      <c r="H75" s="345">
        <v>0</v>
      </c>
      <c r="I75" s="346">
        <f t="shared" si="1"/>
        <v>0</v>
      </c>
      <c r="J75" s="347">
        <f>I75*'Cash-flow'!$D$56/12</f>
        <v>0</v>
      </c>
      <c r="L75" s="349">
        <v>47331</v>
      </c>
      <c r="M75" s="345">
        <v>0</v>
      </c>
      <c r="N75" s="346">
        <f t="shared" si="2"/>
        <v>0</v>
      </c>
      <c r="O75" s="347">
        <f>N75*'Cash-flow 6.2025'!$D$57/12</f>
        <v>0</v>
      </c>
      <c r="Q75" s="349">
        <v>47331</v>
      </c>
      <c r="R75" s="345">
        <v>0</v>
      </c>
      <c r="S75" s="346">
        <f t="shared" si="3"/>
        <v>0</v>
      </c>
      <c r="T75" s="347">
        <f>S75*'Cash-flow 6.2025'!$D$58/12</f>
        <v>0</v>
      </c>
    </row>
    <row r="76" spans="2:20" ht="14">
      <c r="B76" s="349">
        <v>47362</v>
      </c>
      <c r="C76" s="345">
        <v>0</v>
      </c>
      <c r="D76" s="346">
        <f t="shared" si="0"/>
        <v>0</v>
      </c>
      <c r="E76" s="347">
        <f>D76*'Cash-flow'!$D$55/12</f>
        <v>0</v>
      </c>
      <c r="G76" s="349">
        <v>47362</v>
      </c>
      <c r="H76" s="345">
        <v>0</v>
      </c>
      <c r="I76" s="346">
        <f t="shared" si="1"/>
        <v>0</v>
      </c>
      <c r="J76" s="347">
        <f>I76*'Cash-flow'!$D$56/12</f>
        <v>0</v>
      </c>
      <c r="L76" s="349">
        <v>47362</v>
      </c>
      <c r="M76" s="345">
        <v>0</v>
      </c>
      <c r="N76" s="346">
        <f t="shared" si="2"/>
        <v>0</v>
      </c>
      <c r="O76" s="347">
        <f>N76*'Cash-flow 6.2025'!$D$57/12</f>
        <v>0</v>
      </c>
      <c r="Q76" s="349">
        <v>47362</v>
      </c>
      <c r="R76" s="345">
        <v>0</v>
      </c>
      <c r="S76" s="346">
        <f t="shared" si="3"/>
        <v>0</v>
      </c>
      <c r="T76" s="347">
        <f>S76*'Cash-flow 6.2025'!$D$58/12</f>
        <v>0</v>
      </c>
    </row>
    <row r="77" spans="2:20" ht="14">
      <c r="B77" s="349">
        <v>47392</v>
      </c>
      <c r="C77" s="345">
        <v>0</v>
      </c>
      <c r="D77" s="346">
        <f t="shared" si="0"/>
        <v>0</v>
      </c>
      <c r="E77" s="347">
        <f>D77*'Cash-flow'!$D$55/12</f>
        <v>0</v>
      </c>
      <c r="G77" s="349">
        <v>47392</v>
      </c>
      <c r="H77" s="345">
        <v>0</v>
      </c>
      <c r="I77" s="346">
        <f t="shared" si="1"/>
        <v>0</v>
      </c>
      <c r="J77" s="347">
        <f>I77*'Cash-flow'!$D$56/12</f>
        <v>0</v>
      </c>
      <c r="L77" s="349">
        <v>47392</v>
      </c>
      <c r="M77" s="345">
        <v>0</v>
      </c>
      <c r="N77" s="346">
        <f t="shared" si="2"/>
        <v>0</v>
      </c>
      <c r="O77" s="347">
        <f>N77*'Cash-flow 6.2025'!$D$57/12</f>
        <v>0</v>
      </c>
      <c r="Q77" s="349">
        <v>47392</v>
      </c>
      <c r="R77" s="345">
        <v>0</v>
      </c>
      <c r="S77" s="346">
        <f t="shared" si="3"/>
        <v>0</v>
      </c>
      <c r="T77" s="347">
        <f>S77*'Cash-flow 6.2025'!$D$58/12</f>
        <v>0</v>
      </c>
    </row>
    <row r="78" spans="2:20" ht="14">
      <c r="B78" s="349">
        <v>47423</v>
      </c>
      <c r="C78" s="345">
        <v>0</v>
      </c>
      <c r="D78" s="346">
        <f t="shared" si="0"/>
        <v>0</v>
      </c>
      <c r="E78" s="347">
        <f>D78*'Cash-flow'!$D$55/12</f>
        <v>0</v>
      </c>
      <c r="G78" s="349">
        <v>47423</v>
      </c>
      <c r="H78" s="345">
        <v>0</v>
      </c>
      <c r="I78" s="346">
        <f t="shared" si="1"/>
        <v>0</v>
      </c>
      <c r="J78" s="347">
        <f>I78*'Cash-flow'!$D$56/12</f>
        <v>0</v>
      </c>
      <c r="L78" s="349">
        <v>47423</v>
      </c>
      <c r="M78" s="345">
        <v>0</v>
      </c>
      <c r="N78" s="346">
        <f t="shared" si="2"/>
        <v>0</v>
      </c>
      <c r="O78" s="347">
        <f>N78*'Cash-flow 6.2025'!$D$57/12</f>
        <v>0</v>
      </c>
      <c r="Q78" s="349">
        <v>47423</v>
      </c>
      <c r="R78" s="345">
        <v>0</v>
      </c>
      <c r="S78" s="346">
        <f t="shared" si="3"/>
        <v>0</v>
      </c>
      <c r="T78" s="347">
        <f>S78*'Cash-flow 6.2025'!$D$58/12</f>
        <v>0</v>
      </c>
    </row>
    <row r="79" spans="2:20" ht="14">
      <c r="B79" s="349">
        <v>47453</v>
      </c>
      <c r="C79" s="345">
        <v>0</v>
      </c>
      <c r="D79" s="346">
        <f>D78</f>
        <v>0</v>
      </c>
      <c r="E79" s="347">
        <f>D79*'Cash-flow'!$D$55/12</f>
        <v>0</v>
      </c>
      <c r="G79" s="349">
        <v>47453</v>
      </c>
      <c r="H79" s="345">
        <v>0</v>
      </c>
      <c r="I79" s="346">
        <f>I78</f>
        <v>0</v>
      </c>
      <c r="J79" s="347">
        <f>I79*'Cash-flow'!$D$56/12</f>
        <v>0</v>
      </c>
      <c r="L79" s="349">
        <v>47453</v>
      </c>
      <c r="M79" s="345">
        <v>0</v>
      </c>
      <c r="N79" s="346">
        <f>N78</f>
        <v>0</v>
      </c>
      <c r="O79" s="347">
        <f>N79*'Cash-flow 6.2025'!$D$57/12</f>
        <v>0</v>
      </c>
      <c r="Q79" s="349">
        <v>47453</v>
      </c>
      <c r="R79" s="345">
        <v>0</v>
      </c>
      <c r="S79" s="346">
        <f>S78</f>
        <v>0</v>
      </c>
      <c r="T79" s="347">
        <f>S79*'Cash-flow 6.2025'!$D$58/12</f>
        <v>0</v>
      </c>
    </row>
  </sheetData>
  <mergeCells count="4">
    <mergeCell ref="B2:E3"/>
    <mergeCell ref="G2:J3"/>
    <mergeCell ref="L2:O3"/>
    <mergeCell ref="Q2:T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3:K32"/>
  <sheetViews>
    <sheetView zoomScale="125" workbookViewId="0">
      <selection activeCell="B2" sqref="B2:C4"/>
    </sheetView>
  </sheetViews>
  <sheetFormatPr baseColWidth="10" defaultColWidth="12.6640625" defaultRowHeight="15" customHeight="1"/>
  <cols>
    <col min="1" max="1" width="25.1640625" customWidth="1"/>
    <col min="3" max="3" width="15" customWidth="1"/>
    <col min="4" max="4" width="13.33203125" customWidth="1"/>
    <col min="5" max="6" width="18.6640625" customWidth="1"/>
  </cols>
  <sheetData>
    <row r="3" spans="1:8" ht="15" customHeight="1">
      <c r="A3" s="464" t="s">
        <v>377</v>
      </c>
      <c r="B3" s="27"/>
      <c r="C3" s="27"/>
      <c r="D3" s="27"/>
      <c r="E3" s="27"/>
      <c r="F3" s="27"/>
      <c r="G3" s="27"/>
      <c r="H3" s="27"/>
    </row>
    <row r="4" spans="1:8" ht="15" customHeight="1">
      <c r="A4" s="451"/>
      <c r="B4" s="469" t="s">
        <v>378</v>
      </c>
      <c r="C4" s="467" t="s">
        <v>379</v>
      </c>
      <c r="D4" s="467" t="s">
        <v>380</v>
      </c>
      <c r="E4" s="467" t="s">
        <v>381</v>
      </c>
      <c r="F4" s="468" t="s">
        <v>382</v>
      </c>
      <c r="G4" s="468" t="s">
        <v>383</v>
      </c>
      <c r="H4" s="468" t="s">
        <v>384</v>
      </c>
    </row>
    <row r="5" spans="1:8" ht="15" customHeight="1">
      <c r="A5" s="465" t="s">
        <v>385</v>
      </c>
      <c r="B5" s="465">
        <v>2000</v>
      </c>
      <c r="C5" s="466">
        <v>750000</v>
      </c>
      <c r="D5" s="466">
        <v>0</v>
      </c>
      <c r="E5" s="466">
        <v>800000</v>
      </c>
      <c r="F5" s="466">
        <v>60000</v>
      </c>
      <c r="G5" s="466">
        <v>18000</v>
      </c>
      <c r="H5" s="466">
        <v>90000</v>
      </c>
    </row>
    <row r="6" spans="1:8" ht="15" customHeight="1">
      <c r="A6" s="465" t="s">
        <v>386</v>
      </c>
      <c r="B6" s="465">
        <v>3000</v>
      </c>
      <c r="C6" s="466">
        <v>937500</v>
      </c>
      <c r="D6" s="466">
        <v>0</v>
      </c>
      <c r="E6" s="466">
        <v>1000000</v>
      </c>
      <c r="F6" s="466">
        <v>60000</v>
      </c>
      <c r="G6" s="466">
        <v>18000</v>
      </c>
      <c r="H6" s="466">
        <v>90000</v>
      </c>
    </row>
    <row r="7" spans="1:8" ht="15" customHeight="1">
      <c r="A7" s="465" t="s">
        <v>387</v>
      </c>
      <c r="B7" s="465">
        <v>4000</v>
      </c>
      <c r="C7" s="466">
        <v>1125000</v>
      </c>
      <c r="D7" s="466">
        <v>0</v>
      </c>
      <c r="E7" s="466">
        <v>1200000</v>
      </c>
      <c r="F7" s="466">
        <v>60000</v>
      </c>
      <c r="G7" s="466">
        <v>18000</v>
      </c>
      <c r="H7" s="466">
        <v>90000</v>
      </c>
    </row>
    <row r="8" spans="1:8" ht="15" customHeight="1">
      <c r="A8" s="465" t="s">
        <v>388</v>
      </c>
      <c r="B8" s="465">
        <v>5000</v>
      </c>
      <c r="C8" s="466">
        <v>1312500</v>
      </c>
      <c r="D8" s="466">
        <v>0</v>
      </c>
      <c r="E8" s="466">
        <v>1400000</v>
      </c>
      <c r="F8" s="466">
        <v>60000</v>
      </c>
      <c r="G8" s="466">
        <v>18000</v>
      </c>
      <c r="H8" s="466">
        <v>90000</v>
      </c>
    </row>
    <row r="21" spans="1:11" ht="14" hidden="1">
      <c r="A21" s="351" t="s">
        <v>389</v>
      </c>
    </row>
    <row r="22" spans="1:11" ht="57" hidden="1" customHeight="1">
      <c r="A22" s="352"/>
      <c r="B22" s="353" t="s">
        <v>378</v>
      </c>
      <c r="C22" s="353" t="s">
        <v>390</v>
      </c>
      <c r="D22" s="353" t="s">
        <v>391</v>
      </c>
      <c r="E22" s="353" t="s">
        <v>392</v>
      </c>
      <c r="F22" s="353" t="s">
        <v>393</v>
      </c>
      <c r="G22" s="353" t="s">
        <v>149</v>
      </c>
      <c r="H22" s="353" t="s">
        <v>394</v>
      </c>
      <c r="I22" s="353" t="s">
        <v>395</v>
      </c>
    </row>
    <row r="23" spans="1:11" hidden="1">
      <c r="A23" s="354" t="s">
        <v>396</v>
      </c>
      <c r="B23" s="524">
        <v>500</v>
      </c>
      <c r="C23" s="524">
        <v>54000</v>
      </c>
      <c r="D23" s="524">
        <v>500000</v>
      </c>
      <c r="E23" s="524">
        <v>135000</v>
      </c>
      <c r="F23" s="524">
        <v>180000</v>
      </c>
      <c r="G23" s="524">
        <v>225000</v>
      </c>
      <c r="H23" s="524">
        <v>22700</v>
      </c>
      <c r="I23" s="524">
        <v>18960</v>
      </c>
    </row>
    <row r="24" spans="1:11" hidden="1">
      <c r="A24" s="354" t="s">
        <v>397</v>
      </c>
      <c r="B24" s="524">
        <v>1000</v>
      </c>
      <c r="C24" s="524">
        <v>54000</v>
      </c>
      <c r="D24" s="524">
        <v>750000</v>
      </c>
      <c r="E24" s="524">
        <v>145000</v>
      </c>
      <c r="F24" s="524">
        <v>180000</v>
      </c>
      <c r="G24" s="524">
        <v>245000</v>
      </c>
      <c r="H24" s="524">
        <v>22700</v>
      </c>
      <c r="I24" s="524">
        <v>18960</v>
      </c>
    </row>
    <row r="25" spans="1:11" hidden="1">
      <c r="A25" s="354" t="s">
        <v>385</v>
      </c>
      <c r="B25" s="524">
        <v>2000</v>
      </c>
      <c r="C25" s="524">
        <v>54000</v>
      </c>
      <c r="D25" s="524">
        <v>1550000</v>
      </c>
      <c r="E25" s="524">
        <v>155000</v>
      </c>
      <c r="F25" s="524">
        <v>195000</v>
      </c>
      <c r="G25" s="524">
        <v>245000</v>
      </c>
      <c r="H25" s="524">
        <v>27200</v>
      </c>
      <c r="I25" s="524">
        <v>18960</v>
      </c>
    </row>
    <row r="26" spans="1:11" hidden="1">
      <c r="A26" s="354" t="s">
        <v>398</v>
      </c>
      <c r="B26" s="524">
        <v>4000</v>
      </c>
      <c r="C26" s="524">
        <v>54000</v>
      </c>
      <c r="D26" s="524">
        <v>1750000</v>
      </c>
      <c r="E26" s="524">
        <v>175000</v>
      </c>
      <c r="F26" s="524">
        <v>195000</v>
      </c>
      <c r="G26" s="524">
        <v>295000</v>
      </c>
      <c r="H26" s="524">
        <v>27000</v>
      </c>
      <c r="I26" s="524">
        <v>18960</v>
      </c>
    </row>
    <row r="27" spans="1:11" hidden="1">
      <c r="A27" s="354" t="s">
        <v>399</v>
      </c>
      <c r="B27" s="524">
        <v>6000</v>
      </c>
      <c r="C27" s="524">
        <v>54000</v>
      </c>
      <c r="D27" s="524">
        <v>1850000</v>
      </c>
      <c r="E27" s="524">
        <v>185000</v>
      </c>
      <c r="F27" s="524">
        <v>195000</v>
      </c>
      <c r="G27" s="524">
        <v>295000</v>
      </c>
      <c r="H27" s="524">
        <v>27000</v>
      </c>
      <c r="I27" s="524">
        <v>22700</v>
      </c>
    </row>
    <row r="28" spans="1:11" hidden="1">
      <c r="A28" s="354" t="s">
        <v>400</v>
      </c>
      <c r="B28" s="524"/>
      <c r="C28" s="524">
        <v>54000</v>
      </c>
      <c r="D28" s="524">
        <v>2050000</v>
      </c>
      <c r="E28" s="524">
        <v>205000</v>
      </c>
      <c r="F28" s="524">
        <v>195000</v>
      </c>
      <c r="G28" s="524">
        <v>350000</v>
      </c>
      <c r="H28" s="524">
        <v>35000</v>
      </c>
      <c r="I28" s="524">
        <v>29500</v>
      </c>
    </row>
    <row r="29" spans="1:11" ht="15" hidden="1" customHeight="1"/>
    <row r="30" spans="1:11" ht="14" hidden="1">
      <c r="A30" s="674"/>
      <c r="B30" s="640"/>
      <c r="C30" s="640"/>
      <c r="D30" s="640"/>
      <c r="E30" s="640"/>
      <c r="F30" s="640"/>
      <c r="G30" s="640"/>
      <c r="H30" s="640"/>
      <c r="I30" s="640"/>
      <c r="J30" s="640"/>
      <c r="K30" s="640"/>
    </row>
    <row r="31" spans="1:11" ht="15" hidden="1" customHeight="1"/>
    <row r="32" spans="1:11" ht="14" hidden="1">
      <c r="C32" s="27">
        <f>C26+D26/2+E26*9+F26+G26+H26*9+I26+10</f>
        <v>3255970</v>
      </c>
    </row>
  </sheetData>
  <mergeCells count="1">
    <mergeCell ref="A30:K30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B3:G7"/>
  <sheetViews>
    <sheetView zoomScale="274" workbookViewId="0">
      <selection activeCell="B2" sqref="B2:C4"/>
    </sheetView>
  </sheetViews>
  <sheetFormatPr baseColWidth="10" defaultColWidth="12.6640625" defaultRowHeight="15" customHeight="1"/>
  <cols>
    <col min="4" max="4" width="18.1640625" customWidth="1"/>
    <col min="5" max="5" width="15.1640625" bestFit="1" customWidth="1"/>
  </cols>
  <sheetData>
    <row r="3" spans="2:7" ht="15" customHeight="1">
      <c r="B3" s="451" t="s">
        <v>401</v>
      </c>
      <c r="C3" s="451" t="s">
        <v>402</v>
      </c>
      <c r="D3" s="452">
        <v>21090000</v>
      </c>
    </row>
    <row r="4" spans="2:7" ht="15" customHeight="1">
      <c r="B4" s="451" t="s">
        <v>403</v>
      </c>
      <c r="C4" s="453"/>
      <c r="D4" s="452">
        <v>3370000</v>
      </c>
    </row>
    <row r="5" spans="2:7" ht="15" customHeight="1">
      <c r="B5" s="451" t="s">
        <v>404</v>
      </c>
      <c r="C5" s="453"/>
      <c r="D5" s="452">
        <v>11747457</v>
      </c>
      <c r="E5" s="540">
        <v>13500000</v>
      </c>
      <c r="G5" s="540">
        <f>E5-D5</f>
        <v>1752543</v>
      </c>
    </row>
    <row r="6" spans="2:7" ht="15" customHeight="1">
      <c r="B6" s="451" t="s">
        <v>405</v>
      </c>
      <c r="C6" s="453"/>
      <c r="D6" s="452">
        <v>1900000</v>
      </c>
    </row>
    <row r="7" spans="2:7" ht="15" customHeight="1">
      <c r="D7" s="450">
        <f>SUM(D3:D6)</f>
        <v>38107457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C2:N73"/>
  <sheetViews>
    <sheetView topLeftCell="F38" workbookViewId="0">
      <selection activeCell="B2" sqref="B2:C4"/>
    </sheetView>
  </sheetViews>
  <sheetFormatPr baseColWidth="10" defaultColWidth="12.6640625" defaultRowHeight="15" customHeight="1"/>
  <cols>
    <col min="4" max="4" width="68.83203125" bestFit="1" customWidth="1"/>
    <col min="5" max="8" width="21.6640625" customWidth="1"/>
    <col min="9" max="9" width="23.33203125" customWidth="1"/>
    <col min="10" max="13" width="21.6640625" customWidth="1"/>
  </cols>
  <sheetData>
    <row r="2" spans="3:14">
      <c r="C2" s="675" t="s">
        <v>406</v>
      </c>
      <c r="D2" s="640"/>
      <c r="E2" s="640"/>
      <c r="F2" s="640"/>
      <c r="G2" s="640"/>
      <c r="H2" s="640"/>
      <c r="I2" s="640"/>
      <c r="J2" s="640"/>
      <c r="K2" s="640"/>
      <c r="L2" s="640"/>
      <c r="M2" s="640"/>
      <c r="N2" s="640"/>
    </row>
    <row r="3" spans="3:14"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</row>
    <row r="4" spans="3:14">
      <c r="C4" s="196"/>
      <c r="D4" s="355" t="s">
        <v>407</v>
      </c>
      <c r="E4" s="356" t="s">
        <v>408</v>
      </c>
      <c r="F4" s="356" t="s">
        <v>409</v>
      </c>
      <c r="G4" s="356" t="s">
        <v>410</v>
      </c>
      <c r="H4" s="356" t="s">
        <v>411</v>
      </c>
      <c r="I4" s="356" t="s">
        <v>412</v>
      </c>
      <c r="J4" s="356" t="s">
        <v>413</v>
      </c>
      <c r="K4" s="357" t="s">
        <v>414</v>
      </c>
      <c r="L4" s="358" t="s">
        <v>415</v>
      </c>
      <c r="M4" s="356" t="s">
        <v>416</v>
      </c>
      <c r="N4" s="196"/>
    </row>
    <row r="5" spans="3:14">
      <c r="C5" s="359" t="s">
        <v>417</v>
      </c>
      <c r="D5" s="525" t="s">
        <v>418</v>
      </c>
      <c r="E5" s="525" t="s">
        <v>419</v>
      </c>
      <c r="F5" s="360" t="s">
        <v>419</v>
      </c>
      <c r="G5" s="361" t="s">
        <v>419</v>
      </c>
      <c r="H5" s="362" t="s">
        <v>419</v>
      </c>
      <c r="I5" s="361" t="s">
        <v>419</v>
      </c>
      <c r="J5" s="526">
        <f>SUM(J6:J16)</f>
        <v>27766243.190000001</v>
      </c>
      <c r="K5" s="360" t="s">
        <v>419</v>
      </c>
      <c r="L5" s="361" t="s">
        <v>419</v>
      </c>
      <c r="M5" s="525" t="s">
        <v>419</v>
      </c>
      <c r="N5" s="196"/>
    </row>
    <row r="6" spans="3:14">
      <c r="C6" s="363">
        <v>1</v>
      </c>
      <c r="D6" s="527" t="s">
        <v>420</v>
      </c>
      <c r="E6" s="526">
        <f t="shared" ref="E6:I6" si="0">SUM(E7:E17)</f>
        <v>31451782</v>
      </c>
      <c r="F6" s="526">
        <f t="shared" si="0"/>
        <v>32896913</v>
      </c>
      <c r="G6" s="526">
        <f t="shared" si="0"/>
        <v>25376251</v>
      </c>
      <c r="H6" s="526">
        <f t="shared" si="0"/>
        <v>29615528</v>
      </c>
      <c r="I6" s="526">
        <f t="shared" si="0"/>
        <v>30929106</v>
      </c>
      <c r="J6" s="528">
        <v>1054651.25</v>
      </c>
      <c r="K6" s="526">
        <f t="shared" ref="K6:M6" si="1">SUM(K7:K17)</f>
        <v>32518828</v>
      </c>
      <c r="L6" s="526">
        <f t="shared" si="1"/>
        <v>30330943</v>
      </c>
      <c r="M6" s="526">
        <f t="shared" si="1"/>
        <v>33596581</v>
      </c>
      <c r="N6" s="196"/>
    </row>
    <row r="7" spans="3:14">
      <c r="C7" s="364">
        <v>45658</v>
      </c>
      <c r="D7" s="529" t="s">
        <v>421</v>
      </c>
      <c r="E7" s="530">
        <v>904320</v>
      </c>
      <c r="F7" s="365">
        <v>1413229</v>
      </c>
      <c r="G7" s="366">
        <v>1856832</v>
      </c>
      <c r="H7" s="367">
        <v>654251</v>
      </c>
      <c r="I7" s="368">
        <v>2806335</v>
      </c>
      <c r="J7" s="528">
        <v>5282789.93</v>
      </c>
      <c r="K7" s="369">
        <v>350000</v>
      </c>
      <c r="L7" s="368">
        <v>438057</v>
      </c>
      <c r="M7" s="370" t="s">
        <v>422</v>
      </c>
      <c r="N7" s="196"/>
    </row>
    <row r="8" spans="3:14">
      <c r="C8" s="364">
        <v>45689</v>
      </c>
      <c r="D8" s="529" t="s">
        <v>423</v>
      </c>
      <c r="E8" s="530">
        <v>10710000</v>
      </c>
      <c r="F8" s="365">
        <v>9556826</v>
      </c>
      <c r="G8" s="366">
        <v>7107794</v>
      </c>
      <c r="H8" s="366">
        <v>9163962</v>
      </c>
      <c r="I8" s="368">
        <v>8392773</v>
      </c>
      <c r="J8" s="528">
        <v>9449580.4399999995</v>
      </c>
      <c r="K8" s="369">
        <v>8200000</v>
      </c>
      <c r="L8" s="368">
        <v>11247115</v>
      </c>
      <c r="M8" s="365">
        <v>11913597</v>
      </c>
      <c r="N8" s="196"/>
    </row>
    <row r="9" spans="3:14">
      <c r="C9" s="364">
        <v>45717</v>
      </c>
      <c r="D9" s="529" t="s">
        <v>424</v>
      </c>
      <c r="E9" s="530">
        <v>11061022</v>
      </c>
      <c r="F9" s="365">
        <v>9337003</v>
      </c>
      <c r="G9" s="366">
        <v>9285556</v>
      </c>
      <c r="H9" s="366">
        <v>8406921</v>
      </c>
      <c r="I9" s="368">
        <v>8814250</v>
      </c>
      <c r="J9" s="528">
        <v>1065202.8600000001</v>
      </c>
      <c r="K9" s="369">
        <v>10500000</v>
      </c>
      <c r="L9" s="368">
        <v>9803354</v>
      </c>
      <c r="M9" s="365">
        <v>9659688</v>
      </c>
      <c r="N9" s="196"/>
    </row>
    <row r="10" spans="3:14">
      <c r="C10" s="364">
        <v>45748</v>
      </c>
      <c r="D10" s="529" t="s">
        <v>425</v>
      </c>
      <c r="E10" s="530">
        <v>924120</v>
      </c>
      <c r="F10" s="365">
        <v>1314533</v>
      </c>
      <c r="G10" s="366">
        <v>1626906</v>
      </c>
      <c r="H10" s="366">
        <v>1974100</v>
      </c>
      <c r="I10" s="368">
        <v>1198530</v>
      </c>
      <c r="J10" s="528">
        <v>5150078.26</v>
      </c>
      <c r="K10" s="369">
        <v>2243460</v>
      </c>
      <c r="L10" s="368">
        <v>1368163</v>
      </c>
      <c r="M10" s="365">
        <v>2068720</v>
      </c>
      <c r="N10" s="196"/>
    </row>
    <row r="11" spans="3:14">
      <c r="C11" s="364">
        <v>45778</v>
      </c>
      <c r="D11" s="529" t="s">
        <v>426</v>
      </c>
      <c r="E11" s="530">
        <v>3924000</v>
      </c>
      <c r="F11" s="365">
        <v>6303383</v>
      </c>
      <c r="G11" s="366">
        <v>2903837</v>
      </c>
      <c r="H11" s="366">
        <v>3907238</v>
      </c>
      <c r="I11" s="368">
        <v>4503975</v>
      </c>
      <c r="J11" s="528">
        <v>805143.93</v>
      </c>
      <c r="K11" s="369">
        <v>5227301</v>
      </c>
      <c r="L11" s="368">
        <v>5021529</v>
      </c>
      <c r="M11" s="365">
        <v>5326745</v>
      </c>
      <c r="N11" s="196"/>
    </row>
    <row r="12" spans="3:14">
      <c r="C12" s="364">
        <v>45809</v>
      </c>
      <c r="D12" s="529" t="s">
        <v>427</v>
      </c>
      <c r="E12" s="530">
        <v>695700</v>
      </c>
      <c r="F12" s="365">
        <v>1186332</v>
      </c>
      <c r="G12" s="366">
        <v>528353</v>
      </c>
      <c r="H12" s="366">
        <v>1023000</v>
      </c>
      <c r="I12" s="368">
        <v>1173460</v>
      </c>
      <c r="J12" s="528">
        <v>86410.68</v>
      </c>
      <c r="K12" s="369">
        <v>919367</v>
      </c>
      <c r="L12" s="368">
        <v>1183675</v>
      </c>
      <c r="M12" s="365">
        <v>1223660</v>
      </c>
      <c r="N12" s="196"/>
    </row>
    <row r="13" spans="3:14">
      <c r="C13" s="364">
        <v>45839</v>
      </c>
      <c r="D13" s="529" t="s">
        <v>428</v>
      </c>
      <c r="E13" s="530">
        <v>288000</v>
      </c>
      <c r="F13" s="365">
        <v>53521</v>
      </c>
      <c r="G13" s="371"/>
      <c r="H13" s="366">
        <v>200000</v>
      </c>
      <c r="I13" s="368">
        <v>161000</v>
      </c>
      <c r="J13" s="528">
        <v>3346439.63</v>
      </c>
      <c r="K13" s="369">
        <v>550000</v>
      </c>
      <c r="L13" s="368">
        <v>100000</v>
      </c>
      <c r="M13" s="365">
        <v>98700</v>
      </c>
      <c r="N13" s="196"/>
    </row>
    <row r="14" spans="3:14">
      <c r="C14" s="364">
        <v>45870</v>
      </c>
      <c r="D14" s="529" t="s">
        <v>429</v>
      </c>
      <c r="E14" s="530">
        <v>1657620</v>
      </c>
      <c r="F14" s="365">
        <v>2277780</v>
      </c>
      <c r="G14" s="366">
        <v>1251991</v>
      </c>
      <c r="H14" s="366">
        <v>2640000</v>
      </c>
      <c r="I14" s="368">
        <v>2258028</v>
      </c>
      <c r="J14" s="528">
        <v>0</v>
      </c>
      <c r="K14" s="369">
        <v>2680000</v>
      </c>
      <c r="L14" s="372" t="s">
        <v>430</v>
      </c>
      <c r="M14" s="365">
        <v>1875809</v>
      </c>
      <c r="N14" s="196"/>
    </row>
    <row r="15" spans="3:14">
      <c r="C15" s="364">
        <v>45901</v>
      </c>
      <c r="D15" s="529" t="s">
        <v>431</v>
      </c>
      <c r="E15" s="530">
        <v>315000</v>
      </c>
      <c r="F15" s="365">
        <v>0</v>
      </c>
      <c r="G15" s="366">
        <v>154853</v>
      </c>
      <c r="H15" s="366">
        <v>256000</v>
      </c>
      <c r="I15" s="368">
        <v>60450</v>
      </c>
      <c r="J15" s="528">
        <v>1201639.71</v>
      </c>
      <c r="K15" s="369">
        <v>270000</v>
      </c>
      <c r="L15" s="368">
        <v>121250</v>
      </c>
      <c r="M15" s="365">
        <v>200502</v>
      </c>
      <c r="N15" s="196"/>
    </row>
    <row r="16" spans="3:14">
      <c r="C16" s="364">
        <v>45931</v>
      </c>
      <c r="D16" s="529" t="s">
        <v>432</v>
      </c>
      <c r="E16" s="530">
        <v>900000</v>
      </c>
      <c r="F16" s="365">
        <v>650000</v>
      </c>
      <c r="G16" s="366">
        <v>531962</v>
      </c>
      <c r="H16" s="366">
        <v>1078000</v>
      </c>
      <c r="I16" s="368">
        <v>976602</v>
      </c>
      <c r="J16" s="528">
        <v>324306.5</v>
      </c>
      <c r="K16" s="369">
        <v>1150000</v>
      </c>
      <c r="L16" s="368">
        <v>343800</v>
      </c>
      <c r="M16" s="365">
        <v>715000</v>
      </c>
      <c r="N16" s="196"/>
    </row>
    <row r="17" spans="3:13">
      <c r="C17" s="364">
        <v>45962</v>
      </c>
      <c r="D17" s="529" t="s">
        <v>433</v>
      </c>
      <c r="E17" s="530">
        <v>72000</v>
      </c>
      <c r="F17" s="365">
        <v>804306</v>
      </c>
      <c r="G17" s="366">
        <v>128167</v>
      </c>
      <c r="H17" s="366">
        <v>312056</v>
      </c>
      <c r="I17" s="368">
        <v>583703</v>
      </c>
      <c r="J17" s="531">
        <f>J18</f>
        <v>88119512.930000007</v>
      </c>
      <c r="K17" s="369">
        <v>428700</v>
      </c>
      <c r="L17" s="368">
        <v>704000</v>
      </c>
      <c r="M17" s="365">
        <v>514160</v>
      </c>
    </row>
    <row r="18" spans="3:13">
      <c r="C18" s="364">
        <v>45992</v>
      </c>
      <c r="D18" s="529" t="s">
        <v>434</v>
      </c>
      <c r="E18" s="530">
        <v>180000</v>
      </c>
      <c r="F18" s="196"/>
      <c r="G18" s="244"/>
      <c r="H18" s="244"/>
      <c r="I18" s="241"/>
      <c r="J18" s="528">
        <v>88119512.930000007</v>
      </c>
      <c r="K18" s="196"/>
      <c r="L18" s="241"/>
      <c r="M18" s="196"/>
    </row>
    <row r="19" spans="3:13">
      <c r="C19" s="373" t="s">
        <v>435</v>
      </c>
      <c r="D19" s="529" t="s">
        <v>436</v>
      </c>
      <c r="E19" s="530">
        <v>585000</v>
      </c>
      <c r="F19" s="374">
        <f t="shared" ref="F19:I19" si="2">SUM(F20:F35)</f>
        <v>58895042</v>
      </c>
      <c r="G19" s="374">
        <f t="shared" si="2"/>
        <v>70923982</v>
      </c>
      <c r="H19" s="374">
        <f t="shared" si="2"/>
        <v>53730691</v>
      </c>
      <c r="I19" s="374">
        <f t="shared" si="2"/>
        <v>53358628</v>
      </c>
      <c r="J19" s="531">
        <f>J20+J21</f>
        <v>390160</v>
      </c>
      <c r="K19" s="374">
        <f>SUM(K20:K37)</f>
        <v>51265210</v>
      </c>
      <c r="L19" s="375">
        <v>71058262</v>
      </c>
      <c r="M19" s="374">
        <f>SUM(M20:M35)</f>
        <v>50127623</v>
      </c>
    </row>
    <row r="20" spans="3:13">
      <c r="C20" s="241"/>
      <c r="D20" s="529"/>
      <c r="E20" s="529"/>
      <c r="F20" s="365">
        <v>5612753</v>
      </c>
      <c r="G20" s="366">
        <v>9435520</v>
      </c>
      <c r="H20" s="366">
        <v>4744832</v>
      </c>
      <c r="I20" s="368">
        <v>5036941</v>
      </c>
      <c r="J20" s="528">
        <v>0</v>
      </c>
      <c r="K20" s="365">
        <v>4765110</v>
      </c>
      <c r="L20" s="368">
        <v>3372300</v>
      </c>
      <c r="M20" s="365">
        <v>4057561</v>
      </c>
    </row>
    <row r="21" spans="3:13">
      <c r="C21" s="363">
        <v>2</v>
      </c>
      <c r="D21" s="527" t="s">
        <v>437</v>
      </c>
      <c r="E21" s="526">
        <f>SUM(E22:E37)</f>
        <v>57679340</v>
      </c>
      <c r="F21" s="365">
        <v>12535000</v>
      </c>
      <c r="G21" s="366">
        <v>15498394</v>
      </c>
      <c r="H21" s="366">
        <v>10050000</v>
      </c>
      <c r="I21" s="368">
        <v>10082033</v>
      </c>
      <c r="J21" s="528">
        <v>390160</v>
      </c>
      <c r="K21" s="365">
        <v>10189066</v>
      </c>
      <c r="L21" s="368">
        <v>9779000</v>
      </c>
      <c r="M21" s="365">
        <v>8883000</v>
      </c>
    </row>
    <row r="22" spans="3:13">
      <c r="C22" s="364">
        <v>45659</v>
      </c>
      <c r="D22" s="529" t="s">
        <v>438</v>
      </c>
      <c r="E22" s="530">
        <v>4279680</v>
      </c>
      <c r="F22" s="365">
        <v>6482087</v>
      </c>
      <c r="G22" s="366">
        <v>1553776</v>
      </c>
      <c r="H22" s="366">
        <v>3253860</v>
      </c>
      <c r="I22" s="368">
        <v>2665314</v>
      </c>
      <c r="J22" s="531">
        <f>SUM(J23:J31)</f>
        <v>2724083.88</v>
      </c>
      <c r="K22" s="365">
        <v>4208144</v>
      </c>
      <c r="L22" s="368">
        <v>5421316</v>
      </c>
      <c r="M22" s="365">
        <v>3117139</v>
      </c>
    </row>
    <row r="23" spans="3:13">
      <c r="C23" s="364">
        <v>45690</v>
      </c>
      <c r="D23" s="529" t="s">
        <v>439</v>
      </c>
      <c r="E23" s="530">
        <v>9900000</v>
      </c>
      <c r="F23" s="365">
        <v>5665476</v>
      </c>
      <c r="G23" s="366">
        <v>6052782</v>
      </c>
      <c r="H23" s="366">
        <v>3901950</v>
      </c>
      <c r="I23" s="368">
        <v>5017632</v>
      </c>
      <c r="J23" s="528">
        <v>985000</v>
      </c>
      <c r="K23" s="365">
        <v>3431538</v>
      </c>
      <c r="L23" s="368">
        <v>4928819</v>
      </c>
      <c r="M23" s="365">
        <v>4992879</v>
      </c>
    </row>
    <row r="24" spans="3:13">
      <c r="C24" s="364">
        <v>45718</v>
      </c>
      <c r="D24" s="529" t="s">
        <v>440</v>
      </c>
      <c r="E24" s="530">
        <v>3057890</v>
      </c>
      <c r="F24" s="365">
        <v>8949229</v>
      </c>
      <c r="G24" s="366">
        <v>7180427</v>
      </c>
      <c r="H24" s="366">
        <v>6221691</v>
      </c>
      <c r="I24" s="368">
        <v>8660036</v>
      </c>
      <c r="J24" s="528">
        <v>100000</v>
      </c>
      <c r="K24" s="365">
        <v>10134714</v>
      </c>
      <c r="L24" s="368">
        <v>9196139</v>
      </c>
      <c r="M24" s="365">
        <v>5267315</v>
      </c>
    </row>
    <row r="25" spans="3:13">
      <c r="C25" s="364">
        <v>45749</v>
      </c>
      <c r="D25" s="529" t="s">
        <v>441</v>
      </c>
      <c r="E25" s="530">
        <v>3090420</v>
      </c>
      <c r="F25" s="365">
        <v>7197068</v>
      </c>
      <c r="G25" s="366">
        <v>6501593</v>
      </c>
      <c r="H25" s="366">
        <v>5734392</v>
      </c>
      <c r="I25" s="368">
        <v>5827389</v>
      </c>
      <c r="J25" s="528">
        <v>80000</v>
      </c>
      <c r="K25" s="369">
        <v>4081669</v>
      </c>
      <c r="L25" s="368">
        <v>5502132</v>
      </c>
      <c r="M25" s="365">
        <v>5705602</v>
      </c>
    </row>
    <row r="26" spans="3:13">
      <c r="C26" s="364">
        <v>45779</v>
      </c>
      <c r="D26" s="529" t="s">
        <v>442</v>
      </c>
      <c r="E26" s="530">
        <v>7927425</v>
      </c>
      <c r="F26" s="365">
        <v>2183240</v>
      </c>
      <c r="G26" s="366">
        <v>4799108</v>
      </c>
      <c r="H26" s="366">
        <v>2545112</v>
      </c>
      <c r="I26" s="368">
        <v>3778278</v>
      </c>
      <c r="J26" s="528">
        <v>24000</v>
      </c>
      <c r="K26" s="369">
        <v>1917600</v>
      </c>
      <c r="L26" s="368">
        <v>4962450</v>
      </c>
      <c r="M26" s="365">
        <v>4021456</v>
      </c>
    </row>
    <row r="27" spans="3:13">
      <c r="C27" s="364">
        <v>45810</v>
      </c>
      <c r="D27" s="529" t="s">
        <v>443</v>
      </c>
      <c r="E27" s="530">
        <v>7229250</v>
      </c>
      <c r="F27" s="365">
        <v>5558640</v>
      </c>
      <c r="G27" s="366">
        <v>7019791</v>
      </c>
      <c r="H27" s="366">
        <v>5703913</v>
      </c>
      <c r="I27" s="368">
        <v>6009549</v>
      </c>
      <c r="J27" s="528">
        <v>2500</v>
      </c>
      <c r="K27" s="369">
        <v>4315587</v>
      </c>
      <c r="L27" s="368">
        <v>6108793</v>
      </c>
      <c r="M27" s="365">
        <v>4760190</v>
      </c>
    </row>
    <row r="28" spans="3:13">
      <c r="C28" s="364">
        <v>45840</v>
      </c>
      <c r="D28" s="529" t="s">
        <v>444</v>
      </c>
      <c r="E28" s="530">
        <v>4680360</v>
      </c>
      <c r="F28" s="365">
        <v>622265</v>
      </c>
      <c r="G28" s="366">
        <v>342792</v>
      </c>
      <c r="H28" s="366">
        <v>956966</v>
      </c>
      <c r="I28" s="368">
        <v>1379750</v>
      </c>
      <c r="J28" s="528">
        <v>136342.6</v>
      </c>
      <c r="K28" s="365">
        <v>580000</v>
      </c>
      <c r="L28" s="368">
        <v>1081188</v>
      </c>
      <c r="M28" s="365">
        <v>517032</v>
      </c>
    </row>
    <row r="29" spans="3:13">
      <c r="C29" s="364">
        <v>45871</v>
      </c>
      <c r="D29" s="529" t="s">
        <v>445</v>
      </c>
      <c r="E29" s="530">
        <v>6467400</v>
      </c>
      <c r="F29" s="365">
        <v>1627446</v>
      </c>
      <c r="G29" s="366">
        <v>1166084</v>
      </c>
      <c r="H29" s="366">
        <v>1005335</v>
      </c>
      <c r="I29" s="368">
        <v>2937943</v>
      </c>
      <c r="J29" s="528">
        <v>113322.96</v>
      </c>
      <c r="K29" s="365">
        <v>1439004</v>
      </c>
      <c r="L29" s="368">
        <v>1808076</v>
      </c>
      <c r="M29" s="365">
        <v>1349489</v>
      </c>
    </row>
    <row r="30" spans="3:13">
      <c r="C30" s="364">
        <v>45902</v>
      </c>
      <c r="D30" s="529" t="s">
        <v>446</v>
      </c>
      <c r="E30" s="530">
        <v>363375</v>
      </c>
      <c r="F30" s="220"/>
      <c r="G30" s="366">
        <v>774595</v>
      </c>
      <c r="H30" s="366">
        <v>25000</v>
      </c>
      <c r="I30" s="368">
        <v>0</v>
      </c>
      <c r="J30" s="528">
        <v>1282918.32</v>
      </c>
      <c r="K30" s="365">
        <v>0</v>
      </c>
      <c r="L30" s="372" t="s">
        <v>447</v>
      </c>
      <c r="M30" s="365">
        <v>0</v>
      </c>
    </row>
    <row r="31" spans="3:13">
      <c r="C31" s="364">
        <v>45932</v>
      </c>
      <c r="D31" s="529" t="s">
        <v>448</v>
      </c>
      <c r="E31" s="530">
        <v>972000</v>
      </c>
      <c r="F31" s="365">
        <v>279220</v>
      </c>
      <c r="G31" s="366">
        <v>6650496</v>
      </c>
      <c r="H31" s="366">
        <v>125000</v>
      </c>
      <c r="I31" s="368">
        <v>0</v>
      </c>
      <c r="J31" s="528">
        <v>0</v>
      </c>
      <c r="K31" s="365">
        <v>0</v>
      </c>
      <c r="L31" s="368">
        <v>7655000</v>
      </c>
      <c r="M31" s="365">
        <v>180972</v>
      </c>
    </row>
    <row r="32" spans="3:13">
      <c r="C32" s="364">
        <v>45963</v>
      </c>
      <c r="D32" s="529" t="s">
        <v>449</v>
      </c>
      <c r="E32" s="530">
        <v>1944000</v>
      </c>
      <c r="F32" s="365">
        <v>1576864</v>
      </c>
      <c r="G32" s="366">
        <v>3341424</v>
      </c>
      <c r="H32" s="366">
        <v>1452640</v>
      </c>
      <c r="I32" s="368">
        <v>1577555</v>
      </c>
      <c r="J32" s="376"/>
      <c r="K32" s="365">
        <v>4200000</v>
      </c>
      <c r="L32" s="368">
        <v>10743050</v>
      </c>
      <c r="M32" s="365">
        <v>1303025</v>
      </c>
    </row>
    <row r="33" spans="3:13">
      <c r="C33" s="364">
        <v>45993</v>
      </c>
      <c r="D33" s="529" t="s">
        <v>450</v>
      </c>
      <c r="E33" s="530">
        <v>4248540</v>
      </c>
      <c r="F33" s="365">
        <v>152194</v>
      </c>
      <c r="G33" s="371"/>
      <c r="H33" s="366">
        <v>350000</v>
      </c>
      <c r="I33" s="368">
        <v>140395</v>
      </c>
      <c r="J33" s="196"/>
      <c r="K33" s="365">
        <v>697000</v>
      </c>
      <c r="L33" s="372"/>
      <c r="M33" s="365">
        <v>93521</v>
      </c>
    </row>
    <row r="34" spans="3:13">
      <c r="C34" s="373" t="s">
        <v>451</v>
      </c>
      <c r="D34" s="529" t="s">
        <v>452</v>
      </c>
      <c r="E34" s="530">
        <v>1575000</v>
      </c>
      <c r="F34" s="220"/>
      <c r="G34" s="371"/>
      <c r="H34" s="366">
        <v>0</v>
      </c>
      <c r="I34" s="368">
        <v>0</v>
      </c>
      <c r="J34" s="196"/>
      <c r="K34" s="220"/>
      <c r="L34" s="372" t="s">
        <v>453</v>
      </c>
      <c r="M34" s="365">
        <v>0</v>
      </c>
    </row>
    <row r="35" spans="3:13">
      <c r="C35" s="373" t="s">
        <v>454</v>
      </c>
      <c r="D35" s="529" t="s">
        <v>455</v>
      </c>
      <c r="E35" s="530">
        <v>450000</v>
      </c>
      <c r="F35" s="365">
        <v>453560</v>
      </c>
      <c r="G35" s="366">
        <v>607200</v>
      </c>
      <c r="H35" s="366">
        <v>7660000</v>
      </c>
      <c r="I35" s="368">
        <v>245813</v>
      </c>
      <c r="J35" s="196"/>
      <c r="K35" s="365">
        <v>663750</v>
      </c>
      <c r="L35" s="368">
        <v>500000</v>
      </c>
      <c r="M35" s="365">
        <v>5878442</v>
      </c>
    </row>
    <row r="36" spans="3:13">
      <c r="C36" s="373" t="s">
        <v>456</v>
      </c>
      <c r="D36" s="529" t="s">
        <v>457</v>
      </c>
      <c r="E36" s="530">
        <v>0</v>
      </c>
      <c r="F36" s="196"/>
      <c r="G36" s="196"/>
      <c r="H36" s="244"/>
      <c r="I36" s="241"/>
      <c r="J36" s="196"/>
      <c r="K36" s="377">
        <v>642028</v>
      </c>
      <c r="L36" s="375">
        <f>SUM(L37:L51)</f>
        <v>7957369</v>
      </c>
      <c r="M36" s="196"/>
    </row>
    <row r="37" spans="3:13">
      <c r="C37" s="373" t="s">
        <v>458</v>
      </c>
      <c r="D37" s="529" t="s">
        <v>459</v>
      </c>
      <c r="E37" s="530">
        <v>1494000</v>
      </c>
      <c r="F37" s="374">
        <f>SUM(F38:F50)</f>
        <v>22109957</v>
      </c>
      <c r="G37" s="196"/>
      <c r="H37" s="378">
        <f>SUM(H38:H49)</f>
        <v>22937028</v>
      </c>
      <c r="I37" s="375">
        <f>SUM(I38:I51)</f>
        <v>19184092</v>
      </c>
      <c r="J37" s="196"/>
      <c r="K37" s="379"/>
      <c r="L37" s="368">
        <v>0</v>
      </c>
      <c r="M37" s="374">
        <f>SUM(M38:M48)</f>
        <v>20352174</v>
      </c>
    </row>
    <row r="38" spans="3:13">
      <c r="C38" s="373"/>
      <c r="D38" s="529"/>
      <c r="E38" s="529"/>
      <c r="F38" s="365">
        <v>811059</v>
      </c>
      <c r="G38" s="380"/>
      <c r="H38" s="366">
        <v>1294000</v>
      </c>
      <c r="I38" s="368">
        <v>352180</v>
      </c>
      <c r="J38" s="196"/>
      <c r="K38" s="374">
        <f>SUM(K39:K51)</f>
        <v>19616639</v>
      </c>
      <c r="L38" s="368">
        <v>1235140</v>
      </c>
      <c r="M38" s="381">
        <v>1100975</v>
      </c>
    </row>
    <row r="39" spans="3:13">
      <c r="C39" s="363">
        <v>3</v>
      </c>
      <c r="D39" s="527" t="s">
        <v>460</v>
      </c>
      <c r="E39" s="526">
        <f>SUM(E40:E50)</f>
        <v>13223070</v>
      </c>
      <c r="F39" s="365">
        <v>2757661</v>
      </c>
      <c r="G39" s="378">
        <f>SUM(G40:G50)</f>
        <v>11042887</v>
      </c>
      <c r="H39" s="366">
        <v>2672391</v>
      </c>
      <c r="I39" s="368">
        <v>2448722</v>
      </c>
      <c r="J39" s="196"/>
      <c r="K39" s="365">
        <v>568715</v>
      </c>
      <c r="L39" s="368">
        <v>1263417</v>
      </c>
      <c r="M39" s="381">
        <v>2421699</v>
      </c>
    </row>
    <row r="40" spans="3:13">
      <c r="C40" s="364">
        <v>45660</v>
      </c>
      <c r="D40" s="529" t="s">
        <v>461</v>
      </c>
      <c r="E40" s="530">
        <v>1737000</v>
      </c>
      <c r="F40" s="365">
        <v>3945105</v>
      </c>
      <c r="G40" s="244"/>
      <c r="H40" s="366">
        <v>4237451</v>
      </c>
      <c r="I40" s="368">
        <v>4089277</v>
      </c>
      <c r="J40" s="196"/>
      <c r="K40" s="365">
        <v>2932160</v>
      </c>
      <c r="L40" s="368">
        <v>0</v>
      </c>
      <c r="M40" s="381">
        <v>2956640</v>
      </c>
    </row>
    <row r="41" spans="3:13">
      <c r="C41" s="364">
        <v>45691</v>
      </c>
      <c r="D41" s="529" t="s">
        <v>462</v>
      </c>
      <c r="E41" s="530">
        <v>1710900</v>
      </c>
      <c r="F41" s="365">
        <v>640755</v>
      </c>
      <c r="G41" s="366">
        <v>1507679</v>
      </c>
      <c r="H41" s="366">
        <v>420200</v>
      </c>
      <c r="I41" s="368">
        <v>91113</v>
      </c>
      <c r="J41" s="196"/>
      <c r="K41" s="365">
        <v>3303704</v>
      </c>
      <c r="L41" s="368">
        <v>2818504</v>
      </c>
      <c r="M41" s="381">
        <v>2600574</v>
      </c>
    </row>
    <row r="42" spans="3:13">
      <c r="C42" s="364">
        <v>45719</v>
      </c>
      <c r="D42" s="529" t="s">
        <v>463</v>
      </c>
      <c r="E42" s="530">
        <v>2292300</v>
      </c>
      <c r="F42" s="365">
        <v>5361588</v>
      </c>
      <c r="G42" s="366">
        <v>2529092</v>
      </c>
      <c r="H42" s="366">
        <v>5545553</v>
      </c>
      <c r="I42" s="368">
        <v>5319702</v>
      </c>
      <c r="J42" s="196"/>
      <c r="K42" s="365">
        <v>1035000</v>
      </c>
      <c r="L42" s="368">
        <v>0</v>
      </c>
      <c r="M42" s="381">
        <v>3650000</v>
      </c>
    </row>
    <row r="43" spans="3:13">
      <c r="C43" s="364">
        <v>45750</v>
      </c>
      <c r="D43" s="529" t="s">
        <v>464</v>
      </c>
      <c r="E43" s="530">
        <v>777600</v>
      </c>
      <c r="F43" s="365">
        <v>679441</v>
      </c>
      <c r="G43" s="371"/>
      <c r="H43" s="366">
        <v>584000</v>
      </c>
      <c r="I43" s="368">
        <v>13711</v>
      </c>
      <c r="J43" s="196"/>
      <c r="K43" s="365">
        <v>5270548</v>
      </c>
      <c r="L43" s="368">
        <v>0</v>
      </c>
      <c r="M43" s="381">
        <v>526244</v>
      </c>
    </row>
    <row r="44" spans="3:13">
      <c r="C44" s="364">
        <v>45780</v>
      </c>
      <c r="D44" s="529" t="s">
        <v>465</v>
      </c>
      <c r="E44" s="530">
        <v>2298600</v>
      </c>
      <c r="F44" s="365">
        <v>1120294</v>
      </c>
      <c r="G44" s="366">
        <v>2817800</v>
      </c>
      <c r="H44" s="366">
        <v>1052433</v>
      </c>
      <c r="I44" s="368">
        <v>249065</v>
      </c>
      <c r="J44" s="196"/>
      <c r="K44" s="365">
        <v>533600</v>
      </c>
      <c r="L44" s="368">
        <v>1483968</v>
      </c>
      <c r="M44" s="381">
        <v>976372</v>
      </c>
    </row>
    <row r="45" spans="3:13">
      <c r="C45" s="364">
        <v>45811</v>
      </c>
      <c r="D45" s="529" t="s">
        <v>466</v>
      </c>
      <c r="E45" s="530">
        <v>448290</v>
      </c>
      <c r="F45" s="365">
        <v>113890</v>
      </c>
      <c r="G45" s="371"/>
      <c r="H45" s="366">
        <v>445000</v>
      </c>
      <c r="I45" s="368">
        <v>0</v>
      </c>
      <c r="J45" s="196"/>
      <c r="K45" s="365">
        <v>224782</v>
      </c>
      <c r="L45" s="368">
        <v>0</v>
      </c>
      <c r="M45" s="381">
        <v>3982300</v>
      </c>
    </row>
    <row r="46" spans="3:13">
      <c r="C46" s="364">
        <v>45841</v>
      </c>
      <c r="D46" s="529" t="s">
        <v>467</v>
      </c>
      <c r="E46" s="530">
        <v>700560</v>
      </c>
      <c r="F46" s="365">
        <v>1289284</v>
      </c>
      <c r="G46" s="371"/>
      <c r="H46" s="366">
        <v>140000</v>
      </c>
      <c r="I46" s="368">
        <v>0</v>
      </c>
      <c r="J46" s="196"/>
      <c r="K46" s="365">
        <v>4589569</v>
      </c>
      <c r="L46" s="368">
        <v>100000</v>
      </c>
      <c r="M46" s="381">
        <v>1381343</v>
      </c>
    </row>
    <row r="47" spans="3:13">
      <c r="C47" s="364">
        <v>45872</v>
      </c>
      <c r="D47" s="532" t="s">
        <v>468</v>
      </c>
      <c r="E47" s="530">
        <v>1901520</v>
      </c>
      <c r="F47" s="365">
        <v>5019298</v>
      </c>
      <c r="G47" s="371"/>
      <c r="H47" s="366">
        <v>5086000</v>
      </c>
      <c r="I47" s="368">
        <v>26094</v>
      </c>
      <c r="J47" s="196"/>
      <c r="K47" s="365">
        <v>75000</v>
      </c>
      <c r="L47" s="382">
        <v>0</v>
      </c>
      <c r="M47" s="381">
        <v>299138</v>
      </c>
    </row>
    <row r="48" spans="3:13">
      <c r="C48" s="364">
        <v>45903</v>
      </c>
      <c r="D48" s="532" t="s">
        <v>469</v>
      </c>
      <c r="E48" s="530">
        <v>960300</v>
      </c>
      <c r="F48" s="365">
        <v>104690</v>
      </c>
      <c r="G48" s="366">
        <v>844300</v>
      </c>
      <c r="H48" s="366">
        <v>1280000</v>
      </c>
      <c r="I48" s="368">
        <v>0</v>
      </c>
      <c r="J48" s="196"/>
      <c r="K48" s="365">
        <v>756615</v>
      </c>
      <c r="L48" s="382">
        <v>0</v>
      </c>
      <c r="M48" s="381">
        <v>456889</v>
      </c>
    </row>
    <row r="49" spans="3:13">
      <c r="C49" s="364">
        <v>45933</v>
      </c>
      <c r="D49" s="529" t="s">
        <v>470</v>
      </c>
      <c r="E49" s="530">
        <v>90000</v>
      </c>
      <c r="F49" s="365">
        <v>0</v>
      </c>
      <c r="G49" s="366">
        <v>3344016</v>
      </c>
      <c r="H49" s="366">
        <v>180000</v>
      </c>
      <c r="I49" s="368">
        <v>1068119</v>
      </c>
      <c r="J49" s="196"/>
      <c r="K49" s="365">
        <v>75000</v>
      </c>
      <c r="L49" s="382">
        <v>100000</v>
      </c>
      <c r="M49" s="196"/>
    </row>
    <row r="50" spans="3:13">
      <c r="C50" s="364">
        <v>45964</v>
      </c>
      <c r="D50" s="532" t="s">
        <v>471</v>
      </c>
      <c r="E50" s="530">
        <v>306000</v>
      </c>
      <c r="F50" s="365">
        <v>266892</v>
      </c>
      <c r="G50" s="244"/>
      <c r="H50" s="244"/>
      <c r="I50" s="368">
        <v>5526109</v>
      </c>
      <c r="J50" s="196"/>
      <c r="K50" s="365">
        <v>101946</v>
      </c>
      <c r="L50" s="382">
        <v>545500</v>
      </c>
      <c r="M50" s="526">
        <f>SUM(M51:M59)</f>
        <v>3914000</v>
      </c>
    </row>
    <row r="51" spans="3:13">
      <c r="C51" s="241"/>
      <c r="D51" s="529"/>
      <c r="E51" s="529"/>
      <c r="F51" s="196"/>
      <c r="G51" s="196"/>
      <c r="H51" s="244"/>
      <c r="I51" s="368">
        <v>0</v>
      </c>
      <c r="J51" s="196"/>
      <c r="K51" s="365">
        <v>150000</v>
      </c>
      <c r="L51" s="382">
        <v>410840</v>
      </c>
      <c r="M51" s="365">
        <v>1300000</v>
      </c>
    </row>
    <row r="52" spans="3:13">
      <c r="C52" s="363">
        <v>4</v>
      </c>
      <c r="D52" s="527" t="s">
        <v>472</v>
      </c>
      <c r="E52" s="526">
        <f t="shared" ref="E52:I52" si="3">SUM(E53:E61)</f>
        <v>5845500</v>
      </c>
      <c r="F52" s="526">
        <f t="shared" si="3"/>
        <v>4347000</v>
      </c>
      <c r="G52" s="526">
        <f t="shared" si="3"/>
        <v>7979712</v>
      </c>
      <c r="H52" s="526">
        <f t="shared" si="3"/>
        <v>6655000</v>
      </c>
      <c r="I52" s="526">
        <f t="shared" si="3"/>
        <v>8998393</v>
      </c>
      <c r="J52" s="196"/>
      <c r="K52" s="526">
        <f t="shared" ref="K52:L52" si="4">SUM(K53:K61)</f>
        <v>5494461</v>
      </c>
      <c r="L52" s="526">
        <f t="shared" si="4"/>
        <v>5633800</v>
      </c>
      <c r="M52" s="365">
        <v>130000</v>
      </c>
    </row>
    <row r="53" spans="3:13">
      <c r="C53" s="364">
        <v>45661</v>
      </c>
      <c r="D53" s="529" t="s">
        <v>473</v>
      </c>
      <c r="E53" s="530">
        <v>1800000</v>
      </c>
      <c r="F53" s="365">
        <v>1150000</v>
      </c>
      <c r="G53" s="366">
        <v>1766400</v>
      </c>
      <c r="H53" s="366">
        <v>1800000</v>
      </c>
      <c r="I53" s="368">
        <v>720000</v>
      </c>
      <c r="J53" s="196"/>
      <c r="K53" s="365">
        <v>500000</v>
      </c>
      <c r="L53" s="368">
        <v>1045000</v>
      </c>
      <c r="M53" s="365">
        <v>165000</v>
      </c>
    </row>
    <row r="54" spans="3:13">
      <c r="C54" s="364">
        <v>45692</v>
      </c>
      <c r="D54" s="529" t="s">
        <v>474</v>
      </c>
      <c r="E54" s="530">
        <v>225000</v>
      </c>
      <c r="F54" s="365">
        <v>172500</v>
      </c>
      <c r="G54" s="366">
        <v>110400</v>
      </c>
      <c r="H54" s="366">
        <v>150000</v>
      </c>
      <c r="I54" s="368">
        <v>200000</v>
      </c>
      <c r="J54" s="196"/>
      <c r="K54" s="365">
        <v>150000</v>
      </c>
      <c r="L54" s="368">
        <v>110000</v>
      </c>
      <c r="M54" s="365">
        <v>90000</v>
      </c>
    </row>
    <row r="55" spans="3:13">
      <c r="C55" s="364">
        <v>45720</v>
      </c>
      <c r="D55" s="529" t="s">
        <v>475</v>
      </c>
      <c r="E55" s="530">
        <v>180000</v>
      </c>
      <c r="F55" s="365">
        <v>57500</v>
      </c>
      <c r="G55" s="366">
        <v>132480</v>
      </c>
      <c r="H55" s="366">
        <v>100000</v>
      </c>
      <c r="I55" s="368">
        <v>50000</v>
      </c>
      <c r="J55" s="196"/>
      <c r="K55" s="365">
        <v>114750</v>
      </c>
      <c r="L55" s="368">
        <v>150000</v>
      </c>
      <c r="M55" s="365">
        <v>65000</v>
      </c>
    </row>
    <row r="56" spans="3:13">
      <c r="C56" s="364">
        <v>45751</v>
      </c>
      <c r="D56" s="529" t="s">
        <v>476</v>
      </c>
      <c r="E56" s="530">
        <v>108000</v>
      </c>
      <c r="F56" s="365">
        <v>184000</v>
      </c>
      <c r="G56" s="366">
        <v>101789</v>
      </c>
      <c r="H56" s="366">
        <v>50000</v>
      </c>
      <c r="I56" s="368">
        <v>190000</v>
      </c>
      <c r="J56" s="196"/>
      <c r="K56" s="365">
        <v>194000</v>
      </c>
      <c r="L56" s="368">
        <v>150000</v>
      </c>
      <c r="M56" s="365">
        <v>462000</v>
      </c>
    </row>
    <row r="57" spans="3:13">
      <c r="C57" s="364">
        <v>45781</v>
      </c>
      <c r="D57" s="529" t="s">
        <v>477</v>
      </c>
      <c r="E57" s="530">
        <v>22500</v>
      </c>
      <c r="F57" s="365">
        <v>69000</v>
      </c>
      <c r="G57" s="366">
        <v>27600</v>
      </c>
      <c r="H57" s="366">
        <v>25000</v>
      </c>
      <c r="I57" s="368">
        <v>50000</v>
      </c>
      <c r="J57" s="196"/>
      <c r="K57" s="365">
        <v>15000</v>
      </c>
      <c r="L57" s="368">
        <v>20000</v>
      </c>
      <c r="M57" s="365">
        <v>168000</v>
      </c>
    </row>
    <row r="58" spans="3:13">
      <c r="C58" s="364">
        <v>45812</v>
      </c>
      <c r="D58" s="529" t="s">
        <v>478</v>
      </c>
      <c r="E58" s="530">
        <v>0</v>
      </c>
      <c r="F58" s="365">
        <v>1104000</v>
      </c>
      <c r="G58" s="366">
        <v>905280</v>
      </c>
      <c r="H58" s="366">
        <v>1200000</v>
      </c>
      <c r="I58" s="368">
        <v>1318125</v>
      </c>
      <c r="J58" s="196"/>
      <c r="K58" s="365">
        <v>237600</v>
      </c>
      <c r="L58" s="368">
        <v>323000</v>
      </c>
      <c r="M58" s="365">
        <v>1284000</v>
      </c>
    </row>
    <row r="59" spans="3:13">
      <c r="C59" s="364">
        <v>45842</v>
      </c>
      <c r="D59" s="529" t="s">
        <v>479</v>
      </c>
      <c r="E59" s="530">
        <v>135000</v>
      </c>
      <c r="F59" s="365">
        <v>0</v>
      </c>
      <c r="G59" s="366">
        <v>905280</v>
      </c>
      <c r="H59" s="366">
        <v>880000</v>
      </c>
      <c r="I59" s="368">
        <v>317488</v>
      </c>
      <c r="J59" s="196"/>
      <c r="K59" s="365">
        <v>430978</v>
      </c>
      <c r="L59" s="368">
        <v>413000</v>
      </c>
      <c r="M59" s="365">
        <v>250000</v>
      </c>
    </row>
    <row r="60" spans="3:13">
      <c r="C60" s="364">
        <v>45873</v>
      </c>
      <c r="D60" s="529" t="s">
        <v>480</v>
      </c>
      <c r="E60" s="530">
        <v>2700000</v>
      </c>
      <c r="F60" s="365">
        <v>1380000</v>
      </c>
      <c r="G60" s="366">
        <v>2208000</v>
      </c>
      <c r="H60" s="366">
        <v>2200000</v>
      </c>
      <c r="I60" s="368">
        <v>5642543</v>
      </c>
      <c r="J60" s="196"/>
      <c r="K60" s="365">
        <v>3652133</v>
      </c>
      <c r="L60" s="368">
        <v>3322800</v>
      </c>
      <c r="M60" s="196"/>
    </row>
    <row r="61" spans="3:13">
      <c r="C61" s="364">
        <v>45904</v>
      </c>
      <c r="D61" s="529" t="s">
        <v>481</v>
      </c>
      <c r="E61" s="530">
        <v>675000</v>
      </c>
      <c r="F61" s="365">
        <v>230000</v>
      </c>
      <c r="G61" s="366">
        <v>1822483</v>
      </c>
      <c r="H61" s="366">
        <v>250000</v>
      </c>
      <c r="I61" s="368">
        <v>510237</v>
      </c>
      <c r="J61" s="196"/>
      <c r="K61" s="365">
        <v>200000</v>
      </c>
      <c r="L61" s="368">
        <v>100000</v>
      </c>
      <c r="M61" s="196"/>
    </row>
    <row r="62" spans="3:13">
      <c r="C62" s="196"/>
      <c r="D62" s="196"/>
      <c r="E62" s="196"/>
      <c r="F62" s="196"/>
      <c r="G62" s="196"/>
      <c r="H62" s="196"/>
      <c r="I62" s="196"/>
      <c r="J62" s="196"/>
      <c r="K62" s="196"/>
      <c r="L62" s="196"/>
      <c r="M62" s="196"/>
    </row>
    <row r="63" spans="3:13">
      <c r="C63" s="355">
        <v>1</v>
      </c>
      <c r="D63" s="383" t="s">
        <v>420</v>
      </c>
      <c r="E63" s="384">
        <f t="shared" ref="E63:F63" si="5">E6</f>
        <v>31451782</v>
      </c>
      <c r="F63" s="384">
        <f t="shared" si="5"/>
        <v>32896913</v>
      </c>
      <c r="G63" s="384">
        <v>25376251</v>
      </c>
      <c r="H63" s="384">
        <v>29615528</v>
      </c>
      <c r="I63" s="384">
        <v>30929105</v>
      </c>
      <c r="J63" s="384">
        <f>J5</f>
        <v>27766243.190000001</v>
      </c>
      <c r="K63" s="384">
        <f t="shared" ref="K63:M63" si="6">K6</f>
        <v>32518828</v>
      </c>
      <c r="L63" s="384">
        <f t="shared" si="6"/>
        <v>30330943</v>
      </c>
      <c r="M63" s="384">
        <f t="shared" si="6"/>
        <v>33596581</v>
      </c>
    </row>
    <row r="64" spans="3:13">
      <c r="C64" s="373">
        <v>2</v>
      </c>
      <c r="D64" s="529" t="s">
        <v>437</v>
      </c>
      <c r="E64" s="533">
        <f>E21</f>
        <v>57679340</v>
      </c>
      <c r="F64" s="533">
        <f>F19</f>
        <v>58895042</v>
      </c>
      <c r="G64" s="533">
        <v>70923981</v>
      </c>
      <c r="H64" s="533">
        <v>53730691</v>
      </c>
      <c r="I64" s="533">
        <v>53358627</v>
      </c>
      <c r="J64" s="534">
        <f>J17</f>
        <v>88119512.930000007</v>
      </c>
      <c r="K64" s="533">
        <f t="shared" ref="K64:M64" si="7">K19</f>
        <v>51265210</v>
      </c>
      <c r="L64" s="533">
        <f t="shared" si="7"/>
        <v>71058262</v>
      </c>
      <c r="M64" s="533">
        <f t="shared" si="7"/>
        <v>50127623</v>
      </c>
    </row>
    <row r="65" spans="3:13">
      <c r="C65" s="373">
        <v>3</v>
      </c>
      <c r="D65" s="529" t="s">
        <v>460</v>
      </c>
      <c r="E65" s="533">
        <f>E39</f>
        <v>13223070</v>
      </c>
      <c r="F65" s="533">
        <f>F37</f>
        <v>22109957</v>
      </c>
      <c r="G65" s="533">
        <v>11042886</v>
      </c>
      <c r="H65" s="533">
        <v>22937028</v>
      </c>
      <c r="I65" s="533">
        <v>19184093</v>
      </c>
      <c r="J65" s="534">
        <f>J19</f>
        <v>390160</v>
      </c>
      <c r="K65" s="533">
        <f>K38</f>
        <v>19616639</v>
      </c>
      <c r="L65" s="533">
        <f>L36</f>
        <v>7957369</v>
      </c>
      <c r="M65" s="533">
        <f>M37</f>
        <v>20352174</v>
      </c>
    </row>
    <row r="66" spans="3:13">
      <c r="C66" s="373">
        <v>4</v>
      </c>
      <c r="D66" s="529" t="s">
        <v>472</v>
      </c>
      <c r="E66" s="533">
        <f t="shared" ref="E66:I66" si="8">E52</f>
        <v>5845500</v>
      </c>
      <c r="F66" s="533">
        <f t="shared" si="8"/>
        <v>4347000</v>
      </c>
      <c r="G66" s="533">
        <f t="shared" si="8"/>
        <v>7979712</v>
      </c>
      <c r="H66" s="533">
        <f t="shared" si="8"/>
        <v>6655000</v>
      </c>
      <c r="I66" s="533">
        <f t="shared" si="8"/>
        <v>8998393</v>
      </c>
      <c r="J66" s="534">
        <f>J22</f>
        <v>2724083.88</v>
      </c>
      <c r="K66" s="533">
        <f t="shared" ref="K66:L66" si="9">K52</f>
        <v>5494461</v>
      </c>
      <c r="L66" s="533">
        <f t="shared" si="9"/>
        <v>5633800</v>
      </c>
      <c r="M66" s="533">
        <f>M50</f>
        <v>3914000</v>
      </c>
    </row>
    <row r="67" spans="3:13">
      <c r="C67" s="196"/>
      <c r="D67" s="196"/>
      <c r="E67" s="196"/>
      <c r="F67" s="196"/>
      <c r="G67" s="196"/>
      <c r="H67" s="196"/>
      <c r="I67" s="196"/>
      <c r="J67" s="196"/>
      <c r="K67" s="196"/>
      <c r="L67" s="196"/>
      <c r="M67" s="196"/>
    </row>
    <row r="68" spans="3:13">
      <c r="C68" s="355">
        <v>5</v>
      </c>
      <c r="D68" s="385" t="s">
        <v>482</v>
      </c>
      <c r="E68" s="386">
        <f t="shared" ref="E68:M68" si="10">SUM(E63:E66)</f>
        <v>108199692</v>
      </c>
      <c r="F68" s="387">
        <f t="shared" si="10"/>
        <v>118248912</v>
      </c>
      <c r="G68" s="387">
        <f t="shared" si="10"/>
        <v>115322830</v>
      </c>
      <c r="H68" s="387">
        <f t="shared" si="10"/>
        <v>112938247</v>
      </c>
      <c r="I68" s="387">
        <f t="shared" si="10"/>
        <v>112470218</v>
      </c>
      <c r="J68" s="387">
        <f t="shared" si="10"/>
        <v>119000000</v>
      </c>
      <c r="K68" s="386">
        <f t="shared" si="10"/>
        <v>108895138</v>
      </c>
      <c r="L68" s="387">
        <f t="shared" si="10"/>
        <v>114980374</v>
      </c>
      <c r="M68" s="386">
        <f t="shared" si="10"/>
        <v>107990378</v>
      </c>
    </row>
    <row r="69" spans="3:13">
      <c r="C69" s="196"/>
      <c r="D69" s="196"/>
      <c r="E69" s="200">
        <v>1</v>
      </c>
      <c r="F69" s="200">
        <v>2</v>
      </c>
      <c r="G69" s="200">
        <v>3</v>
      </c>
      <c r="H69" s="200">
        <v>4</v>
      </c>
      <c r="I69" s="200">
        <v>5</v>
      </c>
      <c r="J69" s="200">
        <v>6</v>
      </c>
      <c r="K69" s="200">
        <v>7</v>
      </c>
      <c r="L69" s="200">
        <v>8</v>
      </c>
      <c r="M69" s="200">
        <v>9</v>
      </c>
    </row>
    <row r="70" spans="3:13">
      <c r="C70" s="355">
        <v>6</v>
      </c>
      <c r="D70" s="383" t="s">
        <v>483</v>
      </c>
      <c r="E70" s="388">
        <v>133667780</v>
      </c>
      <c r="F70" s="388">
        <v>120446000</v>
      </c>
      <c r="G70" s="388">
        <v>186456000</v>
      </c>
      <c r="H70" s="388">
        <v>117350000</v>
      </c>
      <c r="I70" s="388">
        <v>124749321</v>
      </c>
      <c r="J70" s="388">
        <v>121435000</v>
      </c>
      <c r="K70" s="388">
        <v>118051000</v>
      </c>
      <c r="L70" s="388">
        <v>119619520</v>
      </c>
      <c r="M70" s="388">
        <v>112931956</v>
      </c>
    </row>
    <row r="71" spans="3:13">
      <c r="C71" s="196"/>
      <c r="D71" s="196"/>
      <c r="E71" s="196"/>
      <c r="F71" s="196"/>
      <c r="G71" s="196"/>
      <c r="H71" s="196"/>
      <c r="I71" s="196"/>
      <c r="J71" s="196"/>
      <c r="K71" s="196"/>
      <c r="L71" s="196"/>
      <c r="M71" s="196"/>
    </row>
    <row r="72" spans="3:13">
      <c r="C72" s="355">
        <v>7</v>
      </c>
      <c r="D72" s="389" t="s">
        <v>484</v>
      </c>
      <c r="E72" s="390">
        <f t="shared" ref="E72:M72" si="11">E70-E68</f>
        <v>25468088</v>
      </c>
      <c r="F72" s="390">
        <f t="shared" si="11"/>
        <v>2197088</v>
      </c>
      <c r="G72" s="390">
        <f t="shared" si="11"/>
        <v>71133170</v>
      </c>
      <c r="H72" s="390">
        <f t="shared" si="11"/>
        <v>4411753</v>
      </c>
      <c r="I72" s="391">
        <f t="shared" si="11"/>
        <v>12279103</v>
      </c>
      <c r="J72" s="392">
        <f t="shared" si="11"/>
        <v>2435000</v>
      </c>
      <c r="K72" s="393">
        <f t="shared" si="11"/>
        <v>9155862</v>
      </c>
      <c r="L72" s="392">
        <f t="shared" si="11"/>
        <v>4639146</v>
      </c>
      <c r="M72" s="394">
        <f t="shared" si="11"/>
        <v>4941578</v>
      </c>
    </row>
    <row r="73" spans="3:13">
      <c r="C73" s="373">
        <v>8</v>
      </c>
      <c r="D73" s="245" t="s">
        <v>485</v>
      </c>
      <c r="E73" s="395">
        <f t="shared" ref="E73:M73" si="12">E72/E70</f>
        <v>0.19053273720862274</v>
      </c>
      <c r="F73" s="395">
        <f t="shared" si="12"/>
        <v>1.8241269946698106E-2</v>
      </c>
      <c r="G73" s="395">
        <f t="shared" si="12"/>
        <v>0.38150110481829491</v>
      </c>
      <c r="H73" s="395">
        <f t="shared" si="12"/>
        <v>3.759482743928419E-2</v>
      </c>
      <c r="I73" s="395">
        <f t="shared" si="12"/>
        <v>9.8430219111172557E-2</v>
      </c>
      <c r="J73" s="395">
        <f t="shared" si="12"/>
        <v>2.0051879606373779E-2</v>
      </c>
      <c r="K73" s="395">
        <f t="shared" si="12"/>
        <v>7.7558529787972993E-2</v>
      </c>
      <c r="L73" s="395">
        <f t="shared" si="12"/>
        <v>3.8782516432100712E-2</v>
      </c>
      <c r="M73" s="395">
        <f t="shared" si="12"/>
        <v>4.3757127521992095E-2</v>
      </c>
    </row>
  </sheetData>
  <mergeCells count="1">
    <mergeCell ref="C2:N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61"/>
  <sheetViews>
    <sheetView workbookViewId="0"/>
  </sheetViews>
  <sheetFormatPr baseColWidth="10" defaultColWidth="12.6640625" defaultRowHeight="15" customHeight="1"/>
  <cols>
    <col min="1" max="1" width="4.33203125" customWidth="1"/>
    <col min="2" max="2" width="48.5" customWidth="1"/>
    <col min="3" max="3" width="8" customWidth="1"/>
    <col min="4" max="4" width="7.83203125" customWidth="1"/>
    <col min="5" max="5" width="16.6640625" customWidth="1"/>
    <col min="6" max="6" width="22.6640625" customWidth="1"/>
    <col min="7" max="7" width="4" customWidth="1"/>
    <col min="8" max="8" width="4.33203125" customWidth="1"/>
    <col min="9" max="9" width="36.1640625" customWidth="1"/>
    <col min="10" max="10" width="8.6640625" customWidth="1"/>
    <col min="11" max="11" width="14.5" customWidth="1"/>
    <col min="12" max="12" width="9.6640625" customWidth="1"/>
    <col min="13" max="13" width="12.83203125" customWidth="1"/>
    <col min="14" max="14" width="20.1640625" customWidth="1"/>
    <col min="15" max="16" width="4.33203125" customWidth="1"/>
    <col min="17" max="17" width="40.83203125" customWidth="1"/>
    <col min="18" max="18" width="77" customWidth="1"/>
    <col min="19" max="27" width="7" customWidth="1"/>
  </cols>
  <sheetData>
    <row r="1" spans="1:18" ht="30" customHeight="1">
      <c r="A1" s="45"/>
      <c r="B1" s="678" t="s">
        <v>486</v>
      </c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46"/>
      <c r="P1" s="46"/>
      <c r="Q1" s="46"/>
      <c r="R1" s="46"/>
    </row>
    <row r="2" spans="1:18" ht="18" customHeight="1">
      <c r="A2" s="47"/>
      <c r="B2" s="48"/>
      <c r="C2" s="49"/>
      <c r="D2" s="50"/>
      <c r="E2" s="51"/>
      <c r="F2" s="52"/>
      <c r="G2" s="52"/>
      <c r="H2" s="53"/>
      <c r="I2" s="53"/>
      <c r="J2" s="49"/>
      <c r="K2" s="49"/>
      <c r="L2" s="50"/>
      <c r="M2" s="51"/>
      <c r="N2" s="54"/>
      <c r="O2" s="53"/>
      <c r="P2" s="53"/>
      <c r="Q2" s="53"/>
      <c r="R2" s="53"/>
    </row>
    <row r="3" spans="1:18" ht="18" customHeight="1">
      <c r="A3" s="47"/>
      <c r="B3" s="46"/>
      <c r="C3" s="55"/>
      <c r="D3" s="56"/>
      <c r="F3" s="396"/>
      <c r="G3" s="57"/>
      <c r="H3" s="46"/>
      <c r="I3" s="46"/>
      <c r="J3" s="55"/>
      <c r="K3" s="55"/>
      <c r="L3" s="56"/>
      <c r="M3" s="58"/>
      <c r="N3" s="57"/>
      <c r="O3" s="46"/>
      <c r="P3" s="46"/>
      <c r="Q3" s="46"/>
      <c r="R3" s="46"/>
    </row>
    <row r="4" spans="1:18" ht="30" customHeight="1">
      <c r="A4" s="47"/>
      <c r="B4" s="659" t="s">
        <v>86</v>
      </c>
      <c r="C4" s="646"/>
      <c r="D4" s="646"/>
      <c r="E4" s="646"/>
      <c r="F4" s="647"/>
      <c r="G4" s="59"/>
      <c r="H4" s="46"/>
      <c r="I4" s="660" t="s">
        <v>87</v>
      </c>
      <c r="J4" s="646"/>
      <c r="K4" s="646"/>
      <c r="L4" s="646"/>
      <c r="M4" s="646"/>
      <c r="N4" s="647"/>
      <c r="O4" s="46"/>
      <c r="P4" s="46"/>
      <c r="Q4" s="660" t="s">
        <v>88</v>
      </c>
      <c r="R4" s="647"/>
    </row>
    <row r="5" spans="1:18" ht="18" customHeight="1">
      <c r="A5" s="47"/>
      <c r="B5" s="46"/>
      <c r="C5" s="55"/>
      <c r="D5" s="56"/>
      <c r="E5" s="55"/>
      <c r="F5" s="55"/>
      <c r="G5" s="60"/>
      <c r="H5" s="46"/>
      <c r="I5" s="46"/>
      <c r="J5" s="55"/>
      <c r="K5" s="55"/>
      <c r="L5" s="56"/>
      <c r="M5" s="58"/>
      <c r="N5" s="57"/>
      <c r="O5" s="46"/>
      <c r="P5" s="46"/>
    </row>
    <row r="6" spans="1:18" ht="18" customHeight="1">
      <c r="A6" s="47" t="s">
        <v>89</v>
      </c>
      <c r="B6" s="661" t="s">
        <v>90</v>
      </c>
      <c r="C6" s="646"/>
      <c r="D6" s="646"/>
      <c r="E6" s="646"/>
      <c r="F6" s="647"/>
      <c r="G6" s="61"/>
      <c r="H6" s="46"/>
      <c r="I6" s="662" t="s">
        <v>87</v>
      </c>
      <c r="J6" s="646"/>
      <c r="K6" s="646"/>
      <c r="L6" s="646"/>
      <c r="M6" s="646"/>
      <c r="N6" s="647"/>
      <c r="O6" s="46"/>
      <c r="P6" s="46"/>
      <c r="Q6" s="662" t="s">
        <v>91</v>
      </c>
      <c r="R6" s="647"/>
    </row>
    <row r="7" spans="1:18" ht="18" customHeight="1">
      <c r="A7" s="47"/>
      <c r="B7" s="62"/>
      <c r="C7" s="63" t="s">
        <v>92</v>
      </c>
      <c r="D7" s="63" t="s">
        <v>93</v>
      </c>
      <c r="E7" s="64" t="s">
        <v>94</v>
      </c>
      <c r="F7" s="65" t="s">
        <v>487</v>
      </c>
      <c r="G7" s="60"/>
      <c r="H7" s="46"/>
      <c r="I7" s="66"/>
      <c r="J7" s="64" t="s">
        <v>95</v>
      </c>
      <c r="K7" s="64" t="s">
        <v>96</v>
      </c>
      <c r="L7" s="64" t="s">
        <v>97</v>
      </c>
      <c r="M7" s="64" t="s">
        <v>488</v>
      </c>
      <c r="N7" s="67" t="s">
        <v>489</v>
      </c>
      <c r="O7" s="46"/>
      <c r="P7" s="46"/>
      <c r="Q7" s="68" t="s">
        <v>100</v>
      </c>
      <c r="R7" s="69">
        <v>0</v>
      </c>
    </row>
    <row r="8" spans="1:18" ht="18" customHeight="1">
      <c r="A8" s="47"/>
      <c r="B8" s="535" t="s">
        <v>490</v>
      </c>
      <c r="C8" s="70" t="s">
        <v>101</v>
      </c>
      <c r="D8" s="70">
        <v>6432</v>
      </c>
      <c r="E8" s="397">
        <v>10</v>
      </c>
      <c r="F8" s="81">
        <f>((E8*D8)*SUM(R7:R13))</f>
        <v>771840</v>
      </c>
      <c r="G8" s="73"/>
      <c r="H8" s="46"/>
      <c r="I8" s="74" t="str">
        <f>Rentroll!D2</f>
        <v>Billa</v>
      </c>
      <c r="J8" s="75">
        <f>Rentroll!F2</f>
        <v>1301.57</v>
      </c>
      <c r="K8" s="75" t="str">
        <f>Rentroll!E2</f>
        <v>shell and core</v>
      </c>
      <c r="L8" s="76">
        <f>Rentroll!I2</f>
        <v>262.25</v>
      </c>
      <c r="M8" s="76">
        <f>Rentroll!M2</f>
        <v>50</v>
      </c>
      <c r="N8" s="77">
        <f t="shared" ref="N8:N16" si="0">IF(J8&gt;0,J8,1)*(L8)</f>
        <v>341336.73249999998</v>
      </c>
      <c r="O8" s="46"/>
      <c r="P8" s="46"/>
      <c r="Q8" s="78" t="s">
        <v>102</v>
      </c>
      <c r="R8" s="79">
        <v>6</v>
      </c>
    </row>
    <row r="9" spans="1:18" ht="18" customHeight="1">
      <c r="A9" s="47"/>
      <c r="B9" s="398" t="s">
        <v>491</v>
      </c>
      <c r="C9" s="399" t="s">
        <v>105</v>
      </c>
      <c r="D9" s="400">
        <v>0.02</v>
      </c>
      <c r="E9" s="401">
        <f>E8*D9</f>
        <v>0.2</v>
      </c>
      <c r="F9" s="402">
        <f>F8*D9</f>
        <v>15436.800000000001</v>
      </c>
      <c r="G9" s="82"/>
      <c r="H9" s="46"/>
      <c r="I9" s="74" t="str">
        <f>Rentroll!D3</f>
        <v>Benu</v>
      </c>
      <c r="J9" s="75">
        <f>Rentroll!F3</f>
        <v>133.91</v>
      </c>
      <c r="K9" s="75" t="str">
        <f>Rentroll!E3</f>
        <v>shell and core</v>
      </c>
      <c r="L9" s="76">
        <f>Rentroll!I3</f>
        <v>450</v>
      </c>
      <c r="M9" s="76">
        <f>Rentroll!M3</f>
        <v>38</v>
      </c>
      <c r="N9" s="77">
        <f t="shared" si="0"/>
        <v>60259.5</v>
      </c>
      <c r="O9" s="46"/>
      <c r="P9" s="46"/>
      <c r="Q9" s="74" t="s">
        <v>104</v>
      </c>
      <c r="R9" s="85">
        <v>0</v>
      </c>
    </row>
    <row r="10" spans="1:18" ht="18" customHeight="1">
      <c r="A10" s="47"/>
      <c r="B10" s="91" t="s">
        <v>109</v>
      </c>
      <c r="C10" s="649">
        <f>SUM(F8:F9)</f>
        <v>787276.80000000005</v>
      </c>
      <c r="D10" s="646"/>
      <c r="E10" s="646"/>
      <c r="F10" s="647"/>
      <c r="G10" s="82"/>
      <c r="H10" s="46"/>
      <c r="I10" s="74" t="str">
        <f>Rentroll!D4</f>
        <v>stavba rezerva</v>
      </c>
      <c r="J10" s="75">
        <f>Rentroll!F4</f>
        <v>386.79</v>
      </c>
      <c r="K10" s="75" t="str">
        <f>Rentroll!E4</f>
        <v>shell and core</v>
      </c>
      <c r="L10" s="76">
        <f>Rentroll!I4</f>
        <v>250</v>
      </c>
      <c r="M10" s="76">
        <f>Rentroll!M4</f>
        <v>37.5</v>
      </c>
      <c r="N10" s="77">
        <f t="shared" si="0"/>
        <v>96697.5</v>
      </c>
      <c r="O10" s="46"/>
      <c r="P10" s="46"/>
      <c r="Q10" s="74" t="s">
        <v>103</v>
      </c>
      <c r="R10" s="83">
        <v>0</v>
      </c>
    </row>
    <row r="11" spans="1:18" ht="18" customHeight="1">
      <c r="B11" s="95" t="s">
        <v>111</v>
      </c>
      <c r="C11" s="3"/>
      <c r="D11" s="3"/>
      <c r="E11" s="3"/>
      <c r="F11" s="96">
        <f>C10/J17</f>
        <v>199.35701479838343</v>
      </c>
      <c r="G11" s="82"/>
      <c r="H11" s="46"/>
      <c r="I11" s="74" t="str">
        <f>Rentroll!D5</f>
        <v>Teta</v>
      </c>
      <c r="J11" s="75">
        <f>Rentroll!F5</f>
        <v>248.07</v>
      </c>
      <c r="K11" s="75" t="str">
        <f>Rentroll!E5</f>
        <v>full fit-out</v>
      </c>
      <c r="L11" s="76">
        <f>Rentroll!I5</f>
        <v>332.5</v>
      </c>
      <c r="M11" s="76">
        <f>Rentroll!M5</f>
        <v>40</v>
      </c>
      <c r="N11" s="77">
        <f t="shared" si="0"/>
        <v>82483.274999999994</v>
      </c>
      <c r="O11" s="46"/>
      <c r="P11" s="46"/>
      <c r="Q11" s="84" t="s">
        <v>102</v>
      </c>
      <c r="R11" s="79">
        <v>0</v>
      </c>
    </row>
    <row r="12" spans="1:18" ht="18" customHeight="1">
      <c r="B12" s="3"/>
      <c r="C12" s="3"/>
      <c r="D12" s="56"/>
      <c r="E12" s="58"/>
      <c r="F12" s="57"/>
      <c r="G12" s="88"/>
      <c r="H12" s="46"/>
      <c r="I12" s="74" t="str">
        <f>Rentroll!D6</f>
        <v>Sinsay</v>
      </c>
      <c r="J12" s="75">
        <f>Rentroll!F6</f>
        <v>552.08000000000004</v>
      </c>
      <c r="K12" s="75" t="str">
        <f>Rentroll!E6</f>
        <v>shell and core</v>
      </c>
      <c r="L12" s="76">
        <f>Rentroll!I6</f>
        <v>225</v>
      </c>
      <c r="M12" s="76">
        <f>Rentroll!M6</f>
        <v>37.5</v>
      </c>
      <c r="N12" s="77">
        <f t="shared" si="0"/>
        <v>124218.00000000001</v>
      </c>
      <c r="O12" s="46"/>
      <c r="P12" s="46"/>
      <c r="Q12" s="84" t="s">
        <v>104</v>
      </c>
      <c r="R12" s="85">
        <v>3</v>
      </c>
    </row>
    <row r="13" spans="1:18" ht="18" customHeight="1">
      <c r="A13" s="47" t="s">
        <v>112</v>
      </c>
      <c r="B13" s="661" t="s">
        <v>492</v>
      </c>
      <c r="C13" s="646"/>
      <c r="D13" s="646"/>
      <c r="E13" s="646"/>
      <c r="F13" s="647"/>
      <c r="G13" s="92"/>
      <c r="H13" s="46"/>
      <c r="I13" s="74" t="str">
        <f>Rentroll!D7</f>
        <v>Pepco</v>
      </c>
      <c r="J13" s="75">
        <f>Rentroll!F7</f>
        <v>437.32</v>
      </c>
      <c r="K13" s="75" t="str">
        <f>Rentroll!E7</f>
        <v>full fit-out</v>
      </c>
      <c r="L13" s="76">
        <f>Rentroll!I7</f>
        <v>308.75</v>
      </c>
      <c r="M13" s="76">
        <f>Rentroll!M7</f>
        <v>45</v>
      </c>
      <c r="N13" s="77">
        <f t="shared" si="0"/>
        <v>135022.54999999999</v>
      </c>
      <c r="O13" s="46"/>
      <c r="P13" s="46"/>
      <c r="Q13" s="74" t="s">
        <v>106</v>
      </c>
      <c r="R13" s="83">
        <v>3</v>
      </c>
    </row>
    <row r="14" spans="1:18" ht="18" customHeight="1">
      <c r="A14" s="47"/>
      <c r="B14" s="97"/>
      <c r="C14" s="98" t="s">
        <v>92</v>
      </c>
      <c r="D14" s="63" t="s">
        <v>113</v>
      </c>
      <c r="E14" s="98" t="s">
        <v>114</v>
      </c>
      <c r="F14" s="99"/>
      <c r="G14" s="92"/>
      <c r="H14" s="46"/>
      <c r="I14" s="74" t="str">
        <f>Rentroll!D8</f>
        <v>Don Pealo</v>
      </c>
      <c r="J14" s="75">
        <f>Rentroll!F8</f>
        <v>54.39</v>
      </c>
      <c r="K14" s="75" t="str">
        <f>Rentroll!E8</f>
        <v>shell and core</v>
      </c>
      <c r="L14" s="76">
        <f>Rentroll!I8</f>
        <v>1625</v>
      </c>
      <c r="M14" s="76">
        <f>Rentroll!M8</f>
        <v>55.157198014340871</v>
      </c>
      <c r="N14" s="77">
        <f t="shared" si="0"/>
        <v>88383.75</v>
      </c>
      <c r="O14" s="46"/>
      <c r="P14" s="46"/>
      <c r="Q14" s="74" t="s">
        <v>107</v>
      </c>
      <c r="R14" s="83">
        <v>9</v>
      </c>
    </row>
    <row r="15" spans="1:18" ht="18" customHeight="1">
      <c r="A15" s="47"/>
      <c r="B15" s="160" t="s">
        <v>131</v>
      </c>
      <c r="C15" s="102">
        <v>1</v>
      </c>
      <c r="D15" s="103" t="s">
        <v>101</v>
      </c>
      <c r="E15" s="71">
        <v>20000</v>
      </c>
      <c r="F15" s="72">
        <f>(E15*J17)</f>
        <v>78981600</v>
      </c>
      <c r="G15" s="92"/>
      <c r="H15" s="46"/>
      <c r="I15" s="74" t="str">
        <f>Rentroll!D9</f>
        <v>Tedi</v>
      </c>
      <c r="J15" s="75">
        <f>Rentroll!F9</f>
        <v>833.95</v>
      </c>
      <c r="K15" s="75" t="str">
        <f>Rentroll!E9</f>
        <v>full fit-out</v>
      </c>
      <c r="L15" s="76">
        <f>Rentroll!I9</f>
        <v>200</v>
      </c>
      <c r="M15" s="76">
        <f>Rentroll!M9</f>
        <v>25</v>
      </c>
      <c r="N15" s="77">
        <f t="shared" si="0"/>
        <v>166790</v>
      </c>
      <c r="O15" s="46"/>
      <c r="P15" s="46"/>
      <c r="Q15" s="403"/>
      <c r="R15" s="404"/>
    </row>
    <row r="16" spans="1:18" ht="18" customHeight="1">
      <c r="A16" s="47"/>
      <c r="B16" s="405" t="s">
        <v>493</v>
      </c>
      <c r="C16" s="102">
        <v>1</v>
      </c>
      <c r="D16" s="103" t="s">
        <v>101</v>
      </c>
      <c r="E16" s="71">
        <v>10000</v>
      </c>
      <c r="F16" s="406">
        <f>SUMIF(K8:K15,"full fit-out",J8:J15)*E16</f>
        <v>15193400.000000002</v>
      </c>
      <c r="G16" s="92"/>
      <c r="H16" s="46"/>
      <c r="I16" s="74" t="str">
        <f>Rentroll!D10</f>
        <v>Alza</v>
      </c>
      <c r="J16" s="75">
        <f>Rentroll!F10</f>
        <v>1</v>
      </c>
      <c r="K16" s="75" t="str">
        <f>Rentroll!E10</f>
        <v>pozemek</v>
      </c>
      <c r="L16" s="76">
        <f>Rentroll!I10</f>
        <v>5000</v>
      </c>
      <c r="M16" s="76">
        <f>Rentroll!M10</f>
        <v>0</v>
      </c>
      <c r="N16" s="77">
        <f t="shared" si="0"/>
        <v>5000</v>
      </c>
      <c r="O16" s="46"/>
      <c r="P16" s="46"/>
      <c r="Q16" s="89" t="s">
        <v>108</v>
      </c>
      <c r="R16" s="90">
        <v>3</v>
      </c>
    </row>
    <row r="17" spans="1:18" ht="18" customHeight="1">
      <c r="A17" s="47"/>
      <c r="B17" s="405" t="s">
        <v>133</v>
      </c>
      <c r="C17" s="102">
        <v>1</v>
      </c>
      <c r="D17" s="152" t="s">
        <v>101</v>
      </c>
      <c r="E17" s="71">
        <v>1500</v>
      </c>
      <c r="F17" s="406">
        <f>D8*E17</f>
        <v>9648000</v>
      </c>
      <c r="G17" s="92"/>
      <c r="H17" s="46"/>
      <c r="I17" s="107" t="s">
        <v>115</v>
      </c>
      <c r="J17" s="407">
        <f>SUM(J8:J16)</f>
        <v>3949.08</v>
      </c>
      <c r="K17" s="407" t="s">
        <v>116</v>
      </c>
      <c r="L17" s="408">
        <f t="shared" ref="L17:M17" si="1">SUM(L8:L16)</f>
        <v>8653.5</v>
      </c>
      <c r="M17" s="409">
        <f t="shared" si="1"/>
        <v>328.15719801434085</v>
      </c>
      <c r="N17" s="410"/>
      <c r="O17" s="46"/>
      <c r="P17" s="46"/>
      <c r="Q17" s="93" t="s">
        <v>110</v>
      </c>
      <c r="R17" s="94">
        <f>SUM(R7:R16)</f>
        <v>24</v>
      </c>
    </row>
    <row r="18" spans="1:18" ht="18" customHeight="1">
      <c r="B18" s="405" t="s">
        <v>135</v>
      </c>
      <c r="C18" s="411">
        <v>1</v>
      </c>
      <c r="D18" s="152" t="s">
        <v>101</v>
      </c>
      <c r="E18" s="412">
        <v>600</v>
      </c>
      <c r="F18" s="406">
        <f>D8*E18</f>
        <v>3859200</v>
      </c>
      <c r="G18" s="106"/>
      <c r="H18" s="46"/>
      <c r="I18" s="113" t="s">
        <v>118</v>
      </c>
      <c r="J18" s="677">
        <f>SUM(N8:N16)*12</f>
        <v>13202295.689999998</v>
      </c>
      <c r="K18" s="653"/>
      <c r="L18" s="653"/>
      <c r="M18" s="653"/>
      <c r="N18" s="631"/>
      <c r="O18" s="46"/>
      <c r="P18" s="46"/>
      <c r="Q18" s="46"/>
      <c r="R18" s="46"/>
    </row>
    <row r="19" spans="1:18" ht="18" customHeight="1">
      <c r="A19" s="47"/>
      <c r="B19" s="405" t="s">
        <v>494</v>
      </c>
      <c r="C19" s="411">
        <v>1</v>
      </c>
      <c r="D19" s="152" t="s">
        <v>101</v>
      </c>
      <c r="E19" s="412"/>
      <c r="F19" s="406">
        <f t="shared" ref="F19:F21" si="2">E19</f>
        <v>0</v>
      </c>
      <c r="G19" s="73"/>
      <c r="H19" s="46"/>
      <c r="I19" s="413" t="s">
        <v>495</v>
      </c>
      <c r="J19" s="536"/>
      <c r="K19" s="536"/>
      <c r="L19" s="536">
        <v>15</v>
      </c>
      <c r="M19" s="536"/>
      <c r="N19" s="414">
        <f>-L19*D8*12</f>
        <v>-1157760</v>
      </c>
      <c r="O19" s="46"/>
      <c r="P19" s="46"/>
      <c r="Q19" s="46"/>
      <c r="R19" s="46"/>
    </row>
    <row r="20" spans="1:18" ht="18" customHeight="1">
      <c r="A20" s="47"/>
      <c r="B20" s="405" t="s">
        <v>496</v>
      </c>
      <c r="C20" s="411">
        <v>1</v>
      </c>
      <c r="D20" s="152" t="s">
        <v>101</v>
      </c>
      <c r="E20" s="412">
        <v>2000000</v>
      </c>
      <c r="F20" s="406">
        <f t="shared" si="2"/>
        <v>2000000</v>
      </c>
      <c r="G20" s="106"/>
      <c r="H20" s="46"/>
      <c r="I20" s="114" t="s">
        <v>120</v>
      </c>
      <c r="J20" s="415"/>
      <c r="K20" s="415" t="s">
        <v>497</v>
      </c>
      <c r="L20" s="416"/>
      <c r="M20" s="417"/>
      <c r="N20" s="418">
        <f>(J18+N19)/C47</f>
        <v>8.5885329868956597E-2</v>
      </c>
      <c r="O20" s="46"/>
      <c r="P20" s="46"/>
      <c r="Q20" s="46"/>
      <c r="R20" s="46"/>
    </row>
    <row r="21" spans="1:18" ht="18" customHeight="1">
      <c r="A21" s="47"/>
      <c r="B21" s="405" t="s">
        <v>498</v>
      </c>
      <c r="C21" s="411">
        <v>1</v>
      </c>
      <c r="D21" s="152" t="s">
        <v>101</v>
      </c>
      <c r="E21" s="412">
        <v>1000000</v>
      </c>
      <c r="F21" s="406">
        <f t="shared" si="2"/>
        <v>1000000</v>
      </c>
      <c r="G21" s="120"/>
      <c r="H21" s="46"/>
      <c r="I21" s="121" t="s">
        <v>122</v>
      </c>
      <c r="J21" s="115"/>
      <c r="K21" s="122"/>
      <c r="L21" s="122"/>
      <c r="M21" s="123">
        <v>0.06</v>
      </c>
      <c r="N21" s="124">
        <f>N20/M21</f>
        <v>1.4314221644826099</v>
      </c>
      <c r="O21" s="46"/>
      <c r="P21" s="46"/>
      <c r="Q21" s="662" t="s">
        <v>499</v>
      </c>
      <c r="R21" s="647"/>
    </row>
    <row r="22" spans="1:18" ht="18" customHeight="1">
      <c r="B22" s="419" t="s">
        <v>500</v>
      </c>
      <c r="C22" s="420">
        <v>1</v>
      </c>
      <c r="D22" s="103" t="s">
        <v>105</v>
      </c>
      <c r="E22" s="421">
        <v>0.05</v>
      </c>
      <c r="F22" s="422">
        <f>SUM(F15:F17)*E22</f>
        <v>5191150</v>
      </c>
      <c r="G22" s="120"/>
      <c r="H22" s="46"/>
      <c r="I22" s="100" t="s">
        <v>123</v>
      </c>
      <c r="J22" s="122"/>
      <c r="K22" s="122"/>
      <c r="L22" s="122"/>
      <c r="M22" s="423">
        <v>15</v>
      </c>
      <c r="N22" s="127">
        <f>J17*M22*12</f>
        <v>710834.39999999991</v>
      </c>
      <c r="O22" s="128"/>
      <c r="P22" s="46"/>
      <c r="Q22" s="424" t="s">
        <v>501</v>
      </c>
      <c r="R22" s="144">
        <v>0.255</v>
      </c>
    </row>
    <row r="23" spans="1:18" ht="18" customHeight="1">
      <c r="A23" s="47"/>
      <c r="B23" s="91" t="s">
        <v>109</v>
      </c>
      <c r="C23" s="649">
        <f>SUM(F15:F22)</f>
        <v>115873350</v>
      </c>
      <c r="D23" s="646"/>
      <c r="E23" s="646"/>
      <c r="F23" s="647"/>
      <c r="G23" s="120"/>
      <c r="H23" s="46"/>
      <c r="I23" s="130" t="s">
        <v>502</v>
      </c>
      <c r="J23" s="122"/>
      <c r="K23" s="122"/>
      <c r="L23" s="131"/>
      <c r="M23" s="132"/>
      <c r="N23" s="177">
        <f>(Rentroll!P13-N22+N19)/C47</f>
        <v>9.5683362388737259E-2</v>
      </c>
      <c r="O23" s="46"/>
      <c r="P23" s="46"/>
      <c r="Q23" s="100" t="s">
        <v>503</v>
      </c>
      <c r="R23" s="161">
        <f>R22*(C23+C44)</f>
        <v>35560376.213901453</v>
      </c>
    </row>
    <row r="24" spans="1:18" ht="18" customHeight="1">
      <c r="B24" s="95" t="s">
        <v>111</v>
      </c>
      <c r="C24" s="173"/>
      <c r="D24" s="173"/>
      <c r="E24" s="173"/>
      <c r="F24" s="425">
        <f>C23/J17</f>
        <v>29341.859369777267</v>
      </c>
      <c r="G24" s="120"/>
      <c r="H24" s="46"/>
      <c r="I24" s="133" t="s">
        <v>125</v>
      </c>
      <c r="J24" s="134"/>
      <c r="K24" s="134"/>
      <c r="L24" s="135"/>
      <c r="M24" s="136"/>
      <c r="N24" s="137">
        <v>7.1999999999999995E-2</v>
      </c>
      <c r="O24" s="46"/>
      <c r="P24" s="46"/>
      <c r="Q24" s="149" t="s">
        <v>504</v>
      </c>
      <c r="R24" s="125">
        <f>J26-R23-C23-C44+N25</f>
        <v>-10296935.148733083</v>
      </c>
    </row>
    <row r="25" spans="1:18" ht="18" customHeight="1">
      <c r="B25" s="46"/>
      <c r="C25" s="55"/>
      <c r="D25" s="56"/>
      <c r="E25" s="58"/>
      <c r="F25" s="57"/>
      <c r="G25" s="120"/>
      <c r="H25" s="46"/>
      <c r="I25" s="138" t="s">
        <v>129</v>
      </c>
      <c r="J25" s="139"/>
      <c r="K25" s="139"/>
      <c r="L25" s="140"/>
      <c r="M25" s="141">
        <v>0.5</v>
      </c>
      <c r="N25" s="426">
        <f>(J26-C47)*0.19*-M25</f>
        <v>-2569321.1107082805</v>
      </c>
      <c r="O25" s="46"/>
      <c r="P25" s="46"/>
      <c r="Q25" s="150" t="s">
        <v>505</v>
      </c>
      <c r="R25" s="129">
        <f>R24-F39</f>
        <v>-10308744.300733084</v>
      </c>
    </row>
    <row r="26" spans="1:18" ht="29.25" customHeight="1">
      <c r="A26" s="47" t="s">
        <v>126</v>
      </c>
      <c r="B26" s="661" t="s">
        <v>506</v>
      </c>
      <c r="C26" s="646"/>
      <c r="D26" s="646"/>
      <c r="E26" s="646"/>
      <c r="F26" s="647"/>
      <c r="G26" s="120"/>
      <c r="H26" s="46"/>
      <c r="I26" s="148" t="s">
        <v>507</v>
      </c>
      <c r="J26" s="657">
        <f>(J18+N19)/N24</f>
        <v>167285217.91666666</v>
      </c>
      <c r="K26" s="646"/>
      <c r="L26" s="646"/>
      <c r="M26" s="646"/>
      <c r="N26" s="647"/>
      <c r="O26" s="46"/>
      <c r="P26" s="46"/>
    </row>
    <row r="27" spans="1:18" ht="18" customHeight="1">
      <c r="A27" s="47"/>
      <c r="B27" s="427"/>
      <c r="C27" s="428" t="s">
        <v>92</v>
      </c>
      <c r="D27" s="429" t="s">
        <v>113</v>
      </c>
      <c r="E27" s="430" t="s">
        <v>508</v>
      </c>
      <c r="F27" s="431"/>
      <c r="G27" s="120"/>
      <c r="H27" s="46"/>
      <c r="I27" s="46"/>
      <c r="J27" s="55"/>
      <c r="K27" s="55"/>
      <c r="L27" s="56"/>
      <c r="M27" s="58"/>
      <c r="N27" s="57"/>
      <c r="O27" s="46"/>
      <c r="P27" s="46"/>
      <c r="Q27" s="662" t="s">
        <v>509</v>
      </c>
      <c r="R27" s="647"/>
    </row>
    <row r="28" spans="1:18" ht="27" customHeight="1">
      <c r="A28" s="47"/>
      <c r="B28" s="432" t="s">
        <v>510</v>
      </c>
      <c r="C28" s="433">
        <v>1</v>
      </c>
      <c r="D28" s="434" t="s">
        <v>101</v>
      </c>
      <c r="E28" s="159">
        <v>0.05</v>
      </c>
      <c r="F28" s="431">
        <f t="shared" ref="F28:F30" si="3">E28*$C$23</f>
        <v>5793667.5</v>
      </c>
      <c r="G28" s="120"/>
      <c r="H28" s="46"/>
      <c r="I28" s="154"/>
      <c r="J28" s="155"/>
      <c r="K28" s="155"/>
      <c r="L28" s="155"/>
      <c r="M28" s="155"/>
      <c r="N28" s="156"/>
      <c r="O28" s="46"/>
      <c r="P28" s="46"/>
      <c r="Q28" s="424" t="str">
        <f>B8</f>
        <v>Pozemek</v>
      </c>
      <c r="R28" s="157">
        <f>C10</f>
        <v>787276.80000000005</v>
      </c>
    </row>
    <row r="29" spans="1:18" ht="27" customHeight="1">
      <c r="A29" s="47"/>
      <c r="B29" s="432" t="s">
        <v>511</v>
      </c>
      <c r="C29" s="433">
        <v>1</v>
      </c>
      <c r="D29" s="434" t="s">
        <v>101</v>
      </c>
      <c r="E29" s="159">
        <v>0.03</v>
      </c>
      <c r="F29" s="431">
        <f t="shared" si="3"/>
        <v>3476200.5</v>
      </c>
      <c r="G29" s="120"/>
      <c r="H29" s="46"/>
      <c r="I29" s="435" t="s">
        <v>138</v>
      </c>
      <c r="J29" s="490"/>
      <c r="K29" s="490"/>
      <c r="L29" s="490"/>
      <c r="M29" s="652">
        <f>J26-C47+N25</f>
        <v>24476164.265168354</v>
      </c>
      <c r="N29" s="631"/>
      <c r="O29" s="46"/>
      <c r="P29" s="46"/>
      <c r="Q29" s="100" t="s">
        <v>140</v>
      </c>
      <c r="R29" s="161">
        <f>M29*25%</f>
        <v>6119041.0662920885</v>
      </c>
    </row>
    <row r="30" spans="1:18" ht="18" customHeight="1">
      <c r="A30" s="47"/>
      <c r="B30" s="432" t="s">
        <v>512</v>
      </c>
      <c r="C30" s="436">
        <v>1</v>
      </c>
      <c r="D30" s="433" t="s">
        <v>101</v>
      </c>
      <c r="E30" s="159">
        <f>0.7%</f>
        <v>6.9999999999999993E-3</v>
      </c>
      <c r="F30" s="431">
        <f t="shared" si="3"/>
        <v>811113.45</v>
      </c>
      <c r="G30" s="120"/>
      <c r="H30" s="46"/>
      <c r="I30" s="435"/>
      <c r="J30" s="490"/>
      <c r="K30" s="490"/>
      <c r="L30" s="490"/>
      <c r="M30" s="653"/>
      <c r="N30" s="631"/>
      <c r="O30" s="46"/>
      <c r="P30" s="46"/>
      <c r="Q30" s="149" t="str">
        <f>B28</f>
        <v>Architekt, projektant</v>
      </c>
      <c r="R30" s="125">
        <f>F28</f>
        <v>5793667.5</v>
      </c>
    </row>
    <row r="31" spans="1:18" ht="18" customHeight="1">
      <c r="A31" s="47"/>
      <c r="B31" s="432" t="s">
        <v>292</v>
      </c>
      <c r="C31" s="433">
        <v>1</v>
      </c>
      <c r="D31" s="433" t="s">
        <v>513</v>
      </c>
      <c r="E31" s="159">
        <v>0.15</v>
      </c>
      <c r="F31" s="431">
        <f>E31*$J$18</f>
        <v>1980344.3534999995</v>
      </c>
      <c r="G31" s="120"/>
      <c r="H31" s="46"/>
      <c r="I31" s="162" t="s">
        <v>140</v>
      </c>
      <c r="J31" s="163"/>
      <c r="K31" s="163"/>
      <c r="L31" s="163"/>
      <c r="M31" s="163"/>
      <c r="N31" s="492">
        <f>M29/J26</f>
        <v>0.1463139694588029</v>
      </c>
      <c r="O31" s="46"/>
      <c r="P31" s="46"/>
      <c r="Q31" s="150" t="s">
        <v>505</v>
      </c>
      <c r="R31" s="129">
        <f>SUM(R28:R30)</f>
        <v>12699985.366292089</v>
      </c>
    </row>
    <row r="32" spans="1:18" ht="18" customHeight="1">
      <c r="A32" s="47"/>
      <c r="B32" s="432" t="s">
        <v>127</v>
      </c>
      <c r="C32" s="433">
        <v>1</v>
      </c>
      <c r="D32" s="433" t="s">
        <v>513</v>
      </c>
      <c r="E32" s="159">
        <v>0.01</v>
      </c>
      <c r="F32" s="431">
        <f>E32*$J$26</f>
        <v>1672852.1791666667</v>
      </c>
      <c r="G32" s="120"/>
      <c r="H32" s="46"/>
      <c r="I32" s="162" t="s">
        <v>141</v>
      </c>
      <c r="J32" s="163"/>
      <c r="K32" s="164" t="s">
        <v>514</v>
      </c>
      <c r="L32" s="163"/>
      <c r="M32" s="163"/>
      <c r="N32" s="492">
        <f>M29/C47</f>
        <v>0.17453088238063513</v>
      </c>
      <c r="O32" s="46"/>
      <c r="P32" s="46"/>
      <c r="Q32" s="46"/>
      <c r="R32" s="46"/>
    </row>
    <row r="33" spans="1:18" ht="18" customHeight="1">
      <c r="A33" s="47"/>
      <c r="B33" s="432" t="s">
        <v>515</v>
      </c>
      <c r="C33" s="433">
        <v>1</v>
      </c>
      <c r="D33" s="433" t="s">
        <v>513</v>
      </c>
      <c r="E33" s="159">
        <f>0.5%</f>
        <v>5.0000000000000001E-3</v>
      </c>
      <c r="F33" s="431">
        <f t="shared" ref="F33:F38" si="4">E33*$C$23</f>
        <v>579366.75</v>
      </c>
      <c r="G33" s="57"/>
      <c r="H33" s="153"/>
      <c r="I33" s="165" t="s">
        <v>143</v>
      </c>
      <c r="J33" s="166"/>
      <c r="K33" s="166"/>
      <c r="L33" s="166"/>
      <c r="M33" s="166"/>
      <c r="N33" s="494">
        <f>M29/(C47*E41)</f>
        <v>0.49865966394467187</v>
      </c>
      <c r="O33" s="46"/>
      <c r="P33" s="46"/>
      <c r="Q33" s="46"/>
      <c r="R33" s="46"/>
    </row>
    <row r="34" spans="1:18" ht="18" customHeight="1">
      <c r="A34" s="47"/>
      <c r="B34" s="432" t="s">
        <v>516</v>
      </c>
      <c r="C34" s="433">
        <v>1</v>
      </c>
      <c r="D34" s="433" t="s">
        <v>513</v>
      </c>
      <c r="E34" s="159">
        <f>0.2%</f>
        <v>2E-3</v>
      </c>
      <c r="F34" s="431">
        <f t="shared" si="4"/>
        <v>231746.7</v>
      </c>
      <c r="G34" s="57"/>
      <c r="H34" s="153"/>
      <c r="I34" s="46"/>
      <c r="J34" s="55"/>
      <c r="K34" s="55"/>
      <c r="L34" s="56"/>
      <c r="M34" s="58"/>
      <c r="N34" s="57"/>
      <c r="O34" s="46"/>
      <c r="P34" s="46"/>
      <c r="Q34" s="46"/>
      <c r="R34" s="46"/>
    </row>
    <row r="35" spans="1:18" ht="24.75" customHeight="1">
      <c r="A35" s="47"/>
      <c r="B35" s="432" t="s">
        <v>517</v>
      </c>
      <c r="C35" s="436">
        <v>1</v>
      </c>
      <c r="D35" s="433" t="s">
        <v>101</v>
      </c>
      <c r="E35" s="159">
        <v>0</v>
      </c>
      <c r="F35" s="431">
        <f t="shared" si="4"/>
        <v>0</v>
      </c>
      <c r="G35" s="57"/>
      <c r="H35" s="153"/>
      <c r="I35" s="46"/>
      <c r="J35" s="55"/>
      <c r="K35" s="55"/>
      <c r="L35" s="56"/>
      <c r="M35" s="58"/>
      <c r="N35" s="57"/>
      <c r="O35" s="46"/>
      <c r="P35" s="46"/>
      <c r="Q35" s="46"/>
      <c r="R35" s="46"/>
    </row>
    <row r="36" spans="1:18" ht="18" customHeight="1">
      <c r="A36" s="47"/>
      <c r="B36" s="432" t="s">
        <v>518</v>
      </c>
      <c r="C36" s="436">
        <v>1</v>
      </c>
      <c r="D36" s="433" t="s">
        <v>101</v>
      </c>
      <c r="E36" s="159">
        <v>0</v>
      </c>
      <c r="F36" s="431">
        <f t="shared" si="4"/>
        <v>0</v>
      </c>
      <c r="G36" s="57"/>
      <c r="H36" s="46"/>
      <c r="I36" s="168"/>
      <c r="J36" s="46"/>
      <c r="K36" s="46"/>
      <c r="L36" s="46"/>
      <c r="M36" s="46"/>
      <c r="N36" s="169"/>
      <c r="O36" s="46"/>
      <c r="P36" s="46"/>
      <c r="Q36" s="46"/>
      <c r="R36" s="46"/>
    </row>
    <row r="37" spans="1:18" ht="18" customHeight="1">
      <c r="A37" s="47"/>
      <c r="B37" s="432" t="s">
        <v>519</v>
      </c>
      <c r="C37" s="436">
        <v>1</v>
      </c>
      <c r="D37" s="433" t="s">
        <v>101</v>
      </c>
      <c r="E37" s="159">
        <f>0.1%</f>
        <v>1E-3</v>
      </c>
      <c r="F37" s="431">
        <f t="shared" si="4"/>
        <v>115873.35</v>
      </c>
      <c r="G37" s="57"/>
      <c r="H37" s="46"/>
      <c r="I37" s="437"/>
      <c r="J37" s="46"/>
      <c r="K37" s="46"/>
      <c r="L37" s="168"/>
      <c r="M37" s="168"/>
      <c r="N37" s="169"/>
      <c r="O37" s="46"/>
      <c r="P37" s="46"/>
      <c r="Q37" s="661" t="s">
        <v>520</v>
      </c>
      <c r="R37" s="647"/>
    </row>
    <row r="38" spans="1:18" ht="18" customHeight="1">
      <c r="A38" s="47"/>
      <c r="B38" s="432" t="s">
        <v>521</v>
      </c>
      <c r="C38" s="436">
        <v>1</v>
      </c>
      <c r="D38" s="433" t="s">
        <v>101</v>
      </c>
      <c r="E38" s="159">
        <f>0.3%</f>
        <v>3.0000000000000001E-3</v>
      </c>
      <c r="F38" s="431">
        <f t="shared" si="4"/>
        <v>347620.05</v>
      </c>
      <c r="G38" s="57"/>
      <c r="H38" s="46"/>
      <c r="I38" s="437"/>
      <c r="J38" s="46"/>
      <c r="K38" s="46"/>
      <c r="L38" s="46"/>
      <c r="M38" s="46"/>
      <c r="N38" s="438"/>
      <c r="O38" s="46"/>
      <c r="P38" s="46"/>
      <c r="Q38" s="171" t="s">
        <v>522</v>
      </c>
      <c r="R38" s="172" t="s">
        <v>523</v>
      </c>
    </row>
    <row r="39" spans="1:18" ht="18" customHeight="1">
      <c r="A39" s="47"/>
      <c r="B39" s="537" t="s">
        <v>524</v>
      </c>
      <c r="C39" s="439">
        <v>0.15</v>
      </c>
      <c r="D39" s="433" t="s">
        <v>212</v>
      </c>
      <c r="E39" s="440">
        <v>0.1</v>
      </c>
      <c r="F39" s="431">
        <f>((C10*E39)*C39/12)*SUM(R7:R13)</f>
        <v>11809.152</v>
      </c>
      <c r="G39" s="57"/>
      <c r="H39" s="46"/>
      <c r="I39" s="441"/>
      <c r="J39" s="46"/>
      <c r="K39" s="46"/>
      <c r="L39" s="46"/>
      <c r="M39" s="95"/>
      <c r="N39" s="442"/>
      <c r="O39" s="46"/>
      <c r="P39" s="46"/>
      <c r="Q39" s="174">
        <f t="shared" ref="Q39:Q42" si="5">IF((($J$18+$N$19)/R39-$C$47+$N$24)&gt;0,($J$18/R39-$C$47+$N$24),0)</f>
        <v>43125485.447876632</v>
      </c>
      <c r="R39" s="175">
        <f>N24</f>
        <v>7.1999999999999995E-2</v>
      </c>
    </row>
    <row r="40" spans="1:18" ht="18" customHeight="1">
      <c r="A40" s="47"/>
      <c r="B40" s="537" t="s">
        <v>525</v>
      </c>
      <c r="C40" s="439">
        <v>0.1</v>
      </c>
      <c r="D40" s="433" t="s">
        <v>212</v>
      </c>
      <c r="E40" s="440">
        <v>0.65</v>
      </c>
      <c r="F40" s="431">
        <f>((C23*E40+SUM(F28:F38)*E40)*C40/12)*SUM(R14:R16)</f>
        <v>8507338.7641233336</v>
      </c>
      <c r="G40" s="57"/>
      <c r="H40" s="46"/>
      <c r="I40" s="437"/>
      <c r="J40" s="46"/>
      <c r="K40" s="46"/>
      <c r="L40" s="46"/>
      <c r="N40" s="57"/>
      <c r="O40" s="46"/>
      <c r="P40" s="46"/>
      <c r="Q40" s="174">
        <f t="shared" si="5"/>
        <v>31218653.115625534</v>
      </c>
      <c r="R40" s="176">
        <f t="shared" ref="R40:R42" si="6">R39+0.5%</f>
        <v>7.6999999999999999E-2</v>
      </c>
    </row>
    <row r="41" spans="1:18" ht="18" customHeight="1">
      <c r="A41" s="47"/>
      <c r="B41" s="432" t="s">
        <v>526</v>
      </c>
      <c r="C41" s="439">
        <v>0</v>
      </c>
      <c r="D41" s="433" t="s">
        <v>212</v>
      </c>
      <c r="E41" s="440">
        <f>100%-E40</f>
        <v>0.35</v>
      </c>
      <c r="F41" s="431">
        <f>(((C23*E41+SUM(F28:F38)*E41)*C41/12)*SUM(R14:R16))</f>
        <v>0</v>
      </c>
      <c r="G41" s="57"/>
      <c r="H41" s="46"/>
      <c r="I41" s="46"/>
      <c r="J41" s="46"/>
      <c r="K41" s="46"/>
      <c r="L41" s="46"/>
      <c r="N41" s="57"/>
      <c r="O41" s="46"/>
      <c r="P41" s="46"/>
      <c r="Q41" s="174">
        <f t="shared" si="5"/>
        <v>20763873.506819699</v>
      </c>
      <c r="R41" s="177">
        <f t="shared" si="6"/>
        <v>8.2000000000000003E-2</v>
      </c>
    </row>
    <row r="42" spans="1:18" ht="18" customHeight="1">
      <c r="A42" s="47"/>
      <c r="B42" s="537" t="s">
        <v>527</v>
      </c>
      <c r="C42" s="439">
        <v>0.1</v>
      </c>
      <c r="D42" s="433" t="s">
        <v>212</v>
      </c>
      <c r="E42" s="440">
        <f t="shared" ref="E42:E43" si="7">E40</f>
        <v>0.65</v>
      </c>
      <c r="F42" s="431">
        <f>(((C10*E42)*C42/12)*SUM(R14:R16))</f>
        <v>51172.991999999998</v>
      </c>
      <c r="G42" s="57"/>
      <c r="H42" s="46"/>
      <c r="I42" s="46"/>
      <c r="J42" s="55"/>
      <c r="K42" s="55"/>
      <c r="L42" s="56"/>
      <c r="N42" s="57"/>
      <c r="O42" s="46"/>
      <c r="P42" s="46"/>
      <c r="Q42" s="174">
        <f t="shared" si="5"/>
        <v>0</v>
      </c>
      <c r="R42" s="538">
        <f t="shared" si="6"/>
        <v>8.7000000000000008E-2</v>
      </c>
    </row>
    <row r="43" spans="1:18" ht="18" customHeight="1">
      <c r="A43" s="47"/>
      <c r="B43" s="432" t="s">
        <v>528</v>
      </c>
      <c r="C43" s="439">
        <v>0</v>
      </c>
      <c r="D43" s="433" t="s">
        <v>212</v>
      </c>
      <c r="E43" s="440">
        <f t="shared" si="7"/>
        <v>0.35</v>
      </c>
      <c r="F43" s="431">
        <f>(((C10*E43)*C43/12)*SUM(R14:R16))</f>
        <v>0</v>
      </c>
      <c r="G43" s="57"/>
      <c r="H43" s="46"/>
      <c r="I43" s="46"/>
      <c r="J43" s="55"/>
      <c r="K43" s="55"/>
      <c r="L43" s="56"/>
      <c r="M43" s="95"/>
      <c r="N43" s="57"/>
      <c r="O43" s="46"/>
      <c r="P43" s="46"/>
      <c r="Q43" s="178">
        <f>($J$18+$N$19)/R43-$C$47+$N$24</f>
        <v>3.0994415228802197E-9</v>
      </c>
      <c r="R43" s="179">
        <f>(J18+N19)/($C$47-$N$24)</f>
        <v>8.5885329913050687E-2</v>
      </c>
    </row>
    <row r="44" spans="1:18" ht="18" customHeight="1">
      <c r="A44" s="47"/>
      <c r="B44" s="91" t="s">
        <v>109</v>
      </c>
      <c r="C44" s="649">
        <f>SUM(F28:F43)</f>
        <v>23579105.740789998</v>
      </c>
      <c r="D44" s="646"/>
      <c r="E44" s="646"/>
      <c r="F44" s="647"/>
      <c r="G44" s="57"/>
      <c r="H44" s="46"/>
      <c r="I44" s="46"/>
      <c r="J44" s="55"/>
      <c r="K44" s="55"/>
      <c r="L44" s="56"/>
      <c r="M44" s="58"/>
      <c r="N44" s="57"/>
      <c r="O44" s="46"/>
      <c r="P44" s="46"/>
      <c r="Q44" s="46"/>
      <c r="R44" s="55"/>
    </row>
    <row r="45" spans="1:18" ht="18" customHeight="1">
      <c r="A45" s="47"/>
      <c r="B45" s="443" t="s">
        <v>111</v>
      </c>
      <c r="C45" s="173"/>
      <c r="D45" s="173"/>
      <c r="E45" s="173"/>
      <c r="F45" s="425">
        <f>C44/J17</f>
        <v>5970.7845221646558</v>
      </c>
      <c r="G45" s="57"/>
      <c r="H45" s="46"/>
      <c r="I45" s="46"/>
      <c r="J45" s="55"/>
      <c r="K45" s="55"/>
      <c r="L45" s="56"/>
      <c r="M45" s="58"/>
      <c r="N45" s="57"/>
      <c r="O45" s="46"/>
      <c r="P45" s="46"/>
      <c r="Q45" s="46"/>
      <c r="R45" s="46"/>
    </row>
    <row r="46" spans="1:18" ht="18" customHeight="1">
      <c r="A46" s="47"/>
      <c r="B46" s="46"/>
      <c r="C46" s="55"/>
      <c r="D46" s="56"/>
      <c r="E46" s="58"/>
      <c r="F46" s="57"/>
      <c r="G46" s="57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55"/>
    </row>
    <row r="47" spans="1:18" ht="18" customHeight="1">
      <c r="A47" s="47"/>
      <c r="B47" s="194" t="s">
        <v>162</v>
      </c>
      <c r="C47" s="645">
        <f>SUM(C44,C23,C10)</f>
        <v>140239732.54079002</v>
      </c>
      <c r="D47" s="646"/>
      <c r="E47" s="646"/>
      <c r="F47" s="647"/>
      <c r="G47" s="57"/>
      <c r="H47" s="46"/>
      <c r="I47" s="46"/>
      <c r="J47" s="55"/>
      <c r="K47" s="55"/>
      <c r="L47" s="676"/>
      <c r="M47" s="640"/>
      <c r="N47" s="640"/>
      <c r="O47" s="46"/>
      <c r="P47" s="46"/>
      <c r="Q47" s="661" t="s">
        <v>529</v>
      </c>
      <c r="R47" s="647"/>
    </row>
    <row r="48" spans="1:18" ht="18" customHeight="1">
      <c r="A48" s="47"/>
      <c r="B48" s="46"/>
      <c r="C48" s="55"/>
      <c r="D48" s="56"/>
      <c r="E48" s="58"/>
      <c r="F48" s="57"/>
      <c r="G48" s="57"/>
      <c r="H48" s="46"/>
      <c r="I48" s="46"/>
      <c r="J48" s="55"/>
      <c r="K48" s="55"/>
      <c r="L48" s="56"/>
      <c r="M48" s="58"/>
      <c r="N48" s="57"/>
      <c r="O48" s="46"/>
      <c r="P48" s="46"/>
      <c r="Q48" s="171" t="s">
        <v>522</v>
      </c>
      <c r="R48" s="172" t="s">
        <v>530</v>
      </c>
    </row>
    <row r="49" spans="2:18" ht="18" customHeight="1">
      <c r="B49" s="195" t="s">
        <v>163</v>
      </c>
      <c r="C49" s="648">
        <f>C47/J17</f>
        <v>35512.000906740308</v>
      </c>
      <c r="D49" s="646"/>
      <c r="E49" s="646"/>
      <c r="F49" s="647"/>
      <c r="G49" s="57"/>
      <c r="H49" s="46"/>
      <c r="I49" s="46"/>
      <c r="J49" s="55"/>
      <c r="K49" s="55"/>
      <c r="L49" s="56"/>
      <c r="M49" s="58"/>
      <c r="N49" s="57"/>
      <c r="O49" s="46"/>
      <c r="P49" s="46"/>
      <c r="Q49" s="174">
        <f t="shared" ref="Q49:Q52" si="8">$J$26-$C$44-$C$10-$C$23*(1+R49)</f>
        <v>27045485.375876635</v>
      </c>
      <c r="R49" s="175">
        <v>0</v>
      </c>
    </row>
    <row r="50" spans="2:18" ht="18" customHeight="1">
      <c r="B50" s="46"/>
      <c r="C50" s="55"/>
      <c r="D50" s="56"/>
      <c r="E50" s="58"/>
      <c r="F50" s="57"/>
      <c r="G50" s="57"/>
      <c r="H50" s="46"/>
      <c r="I50" s="46"/>
      <c r="J50" s="55"/>
      <c r="K50" s="55"/>
      <c r="L50" s="56"/>
      <c r="M50" s="58"/>
      <c r="N50" s="57"/>
      <c r="O50" s="46"/>
      <c r="P50" s="46"/>
      <c r="Q50" s="174">
        <f t="shared" si="8"/>
        <v>15458150.37587662</v>
      </c>
      <c r="R50" s="176">
        <v>0.1</v>
      </c>
    </row>
    <row r="51" spans="2:18" ht="18" customHeight="1">
      <c r="G51" s="57"/>
      <c r="H51" s="46"/>
      <c r="I51" s="46"/>
      <c r="J51" s="55"/>
      <c r="K51" s="55"/>
      <c r="L51" s="56"/>
      <c r="M51" s="58"/>
      <c r="N51" s="57"/>
      <c r="O51" s="46"/>
      <c r="P51" s="46"/>
      <c r="Q51" s="174">
        <f t="shared" si="8"/>
        <v>-1922852.1241233647</v>
      </c>
      <c r="R51" s="177">
        <v>0.25</v>
      </c>
    </row>
    <row r="52" spans="2:18" ht="18" customHeight="1">
      <c r="F52" s="396"/>
      <c r="G52" s="57"/>
      <c r="H52" s="46"/>
      <c r="I52" s="46"/>
      <c r="J52" s="55"/>
      <c r="K52" s="55"/>
      <c r="L52" s="56"/>
      <c r="M52" s="58"/>
      <c r="N52" s="57"/>
      <c r="O52" s="46"/>
      <c r="P52" s="46"/>
      <c r="Q52" s="178">
        <f t="shared" si="8"/>
        <v>-7.1999996900558472E-2</v>
      </c>
      <c r="R52" s="179">
        <f>(J26-C44-C10+N24)/C23-1</f>
        <v>0.23340557123684302</v>
      </c>
    </row>
    <row r="53" spans="2:18" ht="18" customHeight="1">
      <c r="G53" s="57"/>
      <c r="H53" s="46"/>
      <c r="I53" s="46"/>
      <c r="J53" s="55"/>
      <c r="K53" s="55"/>
      <c r="L53" s="56"/>
      <c r="M53" s="58"/>
      <c r="N53" s="57"/>
      <c r="O53" s="46"/>
      <c r="P53" s="46"/>
      <c r="Q53" s="46"/>
      <c r="R53" s="46"/>
    </row>
    <row r="54" spans="2:18" ht="18" customHeight="1">
      <c r="G54" s="57"/>
      <c r="H54" s="46"/>
      <c r="I54" s="46"/>
      <c r="J54" s="55"/>
      <c r="K54" s="55"/>
      <c r="L54" s="56"/>
      <c r="M54" s="58"/>
      <c r="N54" s="57"/>
      <c r="O54" s="46"/>
      <c r="P54" s="46"/>
      <c r="Q54" s="46"/>
      <c r="R54" s="46"/>
    </row>
    <row r="55" spans="2:18" ht="18" customHeight="1">
      <c r="G55" s="57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</row>
    <row r="56" spans="2:18" ht="18" customHeight="1">
      <c r="B56" s="46"/>
      <c r="C56" s="55"/>
      <c r="D56" s="56"/>
      <c r="E56" s="58"/>
      <c r="F56" s="57"/>
      <c r="G56" s="57"/>
      <c r="H56" s="46"/>
      <c r="I56" s="46"/>
      <c r="J56" s="46"/>
      <c r="K56" s="46"/>
      <c r="L56" s="46"/>
      <c r="M56" s="46"/>
      <c r="N56" s="46"/>
      <c r="O56" s="46"/>
      <c r="P56" s="46"/>
      <c r="Q56" s="661" t="s">
        <v>531</v>
      </c>
      <c r="R56" s="647"/>
    </row>
    <row r="57" spans="2:18" ht="18" customHeight="1">
      <c r="B57" s="46"/>
      <c r="C57" s="55"/>
      <c r="D57" s="56"/>
      <c r="E57" s="58"/>
      <c r="F57" s="57"/>
      <c r="G57" s="57"/>
      <c r="H57" s="46"/>
      <c r="I57" s="46"/>
      <c r="J57" s="46"/>
      <c r="K57" s="46"/>
      <c r="L57" s="46"/>
      <c r="M57" s="46"/>
      <c r="N57" s="46"/>
      <c r="O57" s="46"/>
      <c r="P57" s="46"/>
      <c r="Q57" s="171" t="s">
        <v>522</v>
      </c>
      <c r="R57" s="172" t="s">
        <v>532</v>
      </c>
    </row>
    <row r="58" spans="2:18" ht="18" customHeight="1">
      <c r="B58" s="46"/>
      <c r="C58" s="55"/>
      <c r="D58" s="56"/>
      <c r="E58" s="58"/>
      <c r="F58" s="57"/>
      <c r="G58" s="57"/>
      <c r="H58" s="46"/>
      <c r="I58" s="46"/>
      <c r="J58" s="46"/>
      <c r="K58" s="46"/>
      <c r="L58" s="46"/>
      <c r="M58" s="46"/>
      <c r="N58" s="46"/>
      <c r="O58" s="46"/>
      <c r="P58" s="46"/>
      <c r="Q58" s="174">
        <f t="shared" ref="Q58:Q61" si="9">$J$26+-$C$10-$C$23-SUM($F$28:$F$38)-(($C$10*$E$39)*$C$39/12)*(SUM($R$7:$R$13)+R58)-(($C$23*$E$40+SUM($F$28:$F$38)*$E$40)*$C$40/12)*(SUM($R$14:$R$16)+R58)-(($C$10*$E$42)*$C$42/12)*(SUM($R$14:$R$16)+R58)</f>
        <v>27045485.375876643</v>
      </c>
      <c r="R58" s="183">
        <v>0</v>
      </c>
    </row>
    <row r="59" spans="2:18" ht="18" customHeight="1">
      <c r="B59" s="46"/>
      <c r="C59" s="55"/>
      <c r="D59" s="56"/>
      <c r="E59" s="58"/>
      <c r="F59" s="57"/>
      <c r="G59" s="57"/>
      <c r="H59" s="46"/>
      <c r="I59" s="46"/>
      <c r="J59" s="46"/>
      <c r="K59" s="46"/>
      <c r="L59" s="46"/>
      <c r="M59" s="46"/>
      <c r="N59" s="46"/>
      <c r="O59" s="46"/>
      <c r="P59" s="46"/>
      <c r="Q59" s="174">
        <f t="shared" si="9"/>
        <v>22760324.921814974</v>
      </c>
      <c r="R59" s="183">
        <v>6</v>
      </c>
    </row>
    <row r="60" spans="2:18" ht="18" customHeight="1">
      <c r="B60" s="46"/>
      <c r="C60" s="55"/>
      <c r="D60" s="56"/>
      <c r="E60" s="58"/>
      <c r="F60" s="57"/>
      <c r="G60" s="57"/>
      <c r="H60" s="46"/>
      <c r="I60" s="46"/>
      <c r="J60" s="46"/>
      <c r="K60" s="46"/>
      <c r="L60" s="46"/>
      <c r="M60" s="46"/>
      <c r="N60" s="46"/>
      <c r="O60" s="46"/>
      <c r="P60" s="46"/>
      <c r="Q60" s="174">
        <f t="shared" si="9"/>
        <v>18475164.467753313</v>
      </c>
      <c r="R60" s="183">
        <v>12</v>
      </c>
    </row>
    <row r="61" spans="2:18" ht="18" customHeight="1">
      <c r="B61" s="46"/>
      <c r="C61" s="55"/>
      <c r="D61" s="56"/>
      <c r="E61" s="58"/>
      <c r="F61" s="57"/>
      <c r="G61" s="57"/>
      <c r="H61" s="46"/>
      <c r="I61" s="46"/>
      <c r="J61" s="46"/>
      <c r="K61" s="46"/>
      <c r="L61" s="46"/>
      <c r="M61" s="46"/>
      <c r="N61" s="46"/>
      <c r="O61" s="46"/>
      <c r="P61" s="46"/>
      <c r="Q61" s="178">
        <f t="shared" si="9"/>
        <v>9904843.5596299767</v>
      </c>
      <c r="R61" s="444">
        <v>24</v>
      </c>
    </row>
  </sheetData>
  <mergeCells count="23">
    <mergeCell ref="B1:N1"/>
    <mergeCell ref="B4:F4"/>
    <mergeCell ref="I4:N4"/>
    <mergeCell ref="Q4:R4"/>
    <mergeCell ref="B6:F6"/>
    <mergeCell ref="I6:N6"/>
    <mergeCell ref="Q6:R6"/>
    <mergeCell ref="C10:F10"/>
    <mergeCell ref="B13:F13"/>
    <mergeCell ref="J18:N18"/>
    <mergeCell ref="Q21:R21"/>
    <mergeCell ref="C23:F23"/>
    <mergeCell ref="B26:F26"/>
    <mergeCell ref="Q27:R27"/>
    <mergeCell ref="Q47:R47"/>
    <mergeCell ref="Q56:R56"/>
    <mergeCell ref="J26:N26"/>
    <mergeCell ref="M29:N30"/>
    <mergeCell ref="Q37:R37"/>
    <mergeCell ref="C44:F44"/>
    <mergeCell ref="C47:F47"/>
    <mergeCell ref="L47:N47"/>
    <mergeCell ref="C49:F49"/>
  </mergeCells>
  <conditionalFormatting sqref="I29 M29">
    <cfRule type="cellIs" dxfId="3" priority="1" operator="lessThan">
      <formula>0</formula>
    </cfRule>
  </conditionalFormatting>
  <conditionalFormatting sqref="I31:M33">
    <cfRule type="cellIs" dxfId="2" priority="2" operator="lessThan">
      <formula>0</formula>
    </cfRule>
  </conditionalFormatting>
  <conditionalFormatting sqref="R24:R25">
    <cfRule type="cellIs" dxfId="1" priority="3" operator="lessThan">
      <formula>0</formula>
    </cfRule>
  </conditionalFormatting>
  <conditionalFormatting sqref="R30:R31">
    <cfRule type="cellIs" dxfId="0" priority="4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O1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baseColWidth="10" defaultColWidth="12.6640625" defaultRowHeight="15" customHeight="1"/>
  <cols>
    <col min="1" max="1" width="25.33203125" customWidth="1"/>
    <col min="2" max="2" width="36.1640625" hidden="1" customWidth="1"/>
    <col min="3" max="3" width="10.5" customWidth="1"/>
    <col min="4" max="4" width="21.1640625" customWidth="1"/>
    <col min="5" max="5" width="44.1640625" customWidth="1"/>
    <col min="6" max="7" width="10" customWidth="1"/>
    <col min="8" max="8" width="36.1640625" customWidth="1"/>
    <col min="9" max="9" width="8.6640625" customWidth="1"/>
    <col min="10" max="10" width="9.6640625" customWidth="1"/>
    <col min="11" max="11" width="14.5" customWidth="1"/>
    <col min="12" max="12" width="6.6640625" customWidth="1"/>
    <col min="13" max="13" width="18.5" customWidth="1"/>
    <col min="14" max="15" width="37.1640625" customWidth="1"/>
    <col min="16" max="16" width="15.6640625" customWidth="1"/>
    <col min="17" max="17" width="14.6640625" customWidth="1"/>
    <col min="18" max="18" width="15.83203125" customWidth="1"/>
    <col min="19" max="19" width="13.6640625" customWidth="1"/>
    <col min="20" max="20" width="15.6640625" customWidth="1"/>
    <col min="21" max="21" width="17.5" customWidth="1"/>
    <col min="22" max="39" width="9.33203125" customWidth="1"/>
  </cols>
  <sheetData>
    <row r="1" spans="1:15" ht="15.75" customHeight="1">
      <c r="A1" s="19" t="s">
        <v>52</v>
      </c>
      <c r="B1" s="19" t="s">
        <v>53</v>
      </c>
      <c r="C1" s="19" t="s">
        <v>54</v>
      </c>
      <c r="D1" s="19" t="s">
        <v>55</v>
      </c>
      <c r="E1" s="19" t="s">
        <v>56</v>
      </c>
      <c r="F1" s="19" t="s">
        <v>57</v>
      </c>
      <c r="G1" s="19" t="s">
        <v>58</v>
      </c>
      <c r="H1" s="19" t="s">
        <v>59</v>
      </c>
      <c r="I1" s="19" t="s">
        <v>60</v>
      </c>
      <c r="J1" s="19" t="s">
        <v>61</v>
      </c>
      <c r="K1" s="19" t="s">
        <v>62</v>
      </c>
      <c r="L1" s="19" t="s">
        <v>63</v>
      </c>
      <c r="M1" s="19" t="s">
        <v>64</v>
      </c>
      <c r="N1" s="19" t="s">
        <v>65</v>
      </c>
      <c r="O1" s="19" t="s">
        <v>65</v>
      </c>
    </row>
    <row r="2" spans="1:15" ht="17">
      <c r="A2" s="20" t="s">
        <v>66</v>
      </c>
      <c r="B2" s="21" t="str">
        <f>TEXT(G2,"mm.yyyy")</f>
        <v>01.yyyy</v>
      </c>
      <c r="C2" s="22" t="s">
        <v>67</v>
      </c>
      <c r="D2" s="23">
        <v>0.05</v>
      </c>
      <c r="E2" s="24" t="s">
        <v>68</v>
      </c>
      <c r="F2" s="25"/>
      <c r="G2" s="25"/>
      <c r="H2" s="26"/>
      <c r="I2" s="26" t="b">
        <v>0</v>
      </c>
      <c r="J2" s="477"/>
      <c r="K2" s="477"/>
      <c r="L2" s="26"/>
      <c r="M2" s="26"/>
      <c r="N2" s="26"/>
      <c r="O2" s="26"/>
    </row>
    <row r="3" spans="1:15" ht="16">
      <c r="A3" s="20"/>
      <c r="B3" s="21"/>
      <c r="C3" s="22"/>
      <c r="D3" s="23"/>
      <c r="E3" s="24"/>
      <c r="F3" s="25"/>
      <c r="G3" s="25"/>
      <c r="H3" s="26"/>
      <c r="I3" s="26" t="b">
        <v>0</v>
      </c>
      <c r="J3" s="477"/>
      <c r="K3" s="477"/>
      <c r="L3" s="26"/>
      <c r="M3" s="26"/>
      <c r="N3" s="26"/>
      <c r="O3" s="26"/>
    </row>
    <row r="4" spans="1:15" ht="17">
      <c r="A4" s="20" t="s">
        <v>69</v>
      </c>
      <c r="B4" s="21" t="str">
        <f t="shared" ref="B4:B10" si="0">TEXT(G4,"mm.yyyy")</f>
        <v>01.yyyy</v>
      </c>
      <c r="C4" s="22" t="s">
        <v>70</v>
      </c>
      <c r="D4" s="23">
        <v>0.3</v>
      </c>
      <c r="E4" s="24"/>
      <c r="F4" s="25">
        <f>G2</f>
        <v>0</v>
      </c>
      <c r="G4" s="25"/>
      <c r="H4" s="26"/>
      <c r="I4" s="26" t="b">
        <v>0</v>
      </c>
      <c r="J4" s="477"/>
      <c r="K4" s="477"/>
      <c r="L4" s="26"/>
      <c r="M4" s="26"/>
      <c r="N4" s="26"/>
      <c r="O4" s="26"/>
    </row>
    <row r="5" spans="1:15" ht="16">
      <c r="A5" s="28" t="s">
        <v>71</v>
      </c>
      <c r="B5" s="21" t="str">
        <f t="shared" si="0"/>
        <v>01.yyyy</v>
      </c>
      <c r="C5" s="22" t="s">
        <v>67</v>
      </c>
      <c r="D5" s="23">
        <v>0.3</v>
      </c>
      <c r="E5" s="24"/>
      <c r="F5" s="29">
        <f t="shared" ref="F5:F6" si="1">G4</f>
        <v>0</v>
      </c>
      <c r="G5" s="25"/>
      <c r="H5" s="26"/>
      <c r="I5" s="26" t="b">
        <v>0</v>
      </c>
      <c r="J5" s="477"/>
      <c r="K5" s="477"/>
      <c r="L5" s="26"/>
      <c r="M5" s="26"/>
      <c r="N5" s="26"/>
      <c r="O5" s="26"/>
    </row>
    <row r="6" spans="1:15" ht="15.75" customHeight="1">
      <c r="A6" s="28" t="s">
        <v>72</v>
      </c>
      <c r="B6" s="21" t="str">
        <f t="shared" si="0"/>
        <v>01.yyyy</v>
      </c>
      <c r="C6" s="22" t="s">
        <v>73</v>
      </c>
      <c r="D6" s="23">
        <v>0.35</v>
      </c>
      <c r="E6" s="24"/>
      <c r="F6" s="25">
        <f t="shared" si="1"/>
        <v>0</v>
      </c>
      <c r="G6" s="29"/>
      <c r="H6" s="26"/>
      <c r="I6" s="26" t="b">
        <v>0</v>
      </c>
      <c r="J6" s="477"/>
      <c r="K6" s="477"/>
      <c r="L6" s="26"/>
      <c r="M6" s="26"/>
      <c r="N6" s="26"/>
      <c r="O6" s="26"/>
    </row>
    <row r="7" spans="1:15" ht="15.75" customHeight="1">
      <c r="A7" s="28" t="s">
        <v>74</v>
      </c>
      <c r="B7" s="21" t="str">
        <f t="shared" si="0"/>
        <v>01.yyyy</v>
      </c>
      <c r="C7" s="22"/>
      <c r="D7" s="22"/>
      <c r="E7" s="24"/>
      <c r="F7" s="26"/>
      <c r="G7" s="26"/>
      <c r="H7" s="26"/>
      <c r="I7" s="26" t="b">
        <v>0</v>
      </c>
      <c r="J7" s="477"/>
      <c r="K7" s="477"/>
      <c r="L7" s="26"/>
      <c r="M7" s="26"/>
      <c r="N7" s="26"/>
      <c r="O7" s="26"/>
    </row>
    <row r="8" spans="1:15" ht="15.75" customHeight="1">
      <c r="A8" s="28" t="s">
        <v>75</v>
      </c>
      <c r="B8" s="21" t="str">
        <f t="shared" si="0"/>
        <v>01.yyyy</v>
      </c>
      <c r="C8" s="22"/>
      <c r="D8" s="22"/>
      <c r="E8" s="24"/>
      <c r="F8" s="29"/>
      <c r="G8" s="29"/>
      <c r="H8" s="26"/>
      <c r="I8" s="26" t="b">
        <v>0</v>
      </c>
      <c r="J8" s="477"/>
      <c r="K8" s="477"/>
      <c r="L8" s="26"/>
      <c r="M8" s="30"/>
      <c r="N8" s="26"/>
      <c r="O8" s="26"/>
    </row>
    <row r="9" spans="1:15" ht="15.75" customHeight="1">
      <c r="A9" s="28" t="s">
        <v>76</v>
      </c>
      <c r="B9" s="21" t="str">
        <f t="shared" si="0"/>
        <v>01.yyyy</v>
      </c>
      <c r="C9" s="22"/>
      <c r="D9" s="22"/>
      <c r="E9" s="24"/>
      <c r="F9" s="29"/>
      <c r="G9" s="29"/>
      <c r="H9" s="26"/>
      <c r="I9" s="26" t="b">
        <v>0</v>
      </c>
      <c r="J9" s="477"/>
      <c r="K9" s="477"/>
      <c r="L9" s="26"/>
      <c r="M9" s="30"/>
      <c r="N9" s="26"/>
      <c r="O9" s="26"/>
    </row>
    <row r="10" spans="1:15" ht="15.75" customHeight="1">
      <c r="A10" s="28" t="s">
        <v>77</v>
      </c>
      <c r="B10" s="21" t="str">
        <f t="shared" si="0"/>
        <v>01.yyyy</v>
      </c>
      <c r="C10" s="22"/>
      <c r="D10" s="22"/>
      <c r="E10" s="24"/>
      <c r="F10" s="29"/>
      <c r="G10" s="29"/>
      <c r="H10" s="26"/>
      <c r="I10" s="26" t="b">
        <v>0</v>
      </c>
      <c r="J10" s="477"/>
      <c r="K10" s="477"/>
      <c r="L10" s="26"/>
      <c r="M10" s="30"/>
      <c r="N10" s="26"/>
      <c r="O10" s="26"/>
    </row>
  </sheetData>
  <conditionalFormatting sqref="B2:B10 H2:I10">
    <cfRule type="cellIs" dxfId="15" priority="1" operator="equal">
      <formula>"TRUE"</formula>
    </cfRule>
  </conditionalFormatting>
  <dataValidations count="1">
    <dataValidation type="custom" allowBlank="1" showDropDown="1" showErrorMessage="1" sqref="F2:G10" xr:uid="{00000000-0002-0000-0100-000000000000}">
      <formula1>OR(NOT(ISERROR(DATEVALUE(F2))), AND(ISNUMBER(F2), LEFT(CELL("format", F2))="D"))</formula1>
    </dataValidation>
  </dataValidations>
  <pageMargins left="0.7" right="0.7" top="0.78740157499999996" bottom="0.78740157499999996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H10"/>
  <sheetViews>
    <sheetView workbookViewId="0"/>
  </sheetViews>
  <sheetFormatPr baseColWidth="10" defaultColWidth="12.6640625" defaultRowHeight="15" customHeight="1"/>
  <cols>
    <col min="1" max="1" width="14.6640625" customWidth="1"/>
    <col min="2" max="2" width="23.6640625" customWidth="1"/>
    <col min="3" max="3" width="26.5" customWidth="1"/>
    <col min="4" max="4" width="12" customWidth="1"/>
    <col min="5" max="5" width="10" customWidth="1"/>
    <col min="6" max="7" width="16.33203125" customWidth="1"/>
  </cols>
  <sheetData>
    <row r="1" spans="1:8" ht="16">
      <c r="A1" s="32" t="s">
        <v>78</v>
      </c>
      <c r="B1" s="33" t="str">
        <f>HMG!E2</f>
        <v>Úkol (test)</v>
      </c>
      <c r="C1" s="34" t="s">
        <v>79</v>
      </c>
      <c r="D1" s="35">
        <f ca="1">SUM(G3:G10)</f>
        <v>0</v>
      </c>
      <c r="E1" s="34" t="s">
        <v>80</v>
      </c>
      <c r="F1" s="36"/>
      <c r="G1" s="37">
        <f ca="1">TODAY()</f>
        <v>46149</v>
      </c>
      <c r="H1" s="38" t="str">
        <f ca="1">IFERROR(__xludf.UNSUPPORTED(IMPORTRANGE("", ""))," #N/A")</f>
        <v xml:space="preserve"> #N/A</v>
      </c>
    </row>
    <row r="2" spans="1:8" ht="16">
      <c r="A2" s="39" t="s">
        <v>54</v>
      </c>
      <c r="B2" s="478" t="s">
        <v>81</v>
      </c>
      <c r="C2" s="478" t="s">
        <v>82</v>
      </c>
      <c r="D2" s="478" t="str">
        <f>HMG!E1</f>
        <v>Úkol</v>
      </c>
      <c r="E2" s="478" t="s">
        <v>58</v>
      </c>
      <c r="F2" s="478" t="s">
        <v>83</v>
      </c>
      <c r="G2" s="478" t="s">
        <v>83</v>
      </c>
      <c r="H2" s="31"/>
    </row>
    <row r="3" spans="1:8" ht="16">
      <c r="A3" s="28" t="str">
        <f>HMG!C2</f>
        <v>zapis KS</v>
      </c>
      <c r="B3" s="479">
        <f>HMG!D2</f>
        <v>0.05</v>
      </c>
      <c r="C3" s="480" t="e">
        <f t="shared" ref="C3:C9" ca="1" si="0">IF(B3&gt;0,($H$1*B3),"")</f>
        <v>#VALUE!</v>
      </c>
      <c r="D3" s="481" t="str">
        <f>HMG!E2</f>
        <v>Úkol (test)</v>
      </c>
      <c r="E3" s="481">
        <f>HMG!F2</f>
        <v>0</v>
      </c>
      <c r="F3" s="480" t="str">
        <f t="shared" ref="F3:F10" ca="1" si="1">IFERROR(C3/(E3-$B$1),"")</f>
        <v/>
      </c>
      <c r="G3" s="480" t="b">
        <f ca="1">(IF(D3&lt;$G$1,( IF(E3&lt;$G$1,F3*($G$1-$B$1)))))</f>
        <v>0</v>
      </c>
      <c r="H3" s="40"/>
    </row>
    <row r="4" spans="1:8" ht="16">
      <c r="A4" s="28">
        <f>HMG!C3</f>
        <v>0</v>
      </c>
      <c r="B4" s="479">
        <f>HMG!D3</f>
        <v>0</v>
      </c>
      <c r="C4" s="480" t="str">
        <f t="shared" si="0"/>
        <v/>
      </c>
      <c r="D4" s="481">
        <f>HMG!E3</f>
        <v>0</v>
      </c>
      <c r="E4" s="481">
        <f>HMG!F3</f>
        <v>0</v>
      </c>
      <c r="F4" s="480" t="str">
        <f t="shared" si="1"/>
        <v/>
      </c>
      <c r="G4" s="480" t="s">
        <v>84</v>
      </c>
      <c r="H4" s="31"/>
    </row>
    <row r="5" spans="1:8" ht="16">
      <c r="A5" s="28" t="str">
        <f>HMG!C4</f>
        <v>Nabýti SP</v>
      </c>
      <c r="B5" s="479">
        <f>HMG!D4</f>
        <v>0.3</v>
      </c>
      <c r="C5" s="480" t="e">
        <f t="shared" ca="1" si="0"/>
        <v>#VALUE!</v>
      </c>
      <c r="D5" s="481">
        <f>HMG!E4</f>
        <v>0</v>
      </c>
      <c r="E5" s="481">
        <f>HMG!F4</f>
        <v>0</v>
      </c>
      <c r="F5" s="480" t="str">
        <f t="shared" ca="1" si="1"/>
        <v/>
      </c>
      <c r="G5" s="480" t="s">
        <v>84</v>
      </c>
      <c r="H5" s="31"/>
    </row>
    <row r="6" spans="1:8" ht="16">
      <c r="A6" s="28" t="str">
        <f>HMG!C5</f>
        <v>zapis KS</v>
      </c>
      <c r="B6" s="479">
        <f>HMG!D5</f>
        <v>0.3</v>
      </c>
      <c r="C6" s="480" t="e">
        <f t="shared" ca="1" si="0"/>
        <v>#VALUE!</v>
      </c>
      <c r="D6" s="481">
        <f>HMG!E5</f>
        <v>0</v>
      </c>
      <c r="E6" s="481">
        <f>HMG!F5</f>
        <v>0</v>
      </c>
      <c r="F6" s="480" t="str">
        <f t="shared" ca="1" si="1"/>
        <v/>
      </c>
      <c r="G6" s="480" t="s">
        <v>84</v>
      </c>
      <c r="H6" s="31"/>
    </row>
    <row r="7" spans="1:8" ht="16">
      <c r="A7" s="28" t="str">
        <f>HMG!C6</f>
        <v>Najem</v>
      </c>
      <c r="B7" s="479">
        <f>HMG!D6</f>
        <v>0.35</v>
      </c>
      <c r="C7" s="480" t="e">
        <f t="shared" ca="1" si="0"/>
        <v>#VALUE!</v>
      </c>
      <c r="D7" s="481">
        <f>HMG!E6</f>
        <v>0</v>
      </c>
      <c r="E7" s="481">
        <f>HMG!F6</f>
        <v>0</v>
      </c>
      <c r="F7" s="480" t="str">
        <f t="shared" ca="1" si="1"/>
        <v/>
      </c>
      <c r="G7" s="480" t="s">
        <v>84</v>
      </c>
      <c r="H7" s="31"/>
    </row>
    <row r="8" spans="1:8" ht="16">
      <c r="A8" s="41">
        <f>HMG!C7</f>
        <v>0</v>
      </c>
      <c r="B8" s="479">
        <f>HMG!D7</f>
        <v>0</v>
      </c>
      <c r="C8" s="480" t="str">
        <f t="shared" si="0"/>
        <v/>
      </c>
      <c r="D8" s="481">
        <f>HMG!E7</f>
        <v>0</v>
      </c>
      <c r="E8" s="481">
        <f>HMG!F7</f>
        <v>0</v>
      </c>
      <c r="F8" s="480" t="str">
        <f t="shared" si="1"/>
        <v/>
      </c>
      <c r="G8" s="480" t="s">
        <v>84</v>
      </c>
      <c r="H8" s="31"/>
    </row>
    <row r="9" spans="1:8" ht="16">
      <c r="A9" s="41">
        <f>HMG!C8</f>
        <v>0</v>
      </c>
      <c r="B9" s="479">
        <f>HMG!D8</f>
        <v>0</v>
      </c>
      <c r="C9" s="480" t="str">
        <f t="shared" si="0"/>
        <v/>
      </c>
      <c r="D9" s="481">
        <f>HMG!E8</f>
        <v>0</v>
      </c>
      <c r="E9" s="481">
        <f>HMG!F8</f>
        <v>0</v>
      </c>
      <c r="F9" s="480" t="str">
        <f t="shared" si="1"/>
        <v/>
      </c>
      <c r="G9" s="480" t="s">
        <v>84</v>
      </c>
      <c r="H9" s="31"/>
    </row>
    <row r="10" spans="1:8" ht="15" customHeight="1">
      <c r="A10" s="22">
        <f>HMG!C9</f>
        <v>0</v>
      </c>
      <c r="B10" s="23">
        <f>HMG!D9</f>
        <v>0</v>
      </c>
      <c r="C10" s="42" t="str">
        <f>IF(B10&gt;0,(Businessplan_prodej!$M$37*B10),"")</f>
        <v/>
      </c>
      <c r="D10" s="43">
        <f>HMG!F9</f>
        <v>0</v>
      </c>
      <c r="E10" s="25">
        <f>HMG!G9</f>
        <v>0</v>
      </c>
      <c r="F10" s="44" t="str">
        <f t="shared" si="1"/>
        <v/>
      </c>
      <c r="G10" s="44" t="s">
        <v>84</v>
      </c>
    </row>
  </sheetData>
  <autoFilter ref="A2:G10" xr:uid="{00000000-0009-0000-0000-000002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showGridLines="0" workbookViewId="0"/>
  </sheetViews>
  <sheetFormatPr baseColWidth="10" defaultColWidth="11" defaultRowHeight="14"/>
  <sheetData/>
  <sheetProtection sheet="1" objects="1" selectLockedCells="1" selectUnlockedCells="1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92"/>
  <sheetViews>
    <sheetView topLeftCell="C23" zoomScale="173" workbookViewId="0">
      <selection activeCell="N18" sqref="N18"/>
    </sheetView>
  </sheetViews>
  <sheetFormatPr baseColWidth="10" defaultColWidth="12.6640625" defaultRowHeight="15" customHeight="1"/>
  <cols>
    <col min="1" max="1" width="4.33203125" customWidth="1"/>
    <col min="2" max="2" width="48.5" customWidth="1"/>
    <col min="3" max="3" width="8" customWidth="1"/>
    <col min="4" max="4" width="14.1640625" customWidth="1"/>
    <col min="5" max="5" width="16.6640625" customWidth="1"/>
    <col min="6" max="6" width="22.6640625" customWidth="1"/>
    <col min="7" max="7" width="4.5" customWidth="1"/>
    <col min="8" max="8" width="9.1640625" customWidth="1"/>
    <col min="9" max="9" width="36.1640625" customWidth="1"/>
    <col min="10" max="10" width="8.6640625" customWidth="1"/>
    <col min="11" max="11" width="14.5" customWidth="1"/>
    <col min="12" max="12" width="9.6640625" customWidth="1"/>
    <col min="13" max="13" width="12.83203125" customWidth="1"/>
    <col min="14" max="14" width="20.1640625" customWidth="1"/>
    <col min="15" max="16" width="4.33203125" customWidth="1"/>
    <col min="17" max="17" width="40.83203125" customWidth="1"/>
    <col min="18" max="18" width="77" customWidth="1"/>
    <col min="19" max="19" width="7" customWidth="1"/>
    <col min="20" max="20" width="40.6640625" customWidth="1"/>
    <col min="21" max="21" width="20.6640625" customWidth="1"/>
    <col min="22" max="28" width="7" customWidth="1"/>
  </cols>
  <sheetData>
    <row r="1" spans="1:18" ht="30" customHeight="1">
      <c r="A1" s="45"/>
      <c r="B1" s="658" t="s">
        <v>85</v>
      </c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46"/>
      <c r="P1" s="46"/>
      <c r="Q1" s="46"/>
      <c r="R1" s="46"/>
    </row>
    <row r="2" spans="1:18" ht="18" customHeight="1">
      <c r="A2" s="47"/>
      <c r="B2" s="48"/>
      <c r="C2" s="49"/>
      <c r="D2" s="50"/>
      <c r="E2" s="51"/>
      <c r="F2" s="52"/>
      <c r="G2" s="52"/>
      <c r="H2" s="53"/>
      <c r="I2" s="53"/>
      <c r="J2" s="49"/>
      <c r="K2" s="49"/>
      <c r="L2" s="50"/>
      <c r="M2" s="51"/>
      <c r="N2" s="54"/>
      <c r="O2" s="53"/>
      <c r="P2" s="53"/>
      <c r="Q2" s="53"/>
      <c r="R2" s="53"/>
    </row>
    <row r="3" spans="1:18" ht="18" customHeight="1">
      <c r="A3" s="47"/>
      <c r="B3" s="46"/>
      <c r="C3" s="55"/>
      <c r="D3" s="56"/>
      <c r="G3" s="57"/>
      <c r="H3" s="46"/>
      <c r="I3" s="46"/>
      <c r="J3" s="55"/>
      <c r="K3" s="55"/>
      <c r="L3" s="56"/>
      <c r="M3" s="58"/>
      <c r="N3" s="57"/>
      <c r="O3" s="46"/>
      <c r="P3" s="46"/>
      <c r="Q3" s="46"/>
      <c r="R3" s="46"/>
    </row>
    <row r="4" spans="1:18" ht="30" customHeight="1">
      <c r="A4" s="47"/>
      <c r="B4" s="659" t="s">
        <v>86</v>
      </c>
      <c r="C4" s="646"/>
      <c r="D4" s="646"/>
      <c r="E4" s="646"/>
      <c r="F4" s="647"/>
      <c r="G4" s="59"/>
      <c r="H4" s="46"/>
      <c r="I4" s="660" t="s">
        <v>87</v>
      </c>
      <c r="J4" s="646"/>
      <c r="K4" s="646"/>
      <c r="L4" s="646"/>
      <c r="M4" s="646"/>
      <c r="N4" s="647"/>
      <c r="O4" s="46"/>
      <c r="P4" s="46"/>
      <c r="Q4" s="660" t="s">
        <v>88</v>
      </c>
      <c r="R4" s="647"/>
    </row>
    <row r="5" spans="1:18" ht="18" customHeight="1">
      <c r="A5" s="47"/>
      <c r="B5" s="46"/>
      <c r="C5" s="55"/>
      <c r="D5" s="56"/>
      <c r="E5" s="55"/>
      <c r="F5" s="55"/>
      <c r="G5" s="60"/>
      <c r="H5" s="46"/>
      <c r="I5" s="46"/>
      <c r="J5" s="55"/>
      <c r="K5" s="55"/>
      <c r="L5" s="56"/>
      <c r="M5" s="58"/>
      <c r="N5" s="57"/>
      <c r="O5" s="46"/>
      <c r="P5" s="46"/>
    </row>
    <row r="6" spans="1:18" ht="18" customHeight="1">
      <c r="A6" s="47" t="s">
        <v>89</v>
      </c>
      <c r="B6" s="661" t="s">
        <v>90</v>
      </c>
      <c r="C6" s="646"/>
      <c r="D6" s="646"/>
      <c r="E6" s="646"/>
      <c r="F6" s="647"/>
      <c r="G6" s="61"/>
      <c r="H6" s="46"/>
      <c r="I6" s="662" t="s">
        <v>87</v>
      </c>
      <c r="J6" s="646"/>
      <c r="K6" s="646"/>
      <c r="L6" s="646"/>
      <c r="M6" s="646"/>
      <c r="N6" s="647"/>
      <c r="O6" s="46"/>
      <c r="P6" s="46"/>
      <c r="Q6" s="662" t="s">
        <v>91</v>
      </c>
      <c r="R6" s="647"/>
    </row>
    <row r="7" spans="1:18" ht="18" customHeight="1">
      <c r="A7" s="47"/>
      <c r="B7" s="62"/>
      <c r="C7" s="63" t="s">
        <v>92</v>
      </c>
      <c r="D7" s="63" t="s">
        <v>93</v>
      </c>
      <c r="E7" s="64" t="s">
        <v>94</v>
      </c>
      <c r="F7" s="65"/>
      <c r="G7" s="60"/>
      <c r="H7" s="46"/>
      <c r="I7" s="66"/>
      <c r="J7" s="64" t="s">
        <v>95</v>
      </c>
      <c r="K7" s="64" t="s">
        <v>96</v>
      </c>
      <c r="L7" s="64" t="s">
        <v>97</v>
      </c>
      <c r="M7" s="64" t="s">
        <v>98</v>
      </c>
      <c r="N7" s="67" t="s">
        <v>99</v>
      </c>
      <c r="O7" s="46"/>
      <c r="P7" s="46"/>
      <c r="Q7" s="68" t="s">
        <v>100</v>
      </c>
      <c r="R7" s="69">
        <v>0</v>
      </c>
    </row>
    <row r="8" spans="1:18" ht="18" customHeight="1">
      <c r="A8" s="47"/>
      <c r="B8" s="482" t="str">
        <f>'Cash-flow'!C19</f>
        <v>Nákup nemovitosti/pozemků</v>
      </c>
      <c r="C8" s="70" t="s">
        <v>101</v>
      </c>
      <c r="D8" s="70">
        <v>0</v>
      </c>
      <c r="E8" s="71"/>
      <c r="F8" s="72">
        <f>Shares!D7-F13</f>
        <v>36207457</v>
      </c>
      <c r="G8" s="73"/>
      <c r="H8" s="46"/>
      <c r="I8" s="74" t="str">
        <f>Rentroll!D2</f>
        <v>Billa</v>
      </c>
      <c r="J8" s="75">
        <f>Rentroll!F2</f>
        <v>1301.57</v>
      </c>
      <c r="K8" s="75" t="str">
        <f>Rentroll!E2</f>
        <v>shell and core</v>
      </c>
      <c r="L8" s="76">
        <f>Rentroll!I2</f>
        <v>262.25</v>
      </c>
      <c r="M8" s="76">
        <f>Rentroll!M2</f>
        <v>50</v>
      </c>
      <c r="N8" s="77">
        <f>Rentroll!K2+Rentroll!N2</f>
        <v>406415.23249999998</v>
      </c>
      <c r="O8" s="46"/>
      <c r="P8" s="46"/>
      <c r="Q8" s="78" t="s">
        <v>102</v>
      </c>
      <c r="R8" s="79">
        <v>0</v>
      </c>
    </row>
    <row r="9" spans="1:18" ht="18" customHeight="1">
      <c r="A9" s="47"/>
      <c r="B9" s="482" t="str">
        <f>'Cash-flow'!$C$20</f>
        <v>ZPF</v>
      </c>
      <c r="C9" s="70" t="s">
        <v>101</v>
      </c>
      <c r="D9" s="70">
        <f>D8</f>
        <v>0</v>
      </c>
      <c r="E9" s="80">
        <v>0</v>
      </c>
      <c r="F9" s="81">
        <v>1034399</v>
      </c>
      <c r="G9" s="82"/>
      <c r="H9" s="46"/>
      <c r="I9" s="74" t="str">
        <f>Rentroll!D3</f>
        <v>Benu</v>
      </c>
      <c r="J9" s="75">
        <f>Rentroll!F3</f>
        <v>133.91</v>
      </c>
      <c r="K9" s="75" t="str">
        <f>Rentroll!E3</f>
        <v>shell and core</v>
      </c>
      <c r="L9" s="76">
        <f>Rentroll!I3</f>
        <v>450</v>
      </c>
      <c r="M9" s="76">
        <f>Rentroll!M3</f>
        <v>38</v>
      </c>
      <c r="N9" s="77">
        <f>Rentroll!K3+Rentroll!N3</f>
        <v>68348.08</v>
      </c>
      <c r="O9" s="46"/>
      <c r="P9" s="46"/>
      <c r="Q9" s="74" t="s">
        <v>103</v>
      </c>
      <c r="R9" s="83">
        <v>0</v>
      </c>
    </row>
    <row r="10" spans="1:18" ht="18" customHeight="1">
      <c r="A10" s="47"/>
      <c r="B10" s="482" t="str">
        <f>'Cash-flow'!$C$21</f>
        <v>Předakviziční analýza</v>
      </c>
      <c r="C10" s="70" t="s">
        <v>101</v>
      </c>
      <c r="D10" s="70"/>
      <c r="E10" s="80"/>
      <c r="F10" s="81">
        <f>250000</f>
        <v>250000</v>
      </c>
      <c r="G10" s="82"/>
      <c r="H10" s="46"/>
      <c r="I10" s="74" t="str">
        <f>Rentroll!D4</f>
        <v>stavba rezerva</v>
      </c>
      <c r="J10" s="75">
        <f>Rentroll!F4</f>
        <v>386.79</v>
      </c>
      <c r="K10" s="75" t="str">
        <f>Rentroll!E4</f>
        <v>shell and core</v>
      </c>
      <c r="L10" s="76">
        <f>Rentroll!I4</f>
        <v>250</v>
      </c>
      <c r="M10" s="76">
        <f>Rentroll!M4</f>
        <v>37.5</v>
      </c>
      <c r="N10" s="77">
        <f>Rentroll!K4+Rentroll!N4</f>
        <v>111202.125</v>
      </c>
      <c r="O10" s="46"/>
      <c r="P10" s="46"/>
      <c r="Q10" s="84" t="s">
        <v>104</v>
      </c>
      <c r="R10" s="85">
        <v>0</v>
      </c>
    </row>
    <row r="11" spans="1:18" ht="18" customHeight="1">
      <c r="A11" s="47"/>
      <c r="B11" s="482" t="str">
        <f>'Cash-flow'!$C$22</f>
        <v>Provize za nákup (INT)</v>
      </c>
      <c r="C11" s="70" t="s">
        <v>105</v>
      </c>
      <c r="D11" s="86"/>
      <c r="E11" s="80"/>
      <c r="F11" s="81">
        <v>1500000</v>
      </c>
      <c r="G11" s="82"/>
      <c r="H11" s="46"/>
      <c r="I11" s="74" t="str">
        <f>Rentroll!D5</f>
        <v>Teta</v>
      </c>
      <c r="J11" s="75">
        <f>Rentroll!F5</f>
        <v>248.07</v>
      </c>
      <c r="K11" s="75" t="str">
        <f>Rentroll!E5</f>
        <v>full fit-out</v>
      </c>
      <c r="L11" s="76">
        <f>Rentroll!I5</f>
        <v>332.5</v>
      </c>
      <c r="M11" s="76">
        <f>Rentroll!M5</f>
        <v>40</v>
      </c>
      <c r="N11" s="77">
        <f>Rentroll!K5+Rentroll!N5</f>
        <v>93406.074999999997</v>
      </c>
      <c r="O11" s="46"/>
      <c r="P11" s="46"/>
      <c r="Q11" s="74" t="s">
        <v>106</v>
      </c>
      <c r="R11" s="83">
        <v>0</v>
      </c>
    </row>
    <row r="12" spans="1:18" ht="18" customHeight="1">
      <c r="B12" s="482" t="str">
        <f>'Cash-flow'!$C$23</f>
        <v>Provize za nákup (EXT)</v>
      </c>
      <c r="C12" s="70"/>
      <c r="D12" s="86"/>
      <c r="E12" s="472">
        <f>F12/F8</f>
        <v>2.9999980390779724E-2</v>
      </c>
      <c r="F12" s="81">
        <v>1086223</v>
      </c>
      <c r="G12" s="82"/>
      <c r="H12" s="46"/>
      <c r="I12" s="74" t="str">
        <f>Rentroll!D6</f>
        <v>Sinsay</v>
      </c>
      <c r="J12" s="75">
        <f>Rentroll!F6</f>
        <v>552.08000000000004</v>
      </c>
      <c r="K12" s="75" t="str">
        <f>Rentroll!E6</f>
        <v>shell and core</v>
      </c>
      <c r="L12" s="76">
        <f>Rentroll!I6</f>
        <v>225</v>
      </c>
      <c r="M12" s="76">
        <f>Rentroll!M6</f>
        <v>37.5</v>
      </c>
      <c r="N12" s="77">
        <f>Rentroll!K6+Rentroll!N6</f>
        <v>144921</v>
      </c>
      <c r="O12" s="46"/>
      <c r="P12" s="46"/>
      <c r="Q12" s="74" t="s">
        <v>107</v>
      </c>
      <c r="R12" s="83">
        <v>10</v>
      </c>
    </row>
    <row r="13" spans="1:18" ht="18" customHeight="1">
      <c r="B13" s="482" t="str">
        <f>'Cash-flow 6.2025'!C24</f>
        <v>Business-angel loan fee</v>
      </c>
      <c r="C13" s="70" t="s">
        <v>105</v>
      </c>
      <c r="D13" s="86"/>
      <c r="E13" s="87"/>
      <c r="F13" s="81">
        <v>1900000</v>
      </c>
      <c r="G13" s="88"/>
      <c r="H13" s="46"/>
      <c r="I13" s="74" t="str">
        <f>Rentroll!D7</f>
        <v>Pepco</v>
      </c>
      <c r="J13" s="75">
        <f>Rentroll!F7</f>
        <v>437.32</v>
      </c>
      <c r="K13" s="75" t="str">
        <f>Rentroll!E7</f>
        <v>full fit-out</v>
      </c>
      <c r="L13" s="76">
        <f>Rentroll!I7</f>
        <v>308.75</v>
      </c>
      <c r="M13" s="76">
        <f>Rentroll!M7</f>
        <v>45</v>
      </c>
      <c r="N13" s="77">
        <f>Rentroll!K7+Rentroll!N7</f>
        <v>154701.94999999998</v>
      </c>
      <c r="O13" s="46"/>
      <c r="P13" s="46"/>
      <c r="Q13" s="89" t="s">
        <v>108</v>
      </c>
      <c r="R13" s="90">
        <v>2</v>
      </c>
    </row>
    <row r="14" spans="1:18" ht="18" customHeight="1">
      <c r="B14" s="91" t="s">
        <v>109</v>
      </c>
      <c r="C14" s="649">
        <f>SUM(F8:F13)</f>
        <v>41978079</v>
      </c>
      <c r="D14" s="646"/>
      <c r="E14" s="646"/>
      <c r="F14" s="647"/>
      <c r="G14" s="92"/>
      <c r="H14" s="46"/>
      <c r="I14" s="74" t="str">
        <f>Rentroll!D8</f>
        <v>Don Pealo</v>
      </c>
      <c r="J14" s="75">
        <f>Rentroll!F8</f>
        <v>54.39</v>
      </c>
      <c r="K14" s="75" t="str">
        <f>Rentroll!E8</f>
        <v>shell and core</v>
      </c>
      <c r="L14" s="76">
        <f>Rentroll!I8</f>
        <v>1625</v>
      </c>
      <c r="M14" s="76">
        <f>Rentroll!M8</f>
        <v>55.157198014340871</v>
      </c>
      <c r="N14" s="77">
        <f>Rentroll!K8+Rentroll!N8</f>
        <v>95133.75</v>
      </c>
      <c r="O14" s="46"/>
      <c r="P14" s="46"/>
      <c r="Q14" s="93" t="s">
        <v>110</v>
      </c>
      <c r="R14" s="94">
        <f>SUM(R7:R13)</f>
        <v>12</v>
      </c>
    </row>
    <row r="15" spans="1:18" ht="18" customHeight="1">
      <c r="A15" s="47"/>
      <c r="B15" s="95" t="s">
        <v>111</v>
      </c>
      <c r="C15" s="3"/>
      <c r="D15" s="3"/>
      <c r="E15" s="3"/>
      <c r="F15" s="96">
        <f>C14/$J$19</f>
        <v>10624.456857365582</v>
      </c>
      <c r="G15" s="92"/>
      <c r="H15" s="46"/>
      <c r="I15" s="74" t="str">
        <f>Rentroll!D9</f>
        <v>Tedi</v>
      </c>
      <c r="J15" s="75">
        <f>Rentroll!F9</f>
        <v>833.95</v>
      </c>
      <c r="K15" s="75" t="str">
        <f>Rentroll!E9</f>
        <v>full fit-out</v>
      </c>
      <c r="L15" s="76">
        <f>Rentroll!I9</f>
        <v>200</v>
      </c>
      <c r="M15" s="76">
        <f>Rentroll!M9</f>
        <v>25</v>
      </c>
      <c r="N15" s="77">
        <f>Rentroll!K9+Rentroll!N9</f>
        <v>187638.75</v>
      </c>
      <c r="O15" s="46"/>
      <c r="P15" s="46"/>
      <c r="Q15" s="46"/>
      <c r="R15" s="46"/>
    </row>
    <row r="16" spans="1:18" ht="18" customHeight="1">
      <c r="A16" s="47" t="s">
        <v>112</v>
      </c>
      <c r="B16" s="3"/>
      <c r="C16" s="3"/>
      <c r="D16" s="56"/>
      <c r="E16" s="58"/>
      <c r="F16" s="57"/>
      <c r="G16" s="92"/>
      <c r="H16" s="46"/>
      <c r="I16" s="74" t="str">
        <f>Rentroll!D10</f>
        <v>Alza</v>
      </c>
      <c r="J16" s="75">
        <f>Rentroll!F10</f>
        <v>1</v>
      </c>
      <c r="K16" s="75" t="str">
        <f>Rentroll!E10</f>
        <v>pozemek</v>
      </c>
      <c r="L16" s="76">
        <f>Rentroll!I10</f>
        <v>5000</v>
      </c>
      <c r="M16" s="76">
        <f>Rentroll!M10</f>
        <v>0</v>
      </c>
      <c r="N16" s="77">
        <f>Rentroll!K10+Rentroll!N10</f>
        <v>5000</v>
      </c>
      <c r="O16" s="46"/>
      <c r="P16" s="46"/>
      <c r="Q16" s="46"/>
      <c r="R16" s="46"/>
    </row>
    <row r="17" spans="1:17" ht="18" customHeight="1">
      <c r="A17" s="47"/>
      <c r="B17" s="654" t="str">
        <f>'Cash-flow'!C24</f>
        <v>B. Architecture &amp; Engineering</v>
      </c>
      <c r="C17" s="646"/>
      <c r="D17" s="646"/>
      <c r="E17" s="646"/>
      <c r="F17" s="647"/>
      <c r="G17" s="92"/>
      <c r="H17" s="46"/>
      <c r="I17" s="74" t="str">
        <f>Rentroll!D11</f>
        <v>Z box</v>
      </c>
      <c r="J17" s="75">
        <f>Rentroll!F11</f>
        <v>1</v>
      </c>
      <c r="K17" s="75" t="str">
        <f>Rentroll!E11</f>
        <v>pozemek</v>
      </c>
      <c r="L17" s="76">
        <f>Rentroll!I11</f>
        <v>4666.666666666667</v>
      </c>
      <c r="M17" s="76">
        <f>Rentroll!M11</f>
        <v>0</v>
      </c>
      <c r="N17" s="77">
        <f>Rentroll!K11+Rentroll!N11</f>
        <v>4666.666666666667</v>
      </c>
      <c r="O17" s="46"/>
      <c r="P17" s="46"/>
      <c r="Q17" s="46"/>
    </row>
    <row r="18" spans="1:17" ht="18" customHeight="1">
      <c r="A18" s="47"/>
      <c r="B18" s="97"/>
      <c r="C18" s="98" t="s">
        <v>92</v>
      </c>
      <c r="D18" s="63" t="s">
        <v>113</v>
      </c>
      <c r="E18" s="98" t="s">
        <v>114</v>
      </c>
      <c r="F18" s="99"/>
      <c r="G18" s="92"/>
      <c r="H18" s="46"/>
      <c r="I18" s="74" t="str">
        <f>Rentroll!D12</f>
        <v>GLS</v>
      </c>
      <c r="J18" s="75">
        <f>Rentroll!F12</f>
        <v>1</v>
      </c>
      <c r="K18" s="75" t="str">
        <f>Rentroll!E12</f>
        <v>pozemek</v>
      </c>
      <c r="L18" s="76">
        <f>Rentroll!I12</f>
        <v>2500</v>
      </c>
      <c r="M18" s="76">
        <f>Rentroll!M12</f>
        <v>0</v>
      </c>
      <c r="N18" s="77">
        <f>Rentroll!K12+Rentroll!N12</f>
        <v>2500</v>
      </c>
      <c r="O18" s="46"/>
      <c r="P18" s="46"/>
      <c r="Q18" s="46"/>
    </row>
    <row r="19" spans="1:17" ht="18" customHeight="1">
      <c r="B19" s="101" t="str">
        <f>'Cash-flow'!C25</f>
        <v>Projekt , architekt</v>
      </c>
      <c r="C19" s="102">
        <v>1</v>
      </c>
      <c r="D19" s="103" t="s">
        <v>105</v>
      </c>
      <c r="E19" s="104">
        <f>SUM(E20:E21)</f>
        <v>0</v>
      </c>
      <c r="F19" s="105">
        <f>SUM(F20:F21)</f>
        <v>850000</v>
      </c>
      <c r="G19" s="106"/>
      <c r="H19" s="46"/>
      <c r="I19" s="107" t="s">
        <v>115</v>
      </c>
      <c r="J19" s="108">
        <f>SUM(J8:J18)</f>
        <v>3951.08</v>
      </c>
      <c r="K19" s="109" t="s">
        <v>116</v>
      </c>
      <c r="L19" s="110">
        <f t="shared" ref="L19:M19" si="0">SUM(L8:L18)</f>
        <v>15820.166666666668</v>
      </c>
      <c r="M19" s="111">
        <f t="shared" si="0"/>
        <v>328.15719801434085</v>
      </c>
      <c r="N19" s="112">
        <f>SUM(N8:N18)</f>
        <v>1273933.6291666667</v>
      </c>
      <c r="O19" s="46"/>
      <c r="P19" s="46"/>
      <c r="Q19" s="46"/>
    </row>
    <row r="20" spans="1:17" ht="18" customHeight="1">
      <c r="A20" s="47"/>
      <c r="B20" s="483" t="s">
        <v>117</v>
      </c>
      <c r="C20" s="102">
        <v>1</v>
      </c>
      <c r="D20" s="103" t="s">
        <v>105</v>
      </c>
      <c r="E20" s="484">
        <v>0</v>
      </c>
      <c r="F20" s="485">
        <f>(C40+C48)*E20</f>
        <v>0</v>
      </c>
      <c r="G20" s="73"/>
      <c r="H20" s="46"/>
      <c r="I20" s="113" t="s">
        <v>118</v>
      </c>
      <c r="J20" s="657">
        <f>SUM(N8:N18)*12</f>
        <v>15287203.550000001</v>
      </c>
      <c r="K20" s="646"/>
      <c r="L20" s="646"/>
      <c r="M20" s="646"/>
      <c r="N20" s="647"/>
      <c r="O20" s="46"/>
      <c r="P20" s="46"/>
      <c r="Q20" s="463">
        <f>J20/25</f>
        <v>611488.14199999999</v>
      </c>
    </row>
    <row r="21" spans="1:17" ht="18" customHeight="1">
      <c r="A21" s="47"/>
      <c r="B21" s="483" t="s">
        <v>119</v>
      </c>
      <c r="C21" s="102">
        <v>1</v>
      </c>
      <c r="D21" s="103" t="s">
        <v>105</v>
      </c>
      <c r="E21" s="486">
        <v>0</v>
      </c>
      <c r="F21" s="485">
        <v>850000</v>
      </c>
      <c r="G21" s="598"/>
      <c r="H21" s="46"/>
      <c r="I21" s="114" t="s">
        <v>120</v>
      </c>
      <c r="J21" s="115"/>
      <c r="K21" s="115" t="s">
        <v>121</v>
      </c>
      <c r="L21" s="116"/>
      <c r="M21" s="117"/>
      <c r="N21" s="118">
        <f>(J20-N23-N24)/(C90-J30+N27)</f>
        <v>8.2169587133173072E-2</v>
      </c>
      <c r="O21" s="46"/>
      <c r="P21" s="46"/>
      <c r="Q21" s="46"/>
    </row>
    <row r="22" spans="1:17" ht="18" customHeight="1">
      <c r="B22" s="119" t="str">
        <f>'Cash-flow'!C26</f>
        <v>Engineering</v>
      </c>
      <c r="C22" s="411">
        <v>1</v>
      </c>
      <c r="D22" s="487" t="s">
        <v>105</v>
      </c>
      <c r="E22" s="488">
        <v>2.5000000000000001E-3</v>
      </c>
      <c r="F22" s="406"/>
      <c r="G22" s="120"/>
      <c r="H22" s="46"/>
      <c r="I22" s="121" t="s">
        <v>122</v>
      </c>
      <c r="J22" s="115"/>
      <c r="K22" s="122"/>
      <c r="L22" s="122"/>
      <c r="M22" s="123">
        <v>6.5000000000000002E-2</v>
      </c>
      <c r="N22" s="124">
        <f>N21/M22</f>
        <v>1.2641474943565087</v>
      </c>
      <c r="O22" s="46"/>
      <c r="P22" s="46"/>
      <c r="Q22" s="46"/>
    </row>
    <row r="23" spans="1:17" ht="18" customHeight="1">
      <c r="B23" s="91" t="s">
        <v>109</v>
      </c>
      <c r="C23" s="649">
        <f>F19+F22</f>
        <v>850000</v>
      </c>
      <c r="D23" s="646"/>
      <c r="E23" s="646"/>
      <c r="F23" s="647"/>
      <c r="G23" s="120"/>
      <c r="H23" s="46"/>
      <c r="I23" s="100" t="s">
        <v>123</v>
      </c>
      <c r="J23" s="122"/>
      <c r="K23" s="122"/>
      <c r="L23" s="122"/>
      <c r="M23" s="126">
        <v>32</v>
      </c>
      <c r="N23" s="127">
        <f>J19*M23*12</f>
        <v>1517214.72</v>
      </c>
      <c r="O23" s="128"/>
      <c r="P23" s="46"/>
      <c r="Q23" s="463"/>
    </row>
    <row r="24" spans="1:17" ht="18" customHeight="1">
      <c r="A24" s="47"/>
      <c r="B24" s="95" t="s">
        <v>111</v>
      </c>
      <c r="C24" s="3"/>
      <c r="D24" s="3"/>
      <c r="E24" s="3"/>
      <c r="F24" s="96">
        <f>C23/$J$19</f>
        <v>215.13105277544369</v>
      </c>
      <c r="G24" s="120"/>
      <c r="H24" s="46"/>
      <c r="I24" s="130" t="s">
        <v>124</v>
      </c>
      <c r="J24" s="122"/>
      <c r="K24" s="122"/>
      <c r="L24" s="131"/>
      <c r="M24" s="132"/>
      <c r="N24" s="127">
        <f>73000</f>
        <v>73000</v>
      </c>
      <c r="O24" s="46"/>
      <c r="P24" s="46"/>
      <c r="Q24" s="46"/>
    </row>
    <row r="25" spans="1:17" ht="18" customHeight="1">
      <c r="G25" s="120"/>
      <c r="H25" s="46"/>
      <c r="I25" s="133" t="s">
        <v>125</v>
      </c>
      <c r="J25" s="134"/>
      <c r="K25" s="134"/>
      <c r="L25" s="135"/>
      <c r="M25" s="136"/>
      <c r="N25" s="137">
        <v>7.0000000000000007E-2</v>
      </c>
      <c r="O25" s="46"/>
      <c r="P25" s="46"/>
      <c r="Q25" s="46"/>
    </row>
    <row r="26" spans="1:17" ht="18" customHeight="1">
      <c r="A26" s="47" t="s">
        <v>126</v>
      </c>
      <c r="G26" s="120"/>
      <c r="H26" s="46"/>
      <c r="I26" s="138" t="s">
        <v>127</v>
      </c>
      <c r="J26" s="139"/>
      <c r="K26" s="139"/>
      <c r="L26" s="140"/>
      <c r="M26" s="141">
        <v>0</v>
      </c>
      <c r="N26" s="489">
        <f>-J31*M26</f>
        <v>0</v>
      </c>
      <c r="O26" s="46"/>
      <c r="P26" s="46"/>
      <c r="Q26" s="46"/>
    </row>
    <row r="27" spans="1:17" ht="18" customHeight="1">
      <c r="B27" s="654" t="str">
        <f>'Cash-flow'!C27</f>
        <v>C. Constructions costs</v>
      </c>
      <c r="C27" s="646"/>
      <c r="D27" s="646"/>
      <c r="E27" s="646"/>
      <c r="F27" s="647"/>
      <c r="G27" s="120"/>
      <c r="H27" s="46"/>
      <c r="I27" s="138" t="s">
        <v>128</v>
      </c>
      <c r="J27" s="139"/>
      <c r="K27" s="139"/>
      <c r="L27" s="140"/>
      <c r="M27" s="141">
        <v>0.21</v>
      </c>
      <c r="N27" s="489">
        <f>IF(IF(J30&gt;0,-(J30-F8*J29-C21)*M27,0)&gt;0,0,-(J30-F8*J29-C21)*M27)</f>
        <v>0.21</v>
      </c>
      <c r="O27" s="46"/>
      <c r="P27" s="46"/>
      <c r="Q27" s="46"/>
    </row>
    <row r="28" spans="1:17" ht="16">
      <c r="B28" s="97"/>
      <c r="C28" s="98" t="s">
        <v>92</v>
      </c>
      <c r="D28" s="63" t="s">
        <v>113</v>
      </c>
      <c r="E28" s="98" t="s">
        <v>114</v>
      </c>
      <c r="F28" s="99"/>
      <c r="G28" s="120"/>
      <c r="H28" s="46"/>
      <c r="I28" s="138" t="s">
        <v>129</v>
      </c>
      <c r="J28" s="55"/>
      <c r="K28" s="55"/>
      <c r="L28" s="56"/>
      <c r="M28" s="142">
        <v>0</v>
      </c>
      <c r="N28" s="143">
        <f>(J31-C90)*M27*-M28</f>
        <v>0</v>
      </c>
      <c r="O28" s="46"/>
      <c r="P28" s="46"/>
      <c r="Q28" s="46"/>
    </row>
    <row r="29" spans="1:17" ht="18" customHeight="1">
      <c r="A29" s="47"/>
      <c r="B29" s="101" t="str">
        <f>'Cash-flow'!C28</f>
        <v>Náklady na realizace stavby (Shell and core)</v>
      </c>
      <c r="C29" s="102">
        <v>1</v>
      </c>
      <c r="D29" s="103" t="s">
        <v>93</v>
      </c>
      <c r="E29" s="71">
        <f>F29/J19</f>
        <v>25529.728580540006</v>
      </c>
      <c r="F29" s="72">
        <f>SUM(F30:F33)</f>
        <v>100870000</v>
      </c>
      <c r="G29" s="120"/>
      <c r="H29" s="46"/>
      <c r="I29" s="145" t="s">
        <v>130</v>
      </c>
      <c r="J29" s="655">
        <f>0</f>
        <v>0</v>
      </c>
      <c r="K29" s="646"/>
      <c r="L29" s="646"/>
      <c r="M29" s="646"/>
      <c r="N29" s="647"/>
      <c r="O29" s="46"/>
      <c r="P29" s="46"/>
      <c r="Q29" s="46"/>
    </row>
    <row r="30" spans="1:17" ht="27" customHeight="1">
      <c r="A30" s="47"/>
      <c r="B30" s="146" t="s">
        <v>131</v>
      </c>
      <c r="C30" s="102">
        <v>1</v>
      </c>
      <c r="D30" s="103" t="s">
        <v>93</v>
      </c>
      <c r="E30" s="71"/>
      <c r="F30" s="147">
        <f>97870000</f>
        <v>97870000</v>
      </c>
      <c r="G30" s="120"/>
      <c r="H30" s="46"/>
      <c r="I30" s="148" t="s">
        <v>132</v>
      </c>
      <c r="J30" s="656">
        <f>IF( J29&gt;0,1000000,0)</f>
        <v>0</v>
      </c>
      <c r="K30" s="641"/>
      <c r="L30" s="641"/>
      <c r="M30" s="641"/>
      <c r="N30" s="618"/>
      <c r="O30" s="46"/>
      <c r="P30" s="46"/>
      <c r="Q30" s="46"/>
    </row>
    <row r="31" spans="1:17" ht="27" customHeight="1">
      <c r="A31" s="47"/>
      <c r="B31" s="146" t="s">
        <v>133</v>
      </c>
      <c r="C31" s="102">
        <v>1</v>
      </c>
      <c r="D31" s="103" t="s">
        <v>93</v>
      </c>
      <c r="E31" s="71">
        <v>750</v>
      </c>
      <c r="F31" s="147">
        <f>E31*D8</f>
        <v>0</v>
      </c>
      <c r="G31" s="120"/>
      <c r="H31" s="46"/>
      <c r="I31" s="148" t="s">
        <v>134</v>
      </c>
      <c r="J31" s="656">
        <f>(J20-N23-N24)/N25</f>
        <v>195671268.99999997</v>
      </c>
      <c r="K31" s="641"/>
      <c r="L31" s="641"/>
      <c r="M31" s="641"/>
      <c r="N31" s="618"/>
      <c r="O31" s="46"/>
      <c r="P31" s="46"/>
      <c r="Q31" s="46"/>
    </row>
    <row r="32" spans="1:17" ht="19">
      <c r="A32" s="47"/>
      <c r="B32" s="146" t="s">
        <v>135</v>
      </c>
      <c r="C32" s="102">
        <v>1</v>
      </c>
      <c r="D32" s="103" t="s">
        <v>93</v>
      </c>
      <c r="E32" s="71">
        <v>1050</v>
      </c>
      <c r="F32" s="147">
        <f>D8*E32</f>
        <v>0</v>
      </c>
      <c r="G32" s="120"/>
      <c r="H32" s="46"/>
      <c r="I32" s="148" t="s">
        <v>136</v>
      </c>
      <c r="J32" s="657">
        <f>J31+J30</f>
        <v>195671268.99999997</v>
      </c>
      <c r="K32" s="646"/>
      <c r="L32" s="646"/>
      <c r="M32" s="646"/>
      <c r="N32" s="647"/>
      <c r="O32" s="46"/>
      <c r="P32" s="46"/>
      <c r="Q32" s="46"/>
    </row>
    <row r="33" spans="1:17" ht="18" customHeight="1">
      <c r="A33" s="47"/>
      <c r="B33" s="146" t="s">
        <v>137</v>
      </c>
      <c r="C33" s="102">
        <v>1</v>
      </c>
      <c r="D33" s="103" t="s">
        <v>101</v>
      </c>
      <c r="E33" s="71">
        <v>0</v>
      </c>
      <c r="F33" s="147">
        <v>3000000</v>
      </c>
      <c r="G33" s="120"/>
      <c r="H33" s="46"/>
      <c r="I33" s="46"/>
      <c r="J33" s="55"/>
      <c r="K33" s="55"/>
      <c r="L33" s="56"/>
      <c r="M33" s="58"/>
      <c r="N33" s="57"/>
    </row>
    <row r="34" spans="1:17" ht="18" customHeight="1">
      <c r="A34" s="47"/>
      <c r="B34" s="101" t="str">
        <f>'Cash-flow'!C29</f>
        <v>Bourací práce</v>
      </c>
      <c r="C34" s="102">
        <v>1</v>
      </c>
      <c r="D34" s="103" t="s">
        <v>101</v>
      </c>
      <c r="E34" s="71">
        <v>0</v>
      </c>
      <c r="F34" s="72">
        <f t="shared" ref="F34:F35" si="1">E34</f>
        <v>0</v>
      </c>
      <c r="G34" s="120"/>
      <c r="H34" s="46"/>
      <c r="I34" s="46"/>
      <c r="J34" s="151"/>
      <c r="K34" s="55"/>
      <c r="L34" s="56"/>
      <c r="M34" s="58"/>
      <c r="N34" s="57"/>
    </row>
    <row r="35" spans="1:17" ht="18" customHeight="1">
      <c r="B35" s="101" t="str">
        <f>'Cash-flow'!C30</f>
        <v>Rekonstrukční náklady</v>
      </c>
      <c r="C35" s="102">
        <v>1</v>
      </c>
      <c r="D35" s="152" t="s">
        <v>101</v>
      </c>
      <c r="E35" s="71">
        <v>0</v>
      </c>
      <c r="F35" s="72">
        <f t="shared" si="1"/>
        <v>0</v>
      </c>
      <c r="G35" s="120"/>
      <c r="H35" s="46"/>
      <c r="I35" s="46"/>
      <c r="J35" s="55"/>
      <c r="K35" s="55"/>
      <c r="L35" s="56"/>
      <c r="M35" s="58"/>
      <c r="N35" s="57"/>
    </row>
    <row r="36" spans="1:17" ht="18" customHeight="1">
      <c r="B36" s="101" t="str">
        <f>'Cash-flow'!C31</f>
        <v>Náklady na inženýrské sítě</v>
      </c>
      <c r="C36" s="102">
        <v>1</v>
      </c>
      <c r="D36" s="103" t="s">
        <v>93</v>
      </c>
      <c r="E36" s="71">
        <v>170</v>
      </c>
      <c r="F36" s="72">
        <f>E36*D8</f>
        <v>0</v>
      </c>
      <c r="G36" s="57"/>
      <c r="H36" s="153"/>
      <c r="I36" s="154"/>
      <c r="J36" s="155"/>
      <c r="K36" s="155"/>
      <c r="L36" s="155"/>
      <c r="M36" s="155"/>
      <c r="N36" s="156"/>
    </row>
    <row r="37" spans="1:17" ht="18" customHeight="1">
      <c r="A37" s="47"/>
      <c r="B37" s="101" t="str">
        <f>'Cash-flow'!C32</f>
        <v>Operativní náklady spojené s realizaci stavby</v>
      </c>
      <c r="C37" s="102">
        <v>1</v>
      </c>
      <c r="D37" s="158" t="s">
        <v>105</v>
      </c>
      <c r="E37" s="159">
        <v>3.0000000000000001E-3</v>
      </c>
      <c r="F37" s="72">
        <f>SUM(F29:F36)*E37</f>
        <v>605220</v>
      </c>
      <c r="G37" s="57"/>
      <c r="H37" s="153"/>
      <c r="I37" s="650" t="s">
        <v>138</v>
      </c>
      <c r="J37" s="490"/>
      <c r="K37" s="490"/>
      <c r="L37" s="490"/>
      <c r="M37" s="652">
        <f>J32-C90+N28+N26+N27</f>
        <v>28979561.357731722</v>
      </c>
      <c r="N37" s="631"/>
    </row>
    <row r="38" spans="1:17" ht="24.75" customHeight="1">
      <c r="A38" s="47"/>
      <c r="B38" s="160" t="s">
        <v>139</v>
      </c>
      <c r="C38" s="411"/>
      <c r="D38" s="158"/>
      <c r="E38" s="488"/>
      <c r="F38" s="406">
        <v>200000</v>
      </c>
      <c r="G38" s="57"/>
      <c r="H38" s="153"/>
      <c r="I38" s="651"/>
      <c r="J38" s="490"/>
      <c r="K38" s="490"/>
      <c r="L38" s="490"/>
      <c r="M38" s="653"/>
      <c r="N38" s="631"/>
      <c r="Q38" s="606"/>
    </row>
    <row r="39" spans="1:17" ht="18" customHeight="1">
      <c r="A39" s="47"/>
      <c r="B39" s="101" t="str">
        <f>'Cash-flow'!C34</f>
        <v>Rezerva</v>
      </c>
      <c r="C39" s="411">
        <v>1</v>
      </c>
      <c r="D39" s="491" t="s">
        <v>105</v>
      </c>
      <c r="E39" s="488">
        <v>0.05</v>
      </c>
      <c r="F39" s="406">
        <f>SUM(F29,F34:F38)*E39</f>
        <v>5083761</v>
      </c>
      <c r="G39" s="57"/>
      <c r="H39" s="46"/>
      <c r="I39" s="162" t="s">
        <v>140</v>
      </c>
      <c r="J39" s="163"/>
      <c r="K39" s="164"/>
      <c r="L39" s="163"/>
      <c r="M39" s="163"/>
      <c r="N39" s="492">
        <f>M37/J31</f>
        <v>0.14810330359605184</v>
      </c>
    </row>
    <row r="40" spans="1:17" ht="18" customHeight="1">
      <c r="B40" s="91" t="s">
        <v>109</v>
      </c>
      <c r="C40" s="649">
        <f>SUM(F30:F39)</f>
        <v>106758981</v>
      </c>
      <c r="D40" s="646"/>
      <c r="E40" s="646"/>
      <c r="F40" s="647"/>
      <c r="G40" s="57"/>
      <c r="H40" s="46"/>
      <c r="I40" s="162" t="s">
        <v>141</v>
      </c>
      <c r="J40" s="163"/>
      <c r="K40" s="164"/>
      <c r="L40" s="163"/>
      <c r="M40" s="163"/>
      <c r="N40" s="492">
        <f>M37/C90</f>
        <v>0.17385124749825631</v>
      </c>
    </row>
    <row r="41" spans="1:17" ht="18" customHeight="1">
      <c r="A41" s="47"/>
      <c r="B41" s="95" t="s">
        <v>111</v>
      </c>
      <c r="C41" s="3"/>
      <c r="D41" s="3"/>
      <c r="E41" s="3"/>
      <c r="F41" s="96">
        <f>C40/$J$19</f>
        <v>27020.202324427752</v>
      </c>
      <c r="G41" s="57"/>
      <c r="H41" s="46"/>
      <c r="I41" s="165" t="s">
        <v>142</v>
      </c>
      <c r="J41" s="166"/>
      <c r="K41" s="164"/>
      <c r="L41" s="166"/>
      <c r="M41" s="167"/>
      <c r="N41" s="493"/>
    </row>
    <row r="42" spans="1:17" ht="18" customHeight="1">
      <c r="A42" s="47"/>
      <c r="G42" s="57"/>
      <c r="H42" s="46"/>
      <c r="I42" s="165" t="s">
        <v>143</v>
      </c>
      <c r="J42" s="166"/>
      <c r="K42" s="166"/>
      <c r="L42" s="166"/>
      <c r="M42" s="166"/>
      <c r="N42" s="494">
        <f>M37/D86</f>
        <v>0.4708164853962275</v>
      </c>
    </row>
    <row r="43" spans="1:17" ht="18" customHeight="1">
      <c r="A43" s="47" t="s">
        <v>144</v>
      </c>
      <c r="G43" s="57"/>
      <c r="H43" s="46"/>
      <c r="I43" s="46"/>
      <c r="J43" s="55"/>
      <c r="K43" s="55"/>
      <c r="L43" s="56"/>
      <c r="M43" s="58"/>
      <c r="N43" s="57"/>
    </row>
    <row r="44" spans="1:17" ht="18" customHeight="1">
      <c r="B44" s="654" t="str">
        <f>'Cash-flow'!C35</f>
        <v>D. Tenant improvements</v>
      </c>
      <c r="C44" s="646"/>
      <c r="D44" s="646"/>
      <c r="E44" s="646"/>
      <c r="F44" s="647"/>
      <c r="G44" s="57"/>
      <c r="H44" s="46"/>
      <c r="I44" s="46"/>
      <c r="J44" s="55"/>
      <c r="K44" s="55"/>
      <c r="L44" s="56"/>
      <c r="M44" s="58"/>
      <c r="N44" s="57"/>
    </row>
    <row r="45" spans="1:17" ht="18" customHeight="1">
      <c r="A45" s="47"/>
      <c r="B45" s="97"/>
      <c r="C45" s="98" t="s">
        <v>92</v>
      </c>
      <c r="D45" s="63" t="s">
        <v>113</v>
      </c>
      <c r="E45" s="98" t="s">
        <v>114</v>
      </c>
      <c r="F45" s="99"/>
      <c r="G45" s="57"/>
      <c r="H45" s="46"/>
      <c r="I45" s="168"/>
      <c r="J45" s="46"/>
      <c r="K45" s="46"/>
      <c r="L45" s="46"/>
      <c r="M45" s="46"/>
      <c r="N45" s="169"/>
    </row>
    <row r="46" spans="1:17" ht="18" customHeight="1">
      <c r="A46" s="47"/>
      <c r="B46" s="101" t="str">
        <f>'Cash-flow'!C36</f>
        <v>Tenant improvement</v>
      </c>
      <c r="C46" s="102">
        <v>1</v>
      </c>
      <c r="D46" s="103" t="s">
        <v>93</v>
      </c>
      <c r="E46" s="71">
        <v>0</v>
      </c>
      <c r="F46" s="180">
        <v>680057.75</v>
      </c>
      <c r="G46" s="57"/>
      <c r="H46" s="46"/>
      <c r="I46" s="168"/>
      <c r="J46" s="168"/>
      <c r="K46" s="168"/>
      <c r="L46" s="168"/>
      <c r="M46" s="168"/>
      <c r="N46" s="168"/>
    </row>
    <row r="47" spans="1:17" ht="18" customHeight="1">
      <c r="A47" s="47"/>
      <c r="B47" s="101" t="str">
        <f>'Cash-flow'!C37</f>
        <v>Tenant contribution</v>
      </c>
      <c r="C47" s="411">
        <v>1</v>
      </c>
      <c r="D47" s="487" t="s">
        <v>101</v>
      </c>
      <c r="E47" s="412">
        <v>0</v>
      </c>
      <c r="F47" s="406">
        <f>E47</f>
        <v>0</v>
      </c>
      <c r="G47" s="57"/>
      <c r="H47" s="46"/>
      <c r="I47" s="170"/>
      <c r="J47" s="168"/>
      <c r="K47" s="168"/>
      <c r="L47" s="168"/>
      <c r="M47" s="168"/>
      <c r="N47" s="168"/>
    </row>
    <row r="48" spans="1:17" ht="18" customHeight="1">
      <c r="B48" s="91" t="s">
        <v>109</v>
      </c>
      <c r="C48" s="649">
        <f>SUM(F46:F47)</f>
        <v>680057.75</v>
      </c>
      <c r="D48" s="646"/>
      <c r="E48" s="646"/>
      <c r="F48" s="647"/>
      <c r="G48" s="57"/>
      <c r="H48" s="46"/>
      <c r="I48" s="463"/>
      <c r="J48" s="168"/>
      <c r="K48" s="168"/>
      <c r="L48" s="168"/>
      <c r="M48" s="168"/>
      <c r="N48" s="170"/>
    </row>
    <row r="49" spans="1:9" ht="18" customHeight="1">
      <c r="A49" s="47"/>
      <c r="B49" s="95" t="s">
        <v>111</v>
      </c>
      <c r="C49" s="173"/>
      <c r="D49" s="173"/>
      <c r="E49" s="173"/>
      <c r="F49" s="96">
        <f>C48/$J$19</f>
        <v>172.11945847717587</v>
      </c>
      <c r="G49" s="57"/>
      <c r="H49" s="46"/>
      <c r="I49" s="168"/>
    </row>
    <row r="50" spans="1:9" ht="18" customHeight="1">
      <c r="A50" s="47"/>
      <c r="B50" s="46"/>
      <c r="C50" s="55"/>
      <c r="D50" s="56"/>
      <c r="E50" s="58"/>
      <c r="F50" s="57"/>
      <c r="G50" s="57"/>
      <c r="H50" s="46"/>
      <c r="I50" s="168"/>
    </row>
    <row r="51" spans="1:9" ht="18" customHeight="1">
      <c r="A51" s="47" t="s">
        <v>145</v>
      </c>
      <c r="B51" s="46"/>
      <c r="C51" s="55"/>
      <c r="D51" s="56"/>
      <c r="E51" s="58"/>
      <c r="F51" s="57"/>
      <c r="G51" s="57"/>
      <c r="H51" s="46"/>
      <c r="I51" s="168"/>
    </row>
    <row r="52" spans="1:9" ht="18" customHeight="1">
      <c r="B52" s="654" t="str">
        <f>'Cash-flow'!C38</f>
        <v>E. Soft costs</v>
      </c>
      <c r="C52" s="646"/>
      <c r="D52" s="646"/>
      <c r="E52" s="646"/>
      <c r="F52" s="647"/>
      <c r="G52" s="57"/>
      <c r="H52" s="46"/>
      <c r="I52" s="168"/>
    </row>
    <row r="53" spans="1:9" ht="18" customHeight="1">
      <c r="A53" s="47"/>
      <c r="B53" s="97"/>
      <c r="C53" s="98" t="s">
        <v>92</v>
      </c>
      <c r="D53" s="63" t="s">
        <v>113</v>
      </c>
      <c r="E53" s="98" t="s">
        <v>114</v>
      </c>
      <c r="F53" s="99"/>
      <c r="G53" s="57"/>
      <c r="H53" s="46"/>
      <c r="I53" s="168"/>
    </row>
    <row r="54" spans="1:9" ht="18" customHeight="1">
      <c r="A54" s="47"/>
      <c r="B54" s="101" t="str">
        <f>'Cash-flow'!C39</f>
        <v>Project management (Interní)</v>
      </c>
      <c r="C54" s="102">
        <v>1</v>
      </c>
      <c r="D54" s="103" t="s">
        <v>105</v>
      </c>
      <c r="E54" s="159"/>
      <c r="F54" s="180">
        <v>2172960</v>
      </c>
      <c r="G54" s="57"/>
      <c r="H54" s="46"/>
      <c r="I54" s="46"/>
    </row>
    <row r="55" spans="1:9" ht="18" customHeight="1">
      <c r="B55" s="101" t="str">
        <f>'Cash-flow'!C40</f>
        <v>Project management (Externí)</v>
      </c>
      <c r="C55" s="102">
        <v>1</v>
      </c>
      <c r="D55" s="103" t="s">
        <v>105</v>
      </c>
      <c r="E55" s="159">
        <f>F55/C40</f>
        <v>2.5337446785858701E-2</v>
      </c>
      <c r="F55" s="105">
        <f>SUM(F56:F61)</f>
        <v>2705000</v>
      </c>
      <c r="G55" s="57"/>
      <c r="H55" s="46"/>
      <c r="I55" s="463"/>
    </row>
    <row r="56" spans="1:9" ht="18" customHeight="1">
      <c r="B56" s="181" t="s">
        <v>146</v>
      </c>
      <c r="C56" s="102">
        <v>1</v>
      </c>
      <c r="D56" s="103" t="s">
        <v>105</v>
      </c>
      <c r="E56" s="159"/>
      <c r="F56" s="147">
        <v>900000</v>
      </c>
      <c r="G56" s="57"/>
      <c r="H56" s="46"/>
      <c r="I56" s="168"/>
    </row>
    <row r="57" spans="1:9" ht="18" customHeight="1">
      <c r="A57" s="47"/>
      <c r="B57" s="181" t="s">
        <v>147</v>
      </c>
      <c r="C57" s="102">
        <v>1</v>
      </c>
      <c r="D57" s="103" t="s">
        <v>105</v>
      </c>
      <c r="E57" s="159"/>
      <c r="F57" s="147">
        <v>600000</v>
      </c>
      <c r="G57" s="57"/>
      <c r="H57" s="463"/>
      <c r="I57" s="46"/>
    </row>
    <row r="58" spans="1:9" ht="18" customHeight="1">
      <c r="A58" s="47"/>
      <c r="B58" s="181"/>
      <c r="C58" s="102">
        <v>1</v>
      </c>
      <c r="D58" s="103" t="s">
        <v>105</v>
      </c>
      <c r="E58" s="159"/>
      <c r="F58" s="147"/>
      <c r="G58" s="57"/>
      <c r="H58" s="46"/>
      <c r="I58" s="168"/>
    </row>
    <row r="59" spans="1:9" ht="18" customHeight="1">
      <c r="A59" s="47"/>
      <c r="B59" s="181" t="s">
        <v>148</v>
      </c>
      <c r="C59" s="102">
        <v>1</v>
      </c>
      <c r="D59" s="103" t="s">
        <v>105</v>
      </c>
      <c r="E59" s="159"/>
      <c r="F59" s="147">
        <v>180000</v>
      </c>
      <c r="G59" s="57"/>
      <c r="H59" s="46"/>
      <c r="I59" s="170"/>
    </row>
    <row r="60" spans="1:9" ht="16.5" customHeight="1">
      <c r="B60" s="181" t="s">
        <v>149</v>
      </c>
      <c r="C60" s="102">
        <v>1</v>
      </c>
      <c r="D60" s="103" t="s">
        <v>105</v>
      </c>
      <c r="E60" s="159"/>
      <c r="F60" s="147">
        <v>125000</v>
      </c>
      <c r="G60" s="57"/>
      <c r="H60" s="46"/>
      <c r="I60" s="46" t="s">
        <v>150</v>
      </c>
    </row>
    <row r="61" spans="1:9" ht="18" customHeight="1">
      <c r="A61" s="47"/>
      <c r="B61" s="181" t="str">
        <f>Params!H4</f>
        <v>TDI</v>
      </c>
      <c r="C61" s="102">
        <v>1</v>
      </c>
      <c r="D61" s="103" t="s">
        <v>105</v>
      </c>
      <c r="E61" s="159"/>
      <c r="F61" s="147">
        <v>900000</v>
      </c>
      <c r="G61" s="57"/>
      <c r="H61" s="46"/>
      <c r="I61" s="168"/>
    </row>
    <row r="62" spans="1:9" ht="18" customHeight="1">
      <c r="A62" s="47"/>
      <c r="B62" s="101" t="str">
        <f>'Cash-flow'!C43</f>
        <v>Administrativní náklady</v>
      </c>
      <c r="C62" s="102">
        <v>1</v>
      </c>
      <c r="D62" s="103" t="s">
        <v>105</v>
      </c>
      <c r="E62" s="159">
        <v>1.5E-3</v>
      </c>
      <c r="F62" s="180">
        <f t="shared" ref="F62:F63" si="2">$C$40*E62</f>
        <v>160138.47150000001</v>
      </c>
      <c r="G62" s="57"/>
      <c r="H62" s="46"/>
      <c r="I62" s="182"/>
    </row>
    <row r="63" spans="1:9" ht="18" customHeight="1">
      <c r="A63" s="47"/>
      <c r="B63" s="101" t="str">
        <f>'Cash-flow'!C44</f>
        <v>Ostatní náklady</v>
      </c>
      <c r="C63" s="102">
        <v>1</v>
      </c>
      <c r="D63" s="158" t="s">
        <v>105</v>
      </c>
      <c r="E63" s="159">
        <v>2E-3</v>
      </c>
      <c r="F63" s="180">
        <f t="shared" si="2"/>
        <v>213517.962</v>
      </c>
      <c r="G63" s="57"/>
      <c r="H63" s="46"/>
      <c r="I63" s="168"/>
    </row>
    <row r="64" spans="1:9" ht="18" customHeight="1">
      <c r="A64" s="47"/>
      <c r="B64" s="101" t="str">
        <f>'Cash-flow'!C45</f>
        <v>Právní služby</v>
      </c>
      <c r="C64" s="102">
        <v>1</v>
      </c>
      <c r="D64" s="158" t="s">
        <v>151</v>
      </c>
      <c r="E64" s="159">
        <v>5.0000000000000001E-3</v>
      </c>
      <c r="F64" s="180">
        <f>$C$40*E64</f>
        <v>533794.90500000003</v>
      </c>
      <c r="G64" s="57"/>
      <c r="H64" s="46"/>
      <c r="I64" s="170"/>
    </row>
    <row r="65" spans="1:9" ht="18" customHeight="1">
      <c r="A65" s="47"/>
      <c r="B65" s="101" t="str">
        <f>'Cash-flow'!C46</f>
        <v>Marketing</v>
      </c>
      <c r="C65" s="102">
        <v>1</v>
      </c>
      <c r="D65" s="158" t="s">
        <v>105</v>
      </c>
      <c r="E65" s="159">
        <v>0</v>
      </c>
      <c r="F65" s="180">
        <v>0</v>
      </c>
      <c r="G65" s="57"/>
      <c r="H65" s="46"/>
      <c r="I65" s="46"/>
    </row>
    <row r="66" spans="1:9" ht="18" customHeight="1">
      <c r="B66" s="101" t="str">
        <f>'Cash-flow'!C47</f>
        <v>Letting fee</v>
      </c>
      <c r="C66" s="411">
        <v>1</v>
      </c>
      <c r="D66" s="491" t="s">
        <v>152</v>
      </c>
      <c r="E66" s="495">
        <v>0.15</v>
      </c>
      <c r="F66" s="496">
        <f>E66*Rentroll!P13</f>
        <v>2293080.5325000002</v>
      </c>
      <c r="G66" s="57"/>
      <c r="H66" s="46"/>
      <c r="I66" s="170"/>
    </row>
    <row r="67" spans="1:9" ht="18" customHeight="1">
      <c r="A67" s="47"/>
      <c r="B67" s="91" t="s">
        <v>109</v>
      </c>
      <c r="C67" s="649">
        <f>F54+F55+SUM(F62:F66)</f>
        <v>8078491.8710000003</v>
      </c>
      <c r="D67" s="646"/>
      <c r="E67" s="646"/>
      <c r="F67" s="647"/>
      <c r="G67" s="57"/>
      <c r="H67" s="46"/>
      <c r="I67" s="46">
        <f>C67/F30</f>
        <v>8.2543086451415143E-2</v>
      </c>
    </row>
    <row r="68" spans="1:9" ht="18" customHeight="1">
      <c r="A68" s="47"/>
      <c r="B68" s="95" t="s">
        <v>111</v>
      </c>
      <c r="C68" s="173"/>
      <c r="D68" s="173"/>
      <c r="E68" s="173"/>
      <c r="F68" s="96">
        <f>C67/$J$19</f>
        <v>2044.6287777012869</v>
      </c>
      <c r="G68" s="57"/>
      <c r="H68" s="46"/>
      <c r="I68" s="168"/>
    </row>
    <row r="69" spans="1:9" ht="18" customHeight="1">
      <c r="A69" s="47"/>
      <c r="B69" s="46"/>
      <c r="C69" s="55"/>
      <c r="D69" s="56"/>
      <c r="E69" s="58"/>
      <c r="F69" s="57"/>
      <c r="G69" s="57"/>
      <c r="H69" s="46"/>
      <c r="I69" s="168"/>
    </row>
    <row r="70" spans="1:9" ht="18" customHeight="1">
      <c r="A70" s="47"/>
      <c r="B70" s="46"/>
      <c r="C70" s="55"/>
      <c r="D70" s="56"/>
      <c r="E70" s="58"/>
      <c r="F70" s="57"/>
      <c r="G70" s="57"/>
      <c r="H70" s="46"/>
      <c r="I70" s="184"/>
    </row>
    <row r="71" spans="1:9" ht="18" customHeight="1">
      <c r="A71" s="47"/>
      <c r="B71" s="654" t="str">
        <f>'Cash-flow'!C48</f>
        <v>F. Financial costs</v>
      </c>
      <c r="C71" s="646"/>
      <c r="D71" s="646"/>
      <c r="E71" s="646"/>
      <c r="F71" s="647"/>
      <c r="G71" s="46"/>
      <c r="H71" s="46"/>
      <c r="I71" s="168"/>
    </row>
    <row r="72" spans="1:9" ht="18" customHeight="1">
      <c r="A72" s="47" t="s">
        <v>153</v>
      </c>
      <c r="B72" s="97"/>
      <c r="C72" s="98" t="s">
        <v>92</v>
      </c>
      <c r="D72" s="63" t="s">
        <v>113</v>
      </c>
      <c r="E72" s="98" t="s">
        <v>114</v>
      </c>
      <c r="F72" s="99"/>
      <c r="G72" s="46"/>
      <c r="H72" s="46"/>
      <c r="I72" s="168"/>
    </row>
    <row r="73" spans="1:9" ht="18" customHeight="1">
      <c r="A73" s="47"/>
      <c r="B73" s="101" t="str">
        <f>'Cash-flow'!C49</f>
        <v>Poplatky za zpracování úvěru</v>
      </c>
      <c r="C73" s="102">
        <v>1</v>
      </c>
      <c r="D73" s="103" t="s">
        <v>105</v>
      </c>
      <c r="E73" s="159">
        <v>5.0000000000000001E-3</v>
      </c>
      <c r="F73" s="72">
        <f>D83*E73</f>
        <v>514623.23126824998</v>
      </c>
      <c r="G73" s="46"/>
      <c r="H73" s="46"/>
      <c r="I73" s="46"/>
    </row>
    <row r="74" spans="1:9" ht="18" customHeight="1">
      <c r="A74" s="47"/>
      <c r="B74" s="101" t="s">
        <v>154</v>
      </c>
      <c r="C74" s="102">
        <v>1</v>
      </c>
      <c r="D74" s="103" t="s">
        <v>105</v>
      </c>
      <c r="E74" s="159">
        <v>0</v>
      </c>
      <c r="F74" s="72">
        <f>-'Cash-flow 6.2025'!BY56</f>
        <v>6118749.9999999991</v>
      </c>
      <c r="G74" s="46"/>
      <c r="H74" s="46"/>
      <c r="I74" s="46"/>
    </row>
    <row r="75" spans="1:9" ht="18" customHeight="1">
      <c r="A75" s="47"/>
      <c r="B75" s="101" t="str">
        <f>'Cash-flow'!C51</f>
        <v>Úrokové náklady</v>
      </c>
      <c r="C75" s="102">
        <v>1</v>
      </c>
      <c r="D75" s="103" t="s">
        <v>155</v>
      </c>
      <c r="E75" s="159">
        <f>'Cash-flow 6.2025'!D61</f>
        <v>3.9E-2</v>
      </c>
      <c r="F75" s="72">
        <f>-'Cash-flow 6.2025'!BY61</f>
        <v>1700725</v>
      </c>
      <c r="G75" s="46"/>
      <c r="H75" s="46"/>
      <c r="I75" s="46"/>
    </row>
    <row r="76" spans="1:9" ht="18" customHeight="1">
      <c r="A76" s="47"/>
      <c r="B76" s="101" t="str">
        <f>'Cash-flow'!C52</f>
        <v>Bankovní poplatky</v>
      </c>
      <c r="C76" s="102">
        <v>1</v>
      </c>
      <c r="D76" s="491" t="s">
        <v>101</v>
      </c>
      <c r="E76" s="71">
        <v>1000</v>
      </c>
      <c r="F76" s="406">
        <f>E76*R14</f>
        <v>12000</v>
      </c>
      <c r="G76" s="57"/>
      <c r="H76" s="46"/>
      <c r="I76" s="46"/>
    </row>
    <row r="77" spans="1:9" ht="18" customHeight="1">
      <c r="A77" s="47"/>
      <c r="B77" s="101" t="str">
        <f>'Cash-flow'!C53</f>
        <v>Daně</v>
      </c>
      <c r="C77" s="411">
        <v>1</v>
      </c>
      <c r="D77" s="491" t="s">
        <v>101</v>
      </c>
      <c r="E77" s="412">
        <v>0</v>
      </c>
      <c r="F77" s="406">
        <f>E77</f>
        <v>0</v>
      </c>
      <c r="G77" s="57"/>
      <c r="H77" s="46"/>
      <c r="I77" s="46"/>
    </row>
    <row r="78" spans="1:9" ht="18" customHeight="1">
      <c r="A78" s="47"/>
      <c r="B78" s="91" t="s">
        <v>109</v>
      </c>
      <c r="C78" s="649">
        <f>SUM(F73:F77)</f>
        <v>8346098.2312682495</v>
      </c>
      <c r="D78" s="646"/>
      <c r="E78" s="646"/>
      <c r="F78" s="647"/>
      <c r="G78" s="57"/>
      <c r="H78" s="46"/>
      <c r="I78" s="46"/>
    </row>
    <row r="79" spans="1:9" ht="18" customHeight="1">
      <c r="A79" s="47"/>
      <c r="B79" s="95" t="s">
        <v>111</v>
      </c>
      <c r="C79" s="173"/>
      <c r="D79" s="173"/>
      <c r="E79" s="173"/>
      <c r="F79" s="96">
        <f>C78/$J$19</f>
        <v>2112.3587047764786</v>
      </c>
      <c r="G79" s="57"/>
      <c r="H79" s="46"/>
      <c r="I79" s="46"/>
    </row>
    <row r="82" spans="2:6" ht="18" customHeight="1">
      <c r="B82" s="185" t="s">
        <v>156</v>
      </c>
      <c r="C82" s="186"/>
      <c r="D82" s="187"/>
      <c r="E82" s="188"/>
      <c r="F82" s="189"/>
    </row>
    <row r="83" spans="2:6" ht="18" customHeight="1">
      <c r="B83" s="497" t="s">
        <v>157</v>
      </c>
      <c r="C83" s="190"/>
      <c r="D83" s="498">
        <f>(C14+C23+C40+C48+C67)*C85</f>
        <v>102924646.25364999</v>
      </c>
      <c r="E83" s="57"/>
      <c r="F83" s="46"/>
    </row>
    <row r="84" spans="2:6" ht="18" customHeight="1">
      <c r="B84" s="497" t="s">
        <v>158</v>
      </c>
      <c r="C84" s="190"/>
      <c r="D84" s="498">
        <f>(F73+F75)</f>
        <v>2215348.2312682499</v>
      </c>
      <c r="E84" s="57"/>
      <c r="F84" s="46"/>
    </row>
    <row r="85" spans="2:6" ht="18" customHeight="1">
      <c r="B85" s="499" t="s">
        <v>159</v>
      </c>
      <c r="C85" s="191">
        <v>0.65</v>
      </c>
      <c r="D85" s="500">
        <f>SUM(D83:D84)</f>
        <v>105139994.48491825</v>
      </c>
      <c r="E85" s="57"/>
      <c r="F85" s="46"/>
    </row>
    <row r="86" spans="2:6" ht="18" customHeight="1">
      <c r="B86" s="499" t="s">
        <v>160</v>
      </c>
      <c r="C86" s="191">
        <f>100%-C85</f>
        <v>0.35</v>
      </c>
      <c r="D86" s="501">
        <f>C90-D85</f>
        <v>61551713.367349997</v>
      </c>
      <c r="E86" s="57"/>
      <c r="F86" s="170"/>
    </row>
    <row r="87" spans="2:6" ht="18" customHeight="1">
      <c r="B87" s="192" t="s">
        <v>161</v>
      </c>
      <c r="C87" s="193">
        <v>1</v>
      </c>
      <c r="D87" s="502">
        <f>C90</f>
        <v>166691707.85226825</v>
      </c>
      <c r="E87" s="57"/>
      <c r="F87" s="46"/>
    </row>
    <row r="88" spans="2:6" ht="18" customHeight="1">
      <c r="B88" s="46"/>
      <c r="C88" s="55"/>
      <c r="D88" s="56"/>
      <c r="E88" s="58"/>
      <c r="F88" s="57"/>
    </row>
    <row r="89" spans="2:6" ht="18" customHeight="1">
      <c r="B89" s="46"/>
      <c r="C89" s="55"/>
      <c r="D89" s="56"/>
      <c r="E89" s="58"/>
      <c r="F89" s="57"/>
    </row>
    <row r="90" spans="2:6" ht="18" customHeight="1">
      <c r="B90" s="194" t="s">
        <v>162</v>
      </c>
      <c r="C90" s="645">
        <f>C14+C23+C40+C48+C67+C78</f>
        <v>166691707.85226825</v>
      </c>
      <c r="D90" s="646"/>
      <c r="E90" s="646"/>
      <c r="F90" s="647"/>
    </row>
    <row r="91" spans="2:6" ht="18" customHeight="1">
      <c r="B91" s="46"/>
      <c r="C91" s="55"/>
      <c r="D91" s="56"/>
      <c r="E91" s="58"/>
      <c r="F91" s="57"/>
    </row>
    <row r="92" spans="2:6" ht="18" customHeight="1">
      <c r="B92" s="195" t="s">
        <v>163</v>
      </c>
      <c r="C92" s="648">
        <f>C90/$J$19</f>
        <v>42188.897175523722</v>
      </c>
      <c r="D92" s="646"/>
      <c r="E92" s="646"/>
      <c r="F92" s="647"/>
    </row>
  </sheetData>
  <mergeCells count="27">
    <mergeCell ref="Q4:R4"/>
    <mergeCell ref="B6:F6"/>
    <mergeCell ref="I6:N6"/>
    <mergeCell ref="Q6:R6"/>
    <mergeCell ref="C14:F14"/>
    <mergeCell ref="B17:F17"/>
    <mergeCell ref="C23:F23"/>
    <mergeCell ref="B27:F27"/>
    <mergeCell ref="B1:N1"/>
    <mergeCell ref="B4:F4"/>
    <mergeCell ref="I4:N4"/>
    <mergeCell ref="J29:N29"/>
    <mergeCell ref="J30:N30"/>
    <mergeCell ref="J31:N31"/>
    <mergeCell ref="J32:N32"/>
    <mergeCell ref="J20:N20"/>
    <mergeCell ref="M37:N38"/>
    <mergeCell ref="B71:F71"/>
    <mergeCell ref="C78:F78"/>
    <mergeCell ref="C40:F40"/>
    <mergeCell ref="B44:F44"/>
    <mergeCell ref="B52:F52"/>
    <mergeCell ref="C90:F90"/>
    <mergeCell ref="C92:F92"/>
    <mergeCell ref="C48:F48"/>
    <mergeCell ref="C67:F67"/>
    <mergeCell ref="I37:I38"/>
  </mergeCells>
  <conditionalFormatting sqref="B2">
    <cfRule type="notContainsBlanks" dxfId="14" priority="5">
      <formula>LEN(TRIM(B2))&gt;0</formula>
    </cfRule>
  </conditionalFormatting>
  <conditionalFormatting sqref="I37 M37">
    <cfRule type="cellIs" dxfId="13" priority="1" operator="lessThan">
      <formula>0</formula>
    </cfRule>
  </conditionalFormatting>
  <conditionalFormatting sqref="J31:L43 I39:I43 M39:M43">
    <cfRule type="cellIs" dxfId="12" priority="2" operator="lessThan">
      <formula>0</formula>
    </cfRule>
  </conditionalFormatting>
  <conditionalFormatting sqref="J29:N29">
    <cfRule type="notContainsBlanks" dxfId="11" priority="6">
      <formula>LEN(TRIM(J29))&gt;0</formula>
    </cfRule>
  </conditionalFormatting>
  <conditionalFormatting sqref="U22:U24">
    <cfRule type="cellIs" dxfId="10" priority="3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B1:K99"/>
  <sheetViews>
    <sheetView topLeftCell="A77" zoomScale="228" workbookViewId="0">
      <selection activeCell="H89" sqref="H89"/>
    </sheetView>
  </sheetViews>
  <sheetFormatPr baseColWidth="10" defaultColWidth="12.6640625" defaultRowHeight="15" customHeight="1"/>
  <cols>
    <col min="3" max="3" width="17.6640625" customWidth="1"/>
    <col min="6" max="6" width="17.5" customWidth="1"/>
    <col min="7" max="7" width="23.6640625" customWidth="1"/>
    <col min="8" max="8" width="17.6640625" customWidth="1"/>
    <col min="9" max="9" width="17.33203125" customWidth="1"/>
    <col min="11" max="11" width="16.6640625" bestFit="1" customWidth="1"/>
    <col min="12" max="12" width="15.33203125" bestFit="1" customWidth="1"/>
  </cols>
  <sheetData>
    <row r="1" spans="2:9">
      <c r="B1" s="671" t="s">
        <v>164</v>
      </c>
      <c r="C1" s="640"/>
      <c r="D1" s="196"/>
      <c r="E1" s="196"/>
      <c r="F1" s="196"/>
      <c r="G1" s="196"/>
      <c r="H1" s="196"/>
      <c r="I1" s="196"/>
    </row>
    <row r="2" spans="2:9">
      <c r="B2" s="196"/>
      <c r="C2" s="196"/>
      <c r="D2" s="196"/>
      <c r="E2" s="196"/>
      <c r="F2" s="196"/>
      <c r="G2" s="196"/>
      <c r="H2" s="196"/>
      <c r="I2" s="196"/>
    </row>
    <row r="3" spans="2:9">
      <c r="B3" s="670" t="s">
        <v>165</v>
      </c>
      <c r="C3" s="640"/>
      <c r="D3" s="640"/>
      <c r="E3" s="197">
        <v>18</v>
      </c>
      <c r="F3" s="196"/>
      <c r="G3" s="196"/>
      <c r="H3" s="196"/>
      <c r="I3" s="196"/>
    </row>
    <row r="4" spans="2:9">
      <c r="B4" s="196"/>
      <c r="C4" s="196"/>
      <c r="D4" s="196"/>
      <c r="E4" s="196"/>
      <c r="F4" s="196"/>
      <c r="G4" s="196"/>
      <c r="H4" s="196"/>
      <c r="I4" s="196"/>
    </row>
    <row r="5" spans="2:9">
      <c r="B5" s="196"/>
      <c r="C5" s="196"/>
      <c r="D5" s="196"/>
      <c r="E5" s="196"/>
      <c r="F5" s="196"/>
      <c r="G5" s="196"/>
      <c r="H5" s="196"/>
      <c r="I5" s="196"/>
    </row>
    <row r="6" spans="2:9">
      <c r="B6" s="198">
        <v>1</v>
      </c>
      <c r="C6" s="669" t="s">
        <v>166</v>
      </c>
      <c r="D6" s="640"/>
      <c r="E6" s="196"/>
      <c r="F6" s="196"/>
      <c r="G6" s="200" t="s">
        <v>93</v>
      </c>
      <c r="H6" s="200" t="s">
        <v>167</v>
      </c>
      <c r="I6" s="200" t="s">
        <v>168</v>
      </c>
    </row>
    <row r="7" spans="2:9">
      <c r="B7" s="201">
        <v>45658</v>
      </c>
      <c r="C7" s="670" t="s">
        <v>169</v>
      </c>
      <c r="D7" s="640"/>
      <c r="E7" s="640"/>
      <c r="F7" s="640"/>
      <c r="G7" s="202"/>
      <c r="H7" s="202"/>
      <c r="I7" s="203">
        <f>SUM(Shares!D3:D4)</f>
        <v>24460000</v>
      </c>
    </row>
    <row r="8" spans="2:9">
      <c r="B8" s="201">
        <v>45689</v>
      </c>
      <c r="C8" s="196" t="s">
        <v>170</v>
      </c>
      <c r="D8" s="196"/>
      <c r="E8" s="196"/>
      <c r="F8" s="196"/>
      <c r="G8" s="196"/>
      <c r="H8" s="196"/>
      <c r="I8" s="203">
        <f>Businessplan_prodej!F9</f>
        <v>1034399</v>
      </c>
    </row>
    <row r="9" spans="2:9">
      <c r="B9" s="201">
        <v>45717</v>
      </c>
      <c r="C9" s="670" t="s">
        <v>171</v>
      </c>
      <c r="D9" s="640"/>
      <c r="E9" s="640"/>
      <c r="F9" s="640"/>
      <c r="G9" s="196"/>
      <c r="H9" s="196"/>
      <c r="I9" s="203">
        <f>Businessplan_prodej!F10</f>
        <v>250000</v>
      </c>
    </row>
    <row r="10" spans="2:9">
      <c r="B10" s="201">
        <v>45748</v>
      </c>
      <c r="C10" s="196" t="s">
        <v>172</v>
      </c>
      <c r="D10" s="196" t="s">
        <v>173</v>
      </c>
      <c r="E10" s="196"/>
      <c r="F10" s="196"/>
      <c r="G10" s="196"/>
      <c r="H10" s="196"/>
      <c r="I10" s="203">
        <f>Businessplan_prodej!F11</f>
        <v>1500000</v>
      </c>
    </row>
    <row r="11" spans="2:9">
      <c r="B11" s="201">
        <v>45778</v>
      </c>
      <c r="C11" s="196" t="s">
        <v>172</v>
      </c>
      <c r="D11" s="196" t="s">
        <v>174</v>
      </c>
      <c r="E11" s="196"/>
      <c r="F11" s="196"/>
      <c r="G11" s="239">
        <f>I11/$I$7</f>
        <v>4.4408135731807033E-2</v>
      </c>
      <c r="H11" s="196"/>
      <c r="I11" s="203">
        <f>Businessplan_prodej!F12</f>
        <v>1086223</v>
      </c>
    </row>
    <row r="12" spans="2:9">
      <c r="B12" s="664" t="s">
        <v>175</v>
      </c>
      <c r="C12" s="665"/>
      <c r="D12" s="204"/>
      <c r="E12" s="204"/>
      <c r="F12" s="204"/>
      <c r="G12" s="204"/>
      <c r="H12" s="204"/>
      <c r="I12" s="205">
        <f>SUM(I7:I11)</f>
        <v>28330622</v>
      </c>
    </row>
    <row r="13" spans="2:9">
      <c r="B13" s="206"/>
      <c r="C13" s="196"/>
      <c r="D13" s="196"/>
      <c r="E13" s="196"/>
      <c r="F13" s="196"/>
      <c r="G13" s="196"/>
      <c r="H13" s="196"/>
      <c r="I13" s="196"/>
    </row>
    <row r="14" spans="2:9">
      <c r="B14" s="206"/>
      <c r="C14" s="196"/>
      <c r="D14" s="196"/>
      <c r="E14" s="196"/>
      <c r="F14" s="196"/>
      <c r="G14" s="196"/>
      <c r="H14" s="196"/>
      <c r="I14" s="196"/>
    </row>
    <row r="15" spans="2:9">
      <c r="B15" s="198" t="s">
        <v>176</v>
      </c>
      <c r="C15" s="669" t="s">
        <v>177</v>
      </c>
      <c r="D15" s="640"/>
      <c r="E15" s="196"/>
      <c r="F15" s="196"/>
      <c r="G15" s="200" t="s">
        <v>93</v>
      </c>
      <c r="H15" s="200" t="s">
        <v>167</v>
      </c>
      <c r="I15" s="200" t="s">
        <v>168</v>
      </c>
    </row>
    <row r="16" spans="2:9">
      <c r="B16" s="201">
        <v>45718</v>
      </c>
      <c r="C16" s="196" t="s">
        <v>178</v>
      </c>
      <c r="D16" s="196"/>
      <c r="E16" s="196"/>
      <c r="F16" s="196"/>
      <c r="G16" s="196">
        <f>Rentroll!F13*1.05</f>
        <v>4148.634</v>
      </c>
      <c r="H16" s="207">
        <f>I16/G16</f>
        <v>23590.897630400752</v>
      </c>
      <c r="I16" s="207">
        <f>Businessplan_prodej!F30</f>
        <v>97870000</v>
      </c>
    </row>
    <row r="17" spans="2:9">
      <c r="B17" s="208"/>
      <c r="C17" s="196" t="s">
        <v>179</v>
      </c>
      <c r="D17" s="196"/>
      <c r="E17" s="196"/>
      <c r="F17" s="196"/>
      <c r="G17" s="209">
        <v>0.08</v>
      </c>
      <c r="H17" s="207">
        <f>I16</f>
        <v>97870000</v>
      </c>
      <c r="I17" s="207">
        <f>(H17+I18)*G17</f>
        <v>7878017.6000000006</v>
      </c>
    </row>
    <row r="18" spans="2:9">
      <c r="B18" s="210">
        <v>45749</v>
      </c>
      <c r="C18" s="196" t="s">
        <v>180</v>
      </c>
      <c r="D18" s="196"/>
      <c r="E18" s="196"/>
      <c r="F18" s="196"/>
      <c r="G18" s="209"/>
      <c r="H18" s="211"/>
      <c r="I18" s="212">
        <f>Businessplan_prodej!F37</f>
        <v>605220</v>
      </c>
    </row>
    <row r="19" spans="2:9">
      <c r="B19" s="664" t="s">
        <v>181</v>
      </c>
      <c r="C19" s="665"/>
      <c r="D19" s="204"/>
      <c r="E19" s="204"/>
      <c r="F19" s="204"/>
      <c r="G19" s="213" t="s">
        <v>182</v>
      </c>
      <c r="H19" s="213" t="s">
        <v>183</v>
      </c>
      <c r="I19" s="214">
        <f>SUM(I16:I18)</f>
        <v>106353237.59999999</v>
      </c>
    </row>
    <row r="20" spans="2:9">
      <c r="B20" s="206"/>
      <c r="C20" s="196"/>
      <c r="D20" s="196"/>
      <c r="E20" s="196"/>
      <c r="F20" s="196"/>
      <c r="G20" s="196"/>
      <c r="H20" s="196"/>
      <c r="I20" s="196"/>
    </row>
    <row r="21" spans="2:9">
      <c r="B21" s="206"/>
      <c r="C21" s="196"/>
      <c r="D21" s="196"/>
      <c r="E21" s="196"/>
      <c r="F21" s="196"/>
      <c r="G21" s="196"/>
      <c r="H21" s="196"/>
      <c r="I21" s="196"/>
    </row>
    <row r="22" spans="2:9">
      <c r="B22" s="198" t="s">
        <v>184</v>
      </c>
      <c r="C22" s="669" t="s">
        <v>185</v>
      </c>
      <c r="D22" s="640"/>
      <c r="E22" s="196"/>
      <c r="F22" s="196"/>
      <c r="G22" s="196"/>
      <c r="H22" s="196"/>
      <c r="I22" s="196"/>
    </row>
    <row r="23" spans="2:9">
      <c r="B23" s="201">
        <v>45660</v>
      </c>
      <c r="C23" s="196" t="s">
        <v>186</v>
      </c>
      <c r="D23" s="670" t="s">
        <v>187</v>
      </c>
      <c r="E23" s="640"/>
      <c r="F23" s="196"/>
      <c r="G23" s="196"/>
      <c r="H23" s="196"/>
      <c r="I23" s="215">
        <f>Businessplan_prodej!C23</f>
        <v>850000</v>
      </c>
    </row>
    <row r="24" spans="2:9">
      <c r="B24" s="201">
        <v>45691</v>
      </c>
      <c r="C24" s="670" t="s">
        <v>188</v>
      </c>
      <c r="D24" s="640"/>
      <c r="E24" s="196"/>
      <c r="F24" s="196"/>
      <c r="G24" s="196"/>
      <c r="H24" s="196"/>
      <c r="I24" s="202"/>
    </row>
    <row r="25" spans="2:9">
      <c r="B25" s="208"/>
      <c r="C25" s="196"/>
      <c r="D25" s="196"/>
      <c r="E25" s="196" t="s">
        <v>173</v>
      </c>
      <c r="F25" s="196"/>
      <c r="G25" s="239">
        <v>0.02</v>
      </c>
      <c r="H25" s="196"/>
      <c r="I25" s="448">
        <f>Businessplan_prodej!F54</f>
        <v>2172960</v>
      </c>
    </row>
    <row r="26" spans="2:9">
      <c r="B26" s="208"/>
      <c r="C26" s="196"/>
      <c r="D26" s="196"/>
      <c r="E26" s="196" t="s">
        <v>174</v>
      </c>
      <c r="F26" s="196"/>
      <c r="G26" s="239"/>
      <c r="H26" s="196"/>
      <c r="I26" s="448">
        <f>Businessplan_prodej!F55</f>
        <v>2705000</v>
      </c>
    </row>
    <row r="27" spans="2:9">
      <c r="B27" s="201">
        <v>45719</v>
      </c>
      <c r="C27" s="670" t="s">
        <v>189</v>
      </c>
      <c r="D27" s="640"/>
      <c r="E27" s="640"/>
      <c r="F27" s="196"/>
      <c r="G27" s="196"/>
      <c r="H27" s="196"/>
      <c r="I27" s="448">
        <f>Businessplan_prodej!F62+Businessplan_prodej!F63+Businessplan_prodej!F64</f>
        <v>907451.33850000007</v>
      </c>
    </row>
    <row r="28" spans="2:9">
      <c r="B28" s="201">
        <v>45750</v>
      </c>
      <c r="C28" s="670" t="s">
        <v>190</v>
      </c>
      <c r="D28" s="640"/>
      <c r="E28" s="640"/>
      <c r="F28" s="196"/>
      <c r="G28" s="209">
        <v>0.15</v>
      </c>
      <c r="H28" s="224">
        <f>Rentroll!P13</f>
        <v>15287203.550000001</v>
      </c>
      <c r="I28" s="449">
        <f>H28*G28</f>
        <v>2293080.5325000002</v>
      </c>
    </row>
    <row r="29" spans="2:9">
      <c r="B29" s="664" t="s">
        <v>191</v>
      </c>
      <c r="C29" s="665"/>
      <c r="D29" s="204"/>
      <c r="E29" s="204"/>
      <c r="F29" s="204"/>
      <c r="G29" s="204"/>
      <c r="H29" s="204"/>
      <c r="I29" s="217">
        <f>SUM(I23:I28)</f>
        <v>8928491.8710000012</v>
      </c>
    </row>
    <row r="30" spans="2:9">
      <c r="B30" s="208"/>
      <c r="C30" s="196"/>
      <c r="D30" s="196"/>
      <c r="E30" s="196"/>
      <c r="F30" s="196"/>
      <c r="G30" s="196"/>
      <c r="H30" s="196"/>
      <c r="I30" s="196"/>
    </row>
    <row r="31" spans="2:9">
      <c r="B31" s="208"/>
      <c r="C31" s="196"/>
      <c r="D31" s="196"/>
      <c r="E31" s="196"/>
      <c r="F31" s="196"/>
      <c r="G31" s="196"/>
      <c r="H31" s="196"/>
      <c r="I31" s="196"/>
    </row>
    <row r="32" spans="2:9">
      <c r="B32" s="196"/>
      <c r="C32" s="667" t="s">
        <v>192</v>
      </c>
      <c r="D32" s="640"/>
      <c r="E32" s="640"/>
      <c r="F32" s="218"/>
      <c r="G32" s="218"/>
      <c r="H32" s="218"/>
      <c r="I32" s="219">
        <f>I29+I19+I12</f>
        <v>143612351.47100002</v>
      </c>
    </row>
    <row r="35" spans="2:9">
      <c r="B35" s="196" t="s">
        <v>193</v>
      </c>
      <c r="C35" s="196" t="s">
        <v>194</v>
      </c>
      <c r="D35" s="200" t="s">
        <v>195</v>
      </c>
      <c r="E35" s="200" t="s">
        <v>196</v>
      </c>
      <c r="F35" s="196"/>
      <c r="G35" s="196" t="s">
        <v>197</v>
      </c>
      <c r="H35" s="196"/>
      <c r="I35" s="196"/>
    </row>
    <row r="36" spans="2:9">
      <c r="B36" s="201">
        <v>45661</v>
      </c>
      <c r="C36" s="196" t="s">
        <v>198</v>
      </c>
      <c r="D36" s="445">
        <f>1-D42</f>
        <v>0.35</v>
      </c>
      <c r="E36" s="200"/>
      <c r="F36" s="225">
        <f>SUM(F37:F38)</f>
        <v>13647456.999999998</v>
      </c>
      <c r="G36" s="446"/>
      <c r="H36" s="196"/>
      <c r="I36" s="196"/>
    </row>
    <row r="37" spans="2:9">
      <c r="B37" s="208"/>
      <c r="C37" s="196" t="s">
        <v>199</v>
      </c>
      <c r="D37" s="445">
        <v>0.3</v>
      </c>
      <c r="E37" s="200"/>
      <c r="F37" s="225">
        <f>(Shares!$D$5+Shares!D6)*D37</f>
        <v>4094237.0999999996</v>
      </c>
      <c r="G37" s="446"/>
      <c r="H37" s="196"/>
      <c r="I37" s="196"/>
    </row>
    <row r="38" spans="2:9">
      <c r="B38" s="208"/>
      <c r="C38" s="196" t="s">
        <v>200</v>
      </c>
      <c r="D38" s="445">
        <v>0.7</v>
      </c>
      <c r="E38" s="200"/>
      <c r="F38" s="225">
        <f>(Shares!$D$5+Shares!D6)*D38</f>
        <v>9553219.8999999985</v>
      </c>
      <c r="G38" s="446"/>
      <c r="H38" s="196"/>
      <c r="I38" s="196"/>
    </row>
    <row r="39" spans="2:9">
      <c r="B39" s="201">
        <v>45692</v>
      </c>
      <c r="C39" s="196" t="s">
        <v>201</v>
      </c>
      <c r="D39" s="445">
        <f>1-D42</f>
        <v>0.35</v>
      </c>
      <c r="E39" s="200"/>
      <c r="F39" s="225">
        <f>I32*D39</f>
        <v>50264323.014850006</v>
      </c>
      <c r="G39" s="446"/>
      <c r="H39" s="196"/>
      <c r="I39" s="196"/>
    </row>
    <row r="40" spans="2:9">
      <c r="B40" s="208"/>
      <c r="C40" s="196" t="s">
        <v>202</v>
      </c>
      <c r="D40" s="445">
        <v>0.3</v>
      </c>
      <c r="E40" s="200">
        <v>18</v>
      </c>
      <c r="F40" s="225">
        <f>F39*D40</f>
        <v>15079296.904455001</v>
      </c>
      <c r="G40" s="446">
        <v>0.11</v>
      </c>
      <c r="H40" s="196"/>
      <c r="I40" s="225">
        <f t="shared" ref="I40:I41" si="0">F40*G40/12*E40</f>
        <v>2488083.9892350747</v>
      </c>
    </row>
    <row r="41" spans="2:9">
      <c r="B41" s="208"/>
      <c r="C41" s="196" t="s">
        <v>203</v>
      </c>
      <c r="D41" s="445">
        <v>0.7</v>
      </c>
      <c r="E41" s="200">
        <v>12</v>
      </c>
      <c r="F41" s="225">
        <f>F39*D41</f>
        <v>35185026.110394999</v>
      </c>
      <c r="G41" s="446">
        <v>0.11</v>
      </c>
      <c r="H41" s="196"/>
      <c r="I41" s="225">
        <f t="shared" si="0"/>
        <v>3870352.8721434493</v>
      </c>
    </row>
    <row r="42" spans="2:9">
      <c r="B42" s="201">
        <v>45720</v>
      </c>
      <c r="C42" s="196" t="s">
        <v>204</v>
      </c>
      <c r="D42" s="447">
        <v>0.65</v>
      </c>
      <c r="E42" s="200">
        <v>9</v>
      </c>
      <c r="F42" s="215">
        <f>I32*D42</f>
        <v>93348028.45615001</v>
      </c>
      <c r="G42" s="446">
        <v>5.5E-2</v>
      </c>
      <c r="H42" s="196"/>
      <c r="I42" s="225">
        <f>-'Cash-flow 6.2025'!BY61</f>
        <v>1700725</v>
      </c>
    </row>
    <row r="43" spans="2:9">
      <c r="B43" s="201"/>
      <c r="C43" s="196" t="s">
        <v>205</v>
      </c>
      <c r="D43" s="447"/>
      <c r="E43" s="200"/>
      <c r="F43" s="196"/>
      <c r="G43" s="446"/>
      <c r="H43" s="196"/>
      <c r="I43" s="225">
        <f>Businessplan_prodej!F73</f>
        <v>514623.23126824998</v>
      </c>
    </row>
    <row r="44" spans="2:9">
      <c r="B44" s="666" t="s">
        <v>191</v>
      </c>
      <c r="C44" s="665"/>
      <c r="D44" s="221"/>
      <c r="E44" s="221"/>
      <c r="F44" s="221"/>
      <c r="G44" s="221"/>
      <c r="H44" s="221"/>
      <c r="I44" s="222">
        <f>SUM(I40:I43)</f>
        <v>8573785.0926467739</v>
      </c>
    </row>
    <row r="45" spans="2:9">
      <c r="B45" s="208"/>
      <c r="C45" s="196"/>
      <c r="D45" s="196"/>
      <c r="E45" s="196"/>
      <c r="F45" s="196"/>
      <c r="G45" s="196"/>
      <c r="H45" s="196"/>
      <c r="I45" s="196"/>
    </row>
    <row r="46" spans="2:9">
      <c r="B46" s="208"/>
      <c r="C46" s="196"/>
      <c r="D46" s="196"/>
      <c r="E46" s="196"/>
      <c r="F46" s="196"/>
      <c r="G46" s="196"/>
      <c r="H46" s="200" t="s">
        <v>206</v>
      </c>
      <c r="I46" s="200" t="s">
        <v>168</v>
      </c>
    </row>
    <row r="47" spans="2:9">
      <c r="B47" s="208"/>
      <c r="C47" s="667" t="s">
        <v>207</v>
      </c>
      <c r="D47" s="640"/>
      <c r="E47" s="640"/>
      <c r="F47" s="218"/>
      <c r="G47" s="218"/>
      <c r="H47" s="223">
        <f>I47/G16</f>
        <v>39973.059460932636</v>
      </c>
      <c r="I47" s="219">
        <f>I32+I44+F36</f>
        <v>165833593.56364679</v>
      </c>
    </row>
    <row r="50" spans="2:9">
      <c r="B50" s="199" t="s">
        <v>208</v>
      </c>
      <c r="C50" s="199" t="s">
        <v>209</v>
      </c>
      <c r="D50" s="196"/>
      <c r="E50" s="196"/>
      <c r="F50" s="200" t="s">
        <v>93</v>
      </c>
      <c r="G50" s="200" t="s">
        <v>210</v>
      </c>
      <c r="H50" s="200" t="s">
        <v>211</v>
      </c>
      <c r="I50" s="200" t="s">
        <v>212</v>
      </c>
    </row>
    <row r="51" spans="2:9">
      <c r="B51" s="196"/>
      <c r="C51" s="196" t="s">
        <v>213</v>
      </c>
      <c r="D51" s="196"/>
      <c r="E51" s="196"/>
      <c r="F51" s="209">
        <v>0.95</v>
      </c>
      <c r="G51" s="196"/>
      <c r="H51" s="196"/>
      <c r="I51" s="196"/>
    </row>
    <row r="52" spans="2:9">
      <c r="B52" s="201">
        <v>45721</v>
      </c>
      <c r="C52" s="196" t="s">
        <v>178</v>
      </c>
      <c r="D52" s="196"/>
      <c r="E52" s="196"/>
      <c r="F52" s="196" t="s">
        <v>214</v>
      </c>
      <c r="G52" s="202"/>
      <c r="H52" s="224">
        <f>Rentroll!K13</f>
        <v>1115107.9741666666</v>
      </c>
      <c r="I52" s="225">
        <f>H52*12</f>
        <v>13381295.689999999</v>
      </c>
    </row>
    <row r="53" spans="2:9">
      <c r="B53" s="664" t="s">
        <v>215</v>
      </c>
      <c r="C53" s="665"/>
      <c r="D53" s="204"/>
      <c r="E53" s="204"/>
      <c r="F53" s="204" t="s">
        <v>214</v>
      </c>
      <c r="G53" s="204"/>
      <c r="H53" s="204"/>
      <c r="I53" s="226">
        <f>I52</f>
        <v>13381295.689999999</v>
      </c>
    </row>
    <row r="54" spans="2:9">
      <c r="B54" s="196"/>
      <c r="C54" s="196"/>
      <c r="D54" s="196"/>
      <c r="E54" s="196"/>
      <c r="F54" s="196"/>
      <c r="G54" s="196"/>
      <c r="H54" s="196"/>
      <c r="I54" s="196"/>
    </row>
    <row r="55" spans="2:9">
      <c r="B55" s="196"/>
      <c r="C55" s="668" t="s">
        <v>216</v>
      </c>
      <c r="D55" s="640"/>
      <c r="E55" s="227"/>
      <c r="F55" s="227"/>
      <c r="G55" s="227"/>
      <c r="H55" s="227"/>
      <c r="I55" s="228">
        <f>I53/I47</f>
        <v>8.0691103668716374E-2</v>
      </c>
    </row>
    <row r="56" spans="2:9">
      <c r="B56" s="196"/>
      <c r="C56" s="196"/>
      <c r="D56" s="196"/>
      <c r="E56" s="196"/>
      <c r="F56" s="196"/>
      <c r="G56" s="196"/>
      <c r="H56" s="196"/>
      <c r="I56" s="196"/>
    </row>
    <row r="57" spans="2:9">
      <c r="B57" s="196"/>
      <c r="C57" s="196"/>
      <c r="D57" s="196"/>
      <c r="E57" s="196"/>
      <c r="F57" s="196"/>
      <c r="G57" s="196"/>
      <c r="H57" s="196"/>
      <c r="I57" s="196"/>
    </row>
    <row r="58" spans="2:9">
      <c r="B58" s="198">
        <v>6</v>
      </c>
      <c r="C58" s="669" t="s">
        <v>217</v>
      </c>
      <c r="D58" s="640"/>
      <c r="E58" s="199"/>
      <c r="F58" s="196"/>
      <c r="G58" s="196" t="s">
        <v>218</v>
      </c>
      <c r="H58" s="196"/>
      <c r="I58" s="196"/>
    </row>
    <row r="59" spans="2:9">
      <c r="B59" s="201">
        <v>45663</v>
      </c>
      <c r="C59" s="196" t="s">
        <v>219</v>
      </c>
      <c r="D59" s="196"/>
      <c r="E59" s="196"/>
      <c r="F59" s="229">
        <v>0.3</v>
      </c>
      <c r="G59" s="225">
        <f>F36+F39</f>
        <v>63911780.014850006</v>
      </c>
      <c r="H59" s="196"/>
      <c r="I59" s="225">
        <f t="shared" ref="I59:I60" si="1">G59*F59</f>
        <v>19173534.004455</v>
      </c>
    </row>
    <row r="60" spans="2:9">
      <c r="B60" s="201">
        <v>45694</v>
      </c>
      <c r="C60" s="196" t="s">
        <v>220</v>
      </c>
      <c r="D60" s="196"/>
      <c r="E60" s="196"/>
      <c r="F60" s="230">
        <v>0.7</v>
      </c>
      <c r="G60" s="225">
        <f>F36+F39</f>
        <v>63911780.014850006</v>
      </c>
      <c r="H60" s="196"/>
      <c r="I60" s="225">
        <f t="shared" si="1"/>
        <v>44738246.010394998</v>
      </c>
    </row>
    <row r="61" spans="2:9">
      <c r="B61" s="208"/>
      <c r="C61" s="196"/>
      <c r="D61" s="196"/>
      <c r="E61" s="196"/>
      <c r="F61" s="196"/>
      <c r="G61" s="196"/>
      <c r="H61" s="196"/>
      <c r="I61" s="196"/>
    </row>
    <row r="62" spans="2:9">
      <c r="B62" s="196"/>
      <c r="C62" s="196"/>
      <c r="D62" s="196"/>
      <c r="E62" s="196"/>
      <c r="F62" s="196"/>
      <c r="G62" s="196"/>
      <c r="H62" s="196"/>
      <c r="I62" s="196"/>
    </row>
    <row r="63" spans="2:9">
      <c r="B63" s="231">
        <v>7</v>
      </c>
      <c r="C63" s="232" t="s">
        <v>221</v>
      </c>
      <c r="D63" s="232"/>
      <c r="E63" s="232"/>
      <c r="F63" s="233"/>
      <c r="G63" s="234"/>
      <c r="H63" s="196"/>
      <c r="I63" s="196"/>
    </row>
    <row r="64" spans="2:9">
      <c r="B64" s="235">
        <v>45664</v>
      </c>
      <c r="C64" s="196" t="s">
        <v>222</v>
      </c>
      <c r="D64" s="196"/>
      <c r="E64" s="196"/>
      <c r="F64" s="196"/>
      <c r="G64" s="236">
        <v>7.0000000000000007E-2</v>
      </c>
      <c r="H64" s="196"/>
      <c r="I64" s="196"/>
    </row>
    <row r="65" spans="2:9">
      <c r="B65" s="235">
        <v>45695</v>
      </c>
      <c r="C65" s="196" t="s">
        <v>223</v>
      </c>
      <c r="D65" s="196"/>
      <c r="E65" s="196"/>
      <c r="F65" s="196"/>
      <c r="G65" s="237">
        <f>Businessplan_prodej!J31</f>
        <v>195671268.99999997</v>
      </c>
      <c r="H65" s="196"/>
      <c r="I65" s="196"/>
    </row>
    <row r="66" spans="2:9">
      <c r="B66" s="238">
        <v>45723</v>
      </c>
      <c r="C66" s="196" t="s">
        <v>224</v>
      </c>
      <c r="D66" s="196"/>
      <c r="E66" s="196"/>
      <c r="F66" s="239">
        <v>5.0000000000000001E-3</v>
      </c>
      <c r="G66" s="240">
        <f>G65*F66</f>
        <v>978356.34499999986</v>
      </c>
      <c r="H66" s="196"/>
      <c r="I66" s="196"/>
    </row>
    <row r="67" spans="2:9">
      <c r="B67" s="238">
        <v>45754</v>
      </c>
      <c r="C67" s="196" t="s">
        <v>225</v>
      </c>
      <c r="D67" s="196"/>
      <c r="E67" s="196"/>
      <c r="F67" s="196"/>
      <c r="G67" s="241"/>
      <c r="H67" s="196"/>
      <c r="I67" s="196"/>
    </row>
    <row r="68" spans="2:9">
      <c r="B68" s="242"/>
      <c r="C68" s="196"/>
      <c r="D68" s="196"/>
      <c r="E68" s="196"/>
      <c r="F68" s="196"/>
      <c r="G68" s="241"/>
      <c r="H68" s="196"/>
      <c r="I68" s="196"/>
    </row>
    <row r="69" spans="2:9">
      <c r="B69" s="235">
        <v>45784</v>
      </c>
      <c r="C69" s="196" t="s">
        <v>226</v>
      </c>
      <c r="D69" s="196"/>
      <c r="E69" s="196"/>
      <c r="F69" s="196"/>
      <c r="G69" s="237">
        <f>G65-I47</f>
        <v>29837675.436353177</v>
      </c>
      <c r="H69" s="196"/>
      <c r="I69" s="196"/>
    </row>
    <row r="70" spans="2:9">
      <c r="B70" s="235">
        <v>45815</v>
      </c>
      <c r="C70" s="196" t="s">
        <v>227</v>
      </c>
      <c r="D70" s="196"/>
      <c r="E70" s="196"/>
      <c r="F70" s="196"/>
      <c r="G70" s="241"/>
      <c r="H70" s="196"/>
      <c r="I70" s="196"/>
    </row>
    <row r="71" spans="2:9">
      <c r="B71" s="235">
        <v>45845</v>
      </c>
      <c r="C71" s="196" t="s">
        <v>228</v>
      </c>
      <c r="D71" s="196"/>
      <c r="E71" s="196"/>
      <c r="F71" s="196"/>
      <c r="G71" s="236">
        <f>G69/G59</f>
        <v>0.46685721207295972</v>
      </c>
      <c r="H71" s="196"/>
      <c r="I71" s="196"/>
    </row>
    <row r="72" spans="2:9">
      <c r="B72" s="242"/>
      <c r="C72" s="196"/>
      <c r="D72" s="196"/>
      <c r="E72" s="196"/>
      <c r="F72" s="196"/>
      <c r="G72" s="241"/>
      <c r="H72" s="196"/>
      <c r="I72" s="196"/>
    </row>
    <row r="73" spans="2:9">
      <c r="B73" s="235">
        <v>45876</v>
      </c>
      <c r="C73" s="196" t="s">
        <v>229</v>
      </c>
      <c r="D73" s="196"/>
      <c r="E73" s="196"/>
      <c r="F73" s="196"/>
      <c r="G73" s="241"/>
      <c r="H73" s="196"/>
      <c r="I73" s="196"/>
    </row>
    <row r="74" spans="2:9">
      <c r="B74" s="235">
        <v>45907</v>
      </c>
      <c r="C74" s="196" t="s">
        <v>230</v>
      </c>
      <c r="D74" s="196"/>
      <c r="E74" s="196"/>
      <c r="F74" s="196"/>
      <c r="G74" s="243">
        <v>0</v>
      </c>
      <c r="H74" s="196"/>
      <c r="I74" s="196"/>
    </row>
    <row r="75" spans="2:9">
      <c r="B75" s="235">
        <v>45937</v>
      </c>
      <c r="C75" s="670" t="s">
        <v>231</v>
      </c>
      <c r="D75" s="640"/>
      <c r="E75" s="196"/>
      <c r="F75" s="202"/>
      <c r="G75" s="243">
        <f>G74+G69</f>
        <v>29837675.436353177</v>
      </c>
      <c r="H75" s="196"/>
      <c r="I75" s="196"/>
    </row>
    <row r="76" spans="2:9">
      <c r="B76" s="244"/>
      <c r="C76" s="245"/>
      <c r="D76" s="245"/>
      <c r="E76" s="245"/>
      <c r="F76" s="245"/>
      <c r="G76" s="236">
        <f>G75/G59</f>
        <v>0.46685721207295972</v>
      </c>
      <c r="H76" s="196"/>
      <c r="I76" s="196"/>
    </row>
    <row r="77" spans="2:9">
      <c r="B77" s="196"/>
      <c r="C77" s="196"/>
      <c r="D77" s="196"/>
      <c r="E77" s="196"/>
      <c r="F77" s="196"/>
      <c r="G77" s="196"/>
      <c r="H77" s="196"/>
      <c r="I77" s="196"/>
    </row>
    <row r="78" spans="2:9">
      <c r="B78" s="196"/>
      <c r="C78" s="196"/>
      <c r="D78" s="196"/>
      <c r="E78" s="196"/>
      <c r="F78" s="196"/>
      <c r="G78" s="196"/>
      <c r="H78" s="196"/>
      <c r="I78" s="196"/>
    </row>
    <row r="79" spans="2:9">
      <c r="B79" s="196"/>
      <c r="C79" s="196"/>
      <c r="D79" s="196"/>
      <c r="E79" s="196"/>
      <c r="F79" s="196"/>
      <c r="G79" s="196"/>
      <c r="H79" s="196"/>
      <c r="I79" s="196"/>
    </row>
    <row r="80" spans="2:9">
      <c r="B80" s="246">
        <v>8</v>
      </c>
      <c r="C80" s="663" t="s">
        <v>232</v>
      </c>
      <c r="D80" s="640"/>
      <c r="E80" s="247"/>
      <c r="F80" s="247"/>
      <c r="G80" s="247"/>
      <c r="H80" s="247"/>
      <c r="I80" s="248" t="s">
        <v>233</v>
      </c>
    </row>
    <row r="81" spans="2:11">
      <c r="B81" s="249">
        <v>45665</v>
      </c>
      <c r="C81" s="663" t="s">
        <v>234</v>
      </c>
      <c r="D81" s="640"/>
      <c r="E81" s="247" t="s">
        <v>235</v>
      </c>
      <c r="F81" s="216">
        <v>0.7</v>
      </c>
      <c r="G81" s="250">
        <f>G75</f>
        <v>29837675.436353177</v>
      </c>
      <c r="H81" s="250">
        <f>G81*F81</f>
        <v>20886372.805447221</v>
      </c>
      <c r="I81" s="251">
        <f>H81/I60</f>
        <v>0.46685721207295972</v>
      </c>
      <c r="J81" s="196"/>
      <c r="K81" s="570"/>
    </row>
    <row r="82" spans="2:11">
      <c r="B82" s="246"/>
      <c r="C82" s="247"/>
      <c r="D82" s="247"/>
      <c r="E82" s="247" t="s">
        <v>236</v>
      </c>
      <c r="F82" s="247"/>
      <c r="G82" s="247"/>
      <c r="H82" s="252">
        <v>0</v>
      </c>
      <c r="I82" s="251">
        <v>0</v>
      </c>
      <c r="J82" s="196"/>
      <c r="K82" s="196"/>
    </row>
    <row r="83" spans="2:11">
      <c r="B83" s="247"/>
      <c r="C83" s="247"/>
      <c r="D83" s="247"/>
      <c r="E83" s="221" t="s">
        <v>237</v>
      </c>
      <c r="F83" s="253">
        <v>18</v>
      </c>
      <c r="G83" s="221" t="s">
        <v>196</v>
      </c>
      <c r="H83" s="254">
        <f>H81</f>
        <v>20886372.805447221</v>
      </c>
      <c r="I83" s="255">
        <f>I81+I82</f>
        <v>0.46685721207295972</v>
      </c>
      <c r="J83" s="196"/>
      <c r="K83" s="196"/>
    </row>
    <row r="84" spans="2:11">
      <c r="B84" s="247"/>
      <c r="C84" s="247"/>
      <c r="D84" s="247"/>
      <c r="E84" s="256" t="s">
        <v>238</v>
      </c>
      <c r="F84" s="256"/>
      <c r="G84" s="256"/>
      <c r="H84" s="256"/>
      <c r="I84" s="256"/>
      <c r="J84" s="196"/>
      <c r="K84" s="257">
        <f>H83/(H83+H90)</f>
        <v>0.57931262407156503</v>
      </c>
    </row>
    <row r="85" spans="2:11">
      <c r="B85" s="247"/>
      <c r="C85" s="247"/>
      <c r="D85" s="247"/>
      <c r="E85" s="247"/>
      <c r="F85" s="247"/>
      <c r="G85" s="247"/>
      <c r="H85" s="247"/>
      <c r="I85" s="247"/>
      <c r="J85" s="196"/>
      <c r="K85" s="196"/>
    </row>
    <row r="86" spans="2:11">
      <c r="B86" s="247"/>
      <c r="C86" s="247"/>
      <c r="D86" s="247"/>
      <c r="E86" s="247"/>
      <c r="F86" s="247"/>
      <c r="G86" s="247"/>
      <c r="H86" s="247"/>
      <c r="I86" s="247"/>
      <c r="J86" s="196"/>
      <c r="K86" s="196"/>
    </row>
    <row r="87" spans="2:11">
      <c r="B87" s="249">
        <v>45696</v>
      </c>
      <c r="C87" s="247" t="s">
        <v>239</v>
      </c>
      <c r="D87" s="247"/>
      <c r="E87" s="247" t="s">
        <v>235</v>
      </c>
      <c r="F87" s="216">
        <v>0.3</v>
      </c>
      <c r="G87" s="258">
        <f>G69</f>
        <v>29837675.436353177</v>
      </c>
      <c r="H87" s="250">
        <f>G87*F87</f>
        <v>8951302.6309059523</v>
      </c>
      <c r="I87" s="251">
        <f>H87/I59</f>
        <v>0.46685721207295972</v>
      </c>
      <c r="J87" s="196"/>
      <c r="K87" s="196"/>
    </row>
    <row r="88" spans="2:11">
      <c r="B88" s="246"/>
      <c r="C88" s="247"/>
      <c r="D88" s="247"/>
      <c r="E88" s="247" t="s">
        <v>236</v>
      </c>
      <c r="F88" s="247"/>
      <c r="G88" s="247"/>
      <c r="H88" s="252">
        <v>0</v>
      </c>
      <c r="I88" s="251">
        <v>0</v>
      </c>
      <c r="J88" s="196"/>
      <c r="K88" s="196"/>
    </row>
    <row r="89" spans="2:11">
      <c r="B89" s="246"/>
      <c r="C89" s="247"/>
      <c r="D89" s="247"/>
      <c r="E89" s="247" t="s">
        <v>240</v>
      </c>
      <c r="F89" s="247"/>
      <c r="G89" s="247"/>
      <c r="H89" s="259">
        <f>SUM(H94:H97)</f>
        <v>6216040.5325000007</v>
      </c>
      <c r="I89" s="247"/>
      <c r="J89" s="196"/>
      <c r="K89" s="196"/>
    </row>
    <row r="90" spans="2:11">
      <c r="B90" s="247"/>
      <c r="C90" s="247"/>
      <c r="D90" s="247"/>
      <c r="E90" s="221" t="s">
        <v>237</v>
      </c>
      <c r="F90" s="253">
        <v>18</v>
      </c>
      <c r="G90" s="221" t="s">
        <v>196</v>
      </c>
      <c r="H90" s="254">
        <f>H87+H88+H89</f>
        <v>15167343.163405953</v>
      </c>
      <c r="I90" s="255">
        <f>(H87+H88)/I59</f>
        <v>0.46685721207295972</v>
      </c>
      <c r="J90" s="196"/>
      <c r="K90" s="257">
        <f>H90/(H90+H83)</f>
        <v>0.42068737592843491</v>
      </c>
    </row>
    <row r="91" spans="2:11">
      <c r="B91" s="247"/>
      <c r="C91" s="247"/>
      <c r="D91" s="247"/>
      <c r="E91" s="256" t="s">
        <v>238</v>
      </c>
      <c r="F91" s="256"/>
      <c r="G91" s="256"/>
      <c r="H91" s="256"/>
      <c r="I91" s="256"/>
      <c r="J91" s="196"/>
      <c r="K91" s="196"/>
    </row>
    <row r="92" spans="2:11">
      <c r="B92" s="196"/>
      <c r="C92" s="196"/>
      <c r="D92" s="196"/>
      <c r="E92" s="196"/>
      <c r="F92" s="196"/>
      <c r="G92" s="196"/>
      <c r="H92" s="196"/>
      <c r="I92" s="196"/>
      <c r="J92" s="196"/>
      <c r="K92" s="196"/>
    </row>
    <row r="93" spans="2:11">
      <c r="B93" s="196"/>
      <c r="C93" s="196"/>
      <c r="D93" s="196"/>
      <c r="E93" s="196"/>
      <c r="F93" s="196"/>
      <c r="G93" s="196"/>
      <c r="H93" s="196"/>
      <c r="I93" s="196"/>
      <c r="J93" s="196"/>
      <c r="K93" s="196"/>
    </row>
    <row r="94" spans="2:11">
      <c r="B94" s="196"/>
      <c r="C94" s="196"/>
      <c r="D94" s="196"/>
      <c r="E94" s="247" t="str">
        <f>C9</f>
        <v>pre-acquisition analysis</v>
      </c>
      <c r="F94" s="247"/>
      <c r="G94" s="247"/>
      <c r="H94" s="260">
        <f t="shared" ref="H94:H95" si="2">I9</f>
        <v>250000</v>
      </c>
      <c r="I94" s="261"/>
      <c r="J94" s="196"/>
      <c r="K94" s="196"/>
    </row>
    <row r="95" spans="2:11">
      <c r="B95" s="196"/>
      <c r="C95" s="196"/>
      <c r="D95" s="196"/>
      <c r="E95" s="247" t="s">
        <v>241</v>
      </c>
      <c r="F95" s="247"/>
      <c r="G95" s="247"/>
      <c r="H95" s="260">
        <f t="shared" si="2"/>
        <v>1500000</v>
      </c>
      <c r="I95" s="261"/>
      <c r="J95" s="196"/>
      <c r="K95" s="196"/>
    </row>
    <row r="96" spans="2:11">
      <c r="B96" s="196"/>
      <c r="C96" s="196"/>
      <c r="D96" s="196"/>
      <c r="E96" s="247" t="s">
        <v>242</v>
      </c>
      <c r="F96" s="247"/>
      <c r="G96" s="247"/>
      <c r="H96" s="262">
        <f>I28</f>
        <v>2293080.5325000002</v>
      </c>
      <c r="I96" s="261"/>
      <c r="J96" s="196"/>
      <c r="K96" s="196"/>
    </row>
    <row r="97" spans="5:9">
      <c r="E97" s="247" t="s">
        <v>188</v>
      </c>
      <c r="F97" s="247"/>
      <c r="G97" s="247"/>
      <c r="H97" s="263">
        <f>I25</f>
        <v>2172960</v>
      </c>
      <c r="I97" s="261"/>
    </row>
    <row r="98" spans="5:9">
      <c r="E98" s="196"/>
      <c r="F98" s="196"/>
      <c r="G98" s="196"/>
      <c r="H98" s="196"/>
      <c r="I98" s="196"/>
    </row>
    <row r="99" spans="5:9">
      <c r="E99" s="196"/>
      <c r="F99" s="196"/>
      <c r="G99" s="196"/>
      <c r="H99" s="264">
        <f>SUM(H94:H97)</f>
        <v>6216040.5325000007</v>
      </c>
      <c r="I99" s="215">
        <f>H97/12</f>
        <v>181080</v>
      </c>
    </row>
  </sheetData>
  <mergeCells count="23">
    <mergeCell ref="B1:C1"/>
    <mergeCell ref="B3:D3"/>
    <mergeCell ref="C6:D6"/>
    <mergeCell ref="C7:F7"/>
    <mergeCell ref="C9:F9"/>
    <mergeCell ref="B12:C12"/>
    <mergeCell ref="C15:D15"/>
    <mergeCell ref="B19:C19"/>
    <mergeCell ref="C22:D22"/>
    <mergeCell ref="D23:E23"/>
    <mergeCell ref="C24:D24"/>
    <mergeCell ref="C27:E27"/>
    <mergeCell ref="C28:E28"/>
    <mergeCell ref="C32:E32"/>
    <mergeCell ref="C80:D80"/>
    <mergeCell ref="C81:D81"/>
    <mergeCell ref="B29:C29"/>
    <mergeCell ref="B44:C44"/>
    <mergeCell ref="C47:E47"/>
    <mergeCell ref="B53:C53"/>
    <mergeCell ref="C55:D55"/>
    <mergeCell ref="C58:D58"/>
    <mergeCell ref="C75:D7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63866-C429-49F3-ACD0-E62E4B3F8F9F}">
  <sheetPr>
    <outlinePr summaryBelow="0" summaryRight="0"/>
  </sheetPr>
  <dimension ref="B1:CF169"/>
  <sheetViews>
    <sheetView tabSelected="1" workbookViewId="0">
      <pane xSplit="3" ySplit="4" topLeftCell="AC29" activePane="bottomRight" state="frozen"/>
      <selection pane="topRight" activeCell="D1" sqref="D1"/>
      <selection pane="bottomLeft" activeCell="A5" sqref="A5"/>
      <selection pane="bottomRight" activeCell="CB26" sqref="CB26"/>
    </sheetView>
  </sheetViews>
  <sheetFormatPr baseColWidth="10" defaultColWidth="12.6640625" defaultRowHeight="15" customHeight="1" outlineLevelRow="1" outlineLevelCol="2"/>
  <cols>
    <col min="1" max="1" width="2.33203125" customWidth="1"/>
    <col min="2" max="2" width="9"/>
    <col min="3" max="3" width="40.1640625" customWidth="1"/>
    <col min="4" max="4" width="12.83203125" customWidth="1" outlineLevel="1"/>
    <col min="5" max="5" width="6.5" customWidth="1" outlineLevel="1"/>
    <col min="6" max="13" width="6.5" customWidth="1" outlineLevel="2"/>
    <col min="14" max="14" width="7.83203125" customWidth="1" outlineLevel="2"/>
    <col min="15" max="15" width="10.5" customWidth="1" outlineLevel="2"/>
    <col min="16" max="16" width="15.1640625" customWidth="1" outlineLevel="2"/>
    <col min="17" max="17" width="7.1640625" customWidth="1" outlineLevel="1"/>
    <col min="18" max="18" width="6.5" customWidth="1" outlineLevel="2"/>
    <col min="19" max="20" width="10.1640625" customWidth="1" outlineLevel="2"/>
    <col min="21" max="21" width="11.33203125" customWidth="1" outlineLevel="2"/>
    <col min="22" max="22" width="11" customWidth="1" outlineLevel="2"/>
    <col min="23" max="23" width="10.83203125" customWidth="1" outlineLevel="2"/>
    <col min="24" max="28" width="11.6640625" customWidth="1" outlineLevel="2"/>
    <col min="29" max="29" width="11.6640625" customWidth="1" outlineLevel="1"/>
    <col min="30" max="34" width="11.6640625" customWidth="1" outlineLevel="2"/>
    <col min="35" max="35" width="13.83203125" customWidth="1" outlineLevel="2"/>
    <col min="36" max="40" width="5.6640625" customWidth="1" outlineLevel="2"/>
    <col min="41" max="41" width="5.664062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7" max="77" width="14.5" customWidth="1"/>
    <col min="78" max="78" width="9.83203125" customWidth="1"/>
  </cols>
  <sheetData>
    <row r="1" spans="2:78">
      <c r="B1" s="266" t="s">
        <v>243</v>
      </c>
      <c r="C1" s="267" t="s">
        <v>244</v>
      </c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8"/>
      <c r="AD1" s="268"/>
      <c r="AE1" s="268"/>
      <c r="AF1" s="268"/>
      <c r="AG1" s="268"/>
      <c r="AH1" s="268"/>
      <c r="AI1" s="268"/>
      <c r="AJ1" s="268"/>
      <c r="AK1" s="268"/>
      <c r="AL1" s="268"/>
      <c r="AM1" s="268"/>
      <c r="AN1" s="268"/>
      <c r="AO1" s="268"/>
      <c r="AP1" s="268"/>
      <c r="AQ1" s="268"/>
      <c r="AR1" s="268"/>
      <c r="AS1" s="268"/>
      <c r="AT1" s="268"/>
      <c r="AU1" s="268"/>
      <c r="AV1" s="268"/>
      <c r="AW1" s="268"/>
      <c r="AX1" s="268"/>
      <c r="AY1" s="268"/>
      <c r="AZ1" s="268"/>
      <c r="BA1" s="268"/>
      <c r="BB1" s="268"/>
      <c r="BC1" s="268"/>
      <c r="BD1" s="268"/>
      <c r="BE1" s="268"/>
      <c r="BF1" s="268"/>
      <c r="BG1" s="268"/>
      <c r="BH1" s="268"/>
      <c r="BI1" s="268"/>
      <c r="BJ1" s="268"/>
      <c r="BK1" s="268"/>
      <c r="BL1" s="268"/>
      <c r="BM1" s="268"/>
      <c r="BN1" s="268"/>
      <c r="BO1" s="268"/>
      <c r="BP1" s="268"/>
      <c r="BQ1" s="268"/>
      <c r="BR1" s="268"/>
      <c r="BS1" s="268"/>
      <c r="BT1" s="268"/>
      <c r="BU1" s="268"/>
      <c r="BV1" s="268"/>
      <c r="BW1" s="268"/>
      <c r="BX1" s="268"/>
      <c r="BY1" s="268"/>
      <c r="BZ1" s="268"/>
    </row>
    <row r="2" spans="2:78">
      <c r="B2" s="639" t="s">
        <v>245</v>
      </c>
      <c r="C2" s="631"/>
      <c r="D2" s="470"/>
      <c r="E2" s="642">
        <v>45292</v>
      </c>
      <c r="F2" s="623"/>
      <c r="G2" s="623"/>
      <c r="H2" s="623"/>
      <c r="I2" s="623"/>
      <c r="J2" s="623"/>
      <c r="K2" s="623"/>
      <c r="L2" s="623"/>
      <c r="M2" s="623"/>
      <c r="N2" s="623"/>
      <c r="O2" s="623"/>
      <c r="P2" s="624"/>
      <c r="Q2" s="643">
        <v>2025</v>
      </c>
      <c r="R2" s="623"/>
      <c r="S2" s="623"/>
      <c r="T2" s="623"/>
      <c r="U2" s="623"/>
      <c r="V2" s="623"/>
      <c r="W2" s="623"/>
      <c r="X2" s="623"/>
      <c r="Y2" s="623"/>
      <c r="Z2" s="623"/>
      <c r="AA2" s="623"/>
      <c r="AB2" s="624"/>
      <c r="AC2" s="643">
        <v>2026</v>
      </c>
      <c r="AD2" s="623"/>
      <c r="AE2" s="623"/>
      <c r="AF2" s="623"/>
      <c r="AG2" s="623"/>
      <c r="AH2" s="623"/>
      <c r="AI2" s="623"/>
      <c r="AJ2" s="623"/>
      <c r="AK2" s="623"/>
      <c r="AL2" s="623"/>
      <c r="AM2" s="623"/>
      <c r="AN2" s="624"/>
      <c r="AO2" s="642">
        <v>46388</v>
      </c>
      <c r="AP2" s="623"/>
      <c r="AQ2" s="623"/>
      <c r="AR2" s="623"/>
      <c r="AS2" s="623"/>
      <c r="AT2" s="623"/>
      <c r="AU2" s="623"/>
      <c r="AV2" s="623"/>
      <c r="AW2" s="623"/>
      <c r="AX2" s="623"/>
      <c r="AY2" s="623"/>
      <c r="AZ2" s="624"/>
      <c r="BA2" s="642">
        <v>46753</v>
      </c>
      <c r="BB2" s="623"/>
      <c r="BC2" s="623"/>
      <c r="BD2" s="623"/>
      <c r="BE2" s="623"/>
      <c r="BF2" s="623"/>
      <c r="BG2" s="623"/>
      <c r="BH2" s="623"/>
      <c r="BI2" s="623"/>
      <c r="BJ2" s="623"/>
      <c r="BK2" s="623"/>
      <c r="BL2" s="624"/>
      <c r="BM2" s="642">
        <v>47119</v>
      </c>
      <c r="BN2" s="623"/>
      <c r="BO2" s="623"/>
      <c r="BP2" s="623"/>
      <c r="BQ2" s="623"/>
      <c r="BR2" s="623"/>
      <c r="BS2" s="623"/>
      <c r="BT2" s="623"/>
      <c r="BU2" s="623"/>
      <c r="BV2" s="623"/>
      <c r="BW2" s="623"/>
      <c r="BX2" s="624"/>
      <c r="BY2" s="644" t="s">
        <v>246</v>
      </c>
      <c r="BZ2" s="631"/>
    </row>
    <row r="3" spans="2:78">
      <c r="B3" s="640"/>
      <c r="C3" s="631"/>
      <c r="D3" s="470"/>
      <c r="E3" s="269" t="str">
        <f>IFERROR(VLOOKUP(TEXT(E4,"mm.yyyy"),HMG!$B$2:$C$1001, 2, FALSE),"")</f>
        <v>zapis KS</v>
      </c>
      <c r="F3" s="269" t="str">
        <f>IFERROR(VLOOKUP(TEXT(F4,"mm.yyyy"),HMG!$B$2:$C$1001, 2, FALSE),"")</f>
        <v/>
      </c>
      <c r="G3" s="269" t="str">
        <f>IFERROR(VLOOKUP(TEXT(G4,"mm.yyyy"),HMG!$B$2:$C$1001, 2, FALSE),"")</f>
        <v/>
      </c>
      <c r="H3" s="269" t="str">
        <f>IFERROR(VLOOKUP(TEXT(H4,"mm.yyyy"),HMG!$B$2:$C$1001, 2, FALSE),"")</f>
        <v/>
      </c>
      <c r="I3" s="269" t="str">
        <f>IFERROR(VLOOKUP(TEXT(I4,"mm.yyyy"),HMG!$B$2:$C$1001, 2, FALSE),"")</f>
        <v/>
      </c>
      <c r="J3" s="269" t="str">
        <f>IFERROR(VLOOKUP(TEXT(J4,"mm.yyyy"),HMG!$B$2:$C$1001, 2, FALSE),"")</f>
        <v/>
      </c>
      <c r="K3" s="269" t="str">
        <f>IFERROR(VLOOKUP(TEXT(K4,"mm.yyyy"),HMG!$B$2:$C$1001, 2, FALSE),"")</f>
        <v/>
      </c>
      <c r="L3" s="269" t="str">
        <f>IFERROR(VLOOKUP(TEXT(L4,"mm.yyyy"),HMG!$B$2:$C$1001, 2, FALSE),"")</f>
        <v/>
      </c>
      <c r="M3" s="269" t="str">
        <f>IFERROR(VLOOKUP(TEXT(M4,"mm.yyyy"),HMG!$B$2:$C$1001, 2, FALSE),"")</f>
        <v/>
      </c>
      <c r="N3" s="269" t="str">
        <f>IFERROR(VLOOKUP(TEXT(N4,"mm.yyyy"),HMG!$B$2:$C$1001, 2, FALSE),"")</f>
        <v/>
      </c>
      <c r="O3" s="269" t="str">
        <f>IFERROR(VLOOKUP(TEXT(O4,"mm.yyyy"),HMG!$B$2:$C$1001, 2, FALSE),"")</f>
        <v/>
      </c>
      <c r="P3" s="269" t="str">
        <f>IFERROR(VLOOKUP(TEXT(P4,"mm.yyyy"),HMG!$B$2:$C$1001, 2, FALSE),"")</f>
        <v/>
      </c>
      <c r="Q3" s="269" t="str">
        <f>IFERROR(VLOOKUP(TEXT(Q4,"mm.yyyy"),HMG!$B$2:$C$1001, 2, FALSE),"")</f>
        <v>zapis KS</v>
      </c>
      <c r="R3" s="269" t="str">
        <f>IFERROR(VLOOKUP(TEXT(R4,"mm.yyyy"),HMG!$B$2:$C$1001, 2, FALSE),"")</f>
        <v/>
      </c>
      <c r="S3" s="269" t="str">
        <f>IFERROR(VLOOKUP(TEXT(S4,"mm.yyyy"),HMG!$B$2:$C$1001, 2, FALSE),"")</f>
        <v/>
      </c>
      <c r="T3" s="269" t="str">
        <f>IFERROR(VLOOKUP(TEXT(T4,"mm.yyyy"),HMG!$B$2:$C$1001, 2, FALSE),"")</f>
        <v/>
      </c>
      <c r="U3" s="269" t="str">
        <f>IFERROR(VLOOKUP(TEXT(U4,"mm.yyyy"),HMG!$B$2:$C$1001, 2, FALSE),"")</f>
        <v/>
      </c>
      <c r="V3" s="269" t="str">
        <f>IFERROR(VLOOKUP(TEXT(V4,"mm.yyyy"),HMG!$B$2:$C$1001, 2, FALSE),"")</f>
        <v/>
      </c>
      <c r="W3" s="269" t="str">
        <f>IFERROR(VLOOKUP(TEXT(W4,"mm.yyyy"),HMG!$B$2:$C$1001, 2, FALSE),"")</f>
        <v/>
      </c>
      <c r="X3" s="269" t="str">
        <f>IFERROR(VLOOKUP(TEXT(X4,"mm.yyyy"),HMG!$B$2:$C$1001, 2, FALSE),"")</f>
        <v/>
      </c>
      <c r="Y3" s="269" t="str">
        <f>IFERROR(VLOOKUP(TEXT(Y4,"mm.yyyy"),HMG!$B$2:$C$1001, 2, FALSE),"")</f>
        <v/>
      </c>
      <c r="Z3" s="269" t="str">
        <f>IFERROR(VLOOKUP(TEXT(Z4,"mm.yyyy"),HMG!$B$2:$C$1001, 2, FALSE),"")</f>
        <v/>
      </c>
      <c r="AA3" s="269" t="str">
        <f>IFERROR(VLOOKUP(TEXT(AA4,"mm.yyyy"),HMG!$B$2:$C$1001, 2, FALSE),"")</f>
        <v/>
      </c>
      <c r="AB3" s="269" t="str">
        <f>IFERROR(VLOOKUP(TEXT(AB4,"mm.yyyy"),HMG!$B$2:$C$1001, 2, FALSE),"")</f>
        <v/>
      </c>
      <c r="AC3" s="269"/>
      <c r="AD3" s="269" t="str">
        <f>IFERROR(VLOOKUP(TEXT(AD4,"mm.yyyy"),HMG!$B$2:$C$1001, 2, FALSE),"")</f>
        <v/>
      </c>
      <c r="AE3" s="269" t="str">
        <f>IFERROR(VLOOKUP(TEXT(AE4,"mm.yyyy"),HMG!$B$2:$C$1001, 2, FALSE),"")</f>
        <v/>
      </c>
      <c r="AF3" s="269" t="str">
        <f>IFERROR(VLOOKUP(TEXT(AF4,"mm.yyyy"),HMG!$B$2:$C$1001, 2, FALSE),"")</f>
        <v/>
      </c>
      <c r="AG3" s="269" t="str">
        <f>IFERROR(VLOOKUP(TEXT(AG4,"mm.yyyy"),HMG!$B$2:$C$1001, 2, FALSE),"")</f>
        <v/>
      </c>
      <c r="AH3" s="269" t="str">
        <f>IFERROR(VLOOKUP(TEXT(AH4,"mm.yyyy"),HMG!$B$2:$C$1001, 2, FALSE),"")</f>
        <v/>
      </c>
      <c r="AI3" s="269" t="str">
        <f>IFERROR(VLOOKUP(TEXT(AI4,"mm.yyyy"),HMG!$B$2:$C$1001, 2, FALSE),"")</f>
        <v/>
      </c>
      <c r="AJ3" s="269" t="str">
        <f>IFERROR(VLOOKUP(TEXT(AJ4,"mm.yyyy"),HMG!$B$2:$C$1001, 2, FALSE),"")</f>
        <v/>
      </c>
      <c r="AK3" s="269" t="str">
        <f>IFERROR(VLOOKUP(TEXT(AK4,"mm.yyyy"),HMG!$B$2:$C$1001, 2, FALSE),"")</f>
        <v/>
      </c>
      <c r="AL3" s="269" t="str">
        <f>IFERROR(VLOOKUP(TEXT(AL4,"mm.yyyy"),HMG!$B$2:$C$1001, 2, FALSE),"")</f>
        <v/>
      </c>
      <c r="AM3" s="269" t="str">
        <f>IFERROR(VLOOKUP(TEXT(AM4,"mm.yyyy"),HMG!$B$2:$C$1001, 2, FALSE),"")</f>
        <v/>
      </c>
      <c r="AN3" s="269" t="str">
        <f>IFERROR(VLOOKUP(TEXT(AN4,"mm.yyyy"),HMG!$B$2:$C$1001, 2, FALSE),"")</f>
        <v/>
      </c>
      <c r="AO3" s="269" t="str">
        <f>IFERROR(VLOOKUP(TEXT(AO4,"mm.yyyy"),HMG!$B$2:$C$1001, 2, FALSE),"")</f>
        <v>zapis KS</v>
      </c>
      <c r="AP3" s="269" t="str">
        <f>IFERROR(VLOOKUP(TEXT(AP4,"mm.yyyy"),HMG!$B$2:$C$1001, 2, FALSE),"")</f>
        <v/>
      </c>
      <c r="AQ3" s="269" t="str">
        <f>IFERROR(VLOOKUP(TEXT(AQ4,"mm.yyyy"),HMG!$B$2:$C$1001, 2, FALSE),"")</f>
        <v/>
      </c>
      <c r="AR3" s="269" t="str">
        <f>IFERROR(VLOOKUP(TEXT(AR4,"mm.yyyy"),HMG!$B$2:$C$1001, 2, FALSE),"")</f>
        <v/>
      </c>
      <c r="AS3" s="269" t="str">
        <f>IFERROR(VLOOKUP(TEXT(AS4,"mm.yyyy"),HMG!$B$2:$C$1001, 2, FALSE),"")</f>
        <v/>
      </c>
      <c r="AT3" s="269" t="str">
        <f>IFERROR(VLOOKUP(TEXT(AT4,"mm.yyyy"),HMG!$B$2:$C$1001, 2, FALSE),"")</f>
        <v/>
      </c>
      <c r="AU3" s="269" t="str">
        <f>IFERROR(VLOOKUP(TEXT(AU4,"mm.yyyy"),HMG!$B$2:$C$1001, 2, FALSE),"")</f>
        <v/>
      </c>
      <c r="AV3" s="269" t="str">
        <f>IFERROR(VLOOKUP(TEXT(AV4,"mm.yyyy"),HMG!$B$2:$C$1001, 2, FALSE),"")</f>
        <v/>
      </c>
      <c r="AW3" s="269" t="str">
        <f>IFERROR(VLOOKUP(TEXT(AW4,"mm.yyyy"),HMG!$B$2:$C$1001, 2, FALSE),"")</f>
        <v/>
      </c>
      <c r="AX3" s="269" t="str">
        <f>IFERROR(VLOOKUP(TEXT(AX4,"mm.yyyy"),HMG!$B$2:$C$1001, 2, FALSE),"")</f>
        <v/>
      </c>
      <c r="AY3" s="269" t="str">
        <f>IFERROR(VLOOKUP(TEXT(AY4,"mm.yyyy"),HMG!$B$2:$C$1001, 2, FALSE),"")</f>
        <v/>
      </c>
      <c r="AZ3" s="269" t="str">
        <f>IFERROR(VLOOKUP(TEXT(AZ4,"mm.yyyy"),HMG!$B$2:$C$1001, 2, FALSE),"")</f>
        <v/>
      </c>
      <c r="BA3" s="269" t="str">
        <f>IFERROR(VLOOKUP(TEXT(BA4,"mm.yyyy"),HMG!$B$2:$C$1001, 2, FALSE),"")</f>
        <v>zapis KS</v>
      </c>
      <c r="BB3" s="269" t="str">
        <f>IFERROR(VLOOKUP(TEXT(BB4,"mm.yyyy"),HMG!$B$2:$C$1001, 2, FALSE),"")</f>
        <v/>
      </c>
      <c r="BC3" s="269" t="str">
        <f>IFERROR(VLOOKUP(TEXT(BC4,"mm.yyyy"),HMG!$B$2:$C$1001, 2, FALSE),"")</f>
        <v/>
      </c>
      <c r="BD3" s="269" t="str">
        <f>IFERROR(VLOOKUP(TEXT(BD4,"mm.yyyy"),HMG!$B$2:$C$1001, 2, FALSE),"")</f>
        <v/>
      </c>
      <c r="BE3" s="269" t="str">
        <f>IFERROR(VLOOKUP(TEXT(BE4,"mm.yyyy"),HMG!$B$2:$C$1001, 2, FALSE),"")</f>
        <v/>
      </c>
      <c r="BF3" s="269" t="str">
        <f>IFERROR(VLOOKUP(TEXT(BF4,"mm.yyyy"),HMG!$B$2:$C$1001, 2, FALSE),"")</f>
        <v/>
      </c>
      <c r="BG3" s="269" t="str">
        <f>IFERROR(VLOOKUP(TEXT(BG4,"mm.yyyy"),HMG!$B$2:$C$1001, 2, FALSE),"")</f>
        <v/>
      </c>
      <c r="BH3" s="269" t="str">
        <f>IFERROR(VLOOKUP(TEXT(BH4,"mm.yyyy"),HMG!$B$2:$C$1001, 2, FALSE),"")</f>
        <v/>
      </c>
      <c r="BI3" s="269" t="str">
        <f>IFERROR(VLOOKUP(TEXT(BI4,"mm.yyyy"),HMG!$B$2:$C$1001, 2, FALSE),"")</f>
        <v/>
      </c>
      <c r="BJ3" s="269" t="str">
        <f>IFERROR(VLOOKUP(TEXT(BJ4,"mm.yyyy"),HMG!$B$2:$C$1001, 2, FALSE),"")</f>
        <v/>
      </c>
      <c r="BK3" s="269" t="str">
        <f>IFERROR(VLOOKUP(TEXT(BK4,"mm.yyyy"),HMG!$B$2:$C$1001, 2, FALSE),"")</f>
        <v/>
      </c>
      <c r="BL3" s="269" t="str">
        <f>IFERROR(VLOOKUP(TEXT(BL4,"mm.yyyy"),HMG!$B$2:$C$1001, 2, FALSE),"")</f>
        <v/>
      </c>
      <c r="BM3" s="269" t="str">
        <f>IFERROR(VLOOKUP(TEXT(BM4,"mm.yyyy"),HMG!$B$2:$C$1001, 2, FALSE),"")</f>
        <v>zapis KS</v>
      </c>
      <c r="BN3" s="269" t="str">
        <f>IFERROR(VLOOKUP(TEXT(BN4,"mm.yyyy"),HMG!$B$2:$C$1001, 2, FALSE),"")</f>
        <v/>
      </c>
      <c r="BO3" s="269" t="str">
        <f>IFERROR(VLOOKUP(TEXT(BO4,"mm.yyyy"),HMG!$B$2:$C$1001, 2, FALSE),"")</f>
        <v/>
      </c>
      <c r="BP3" s="269" t="str">
        <f>IFERROR(VLOOKUP(TEXT(BP4,"mm.yyyy"),HMG!$B$2:$C$1001, 2, FALSE),"")</f>
        <v/>
      </c>
      <c r="BQ3" s="269" t="str">
        <f>IFERROR(VLOOKUP(TEXT(BQ4,"mm.yyyy"),HMG!$B$2:$C$1001, 2, FALSE),"")</f>
        <v/>
      </c>
      <c r="BR3" s="269" t="str">
        <f>IFERROR(VLOOKUP(TEXT(BR4,"mm.yyyy"),HMG!$B$2:$C$1001, 2, FALSE),"")</f>
        <v/>
      </c>
      <c r="BS3" s="269" t="str">
        <f>IFERROR(VLOOKUP(TEXT(BS4,"mm.yyyy"),HMG!$B$2:$C$1001, 2, FALSE),"")</f>
        <v/>
      </c>
      <c r="BT3" s="269" t="str">
        <f>IFERROR(VLOOKUP(TEXT(BT4,"mm.yyyy"),HMG!$B$2:$C$1001, 2, FALSE),"")</f>
        <v/>
      </c>
      <c r="BU3" s="269" t="str">
        <f>IFERROR(VLOOKUP(TEXT(BU4,"mm.yyyy"),HMG!$B$2:$C$1001, 2, FALSE),"")</f>
        <v/>
      </c>
      <c r="BV3" s="269" t="str">
        <f>IFERROR(VLOOKUP(TEXT(BV4,"mm.yyyy"),HMG!$B$2:$C$1001, 2, FALSE),"")</f>
        <v/>
      </c>
      <c r="BW3" s="269" t="str">
        <f>IFERROR(VLOOKUP(TEXT(BW4,"mm.yyyy"),HMG!$B$2:$C$1001, 2, FALSE),"")</f>
        <v/>
      </c>
      <c r="BX3" s="269" t="str">
        <f>IFERROR(VLOOKUP(TEXT(BX4,"mm.yyyy"),HMG!$B$2:$C$1001, 2, FALSE),"")</f>
        <v/>
      </c>
      <c r="BY3" s="640"/>
      <c r="BZ3" s="631"/>
    </row>
    <row r="4" spans="2:78">
      <c r="B4" s="641"/>
      <c r="C4" s="618"/>
      <c r="D4" s="503"/>
      <c r="E4" s="270">
        <v>45292</v>
      </c>
      <c r="F4" s="270">
        <v>45323</v>
      </c>
      <c r="G4" s="270">
        <v>45352</v>
      </c>
      <c r="H4" s="270">
        <v>45383</v>
      </c>
      <c r="I4" s="270">
        <v>45413</v>
      </c>
      <c r="J4" s="270">
        <v>45444</v>
      </c>
      <c r="K4" s="270">
        <v>45474</v>
      </c>
      <c r="L4" s="270">
        <v>45505</v>
      </c>
      <c r="M4" s="270">
        <v>45536</v>
      </c>
      <c r="N4" s="270">
        <v>45566</v>
      </c>
      <c r="O4" s="270">
        <v>45597</v>
      </c>
      <c r="P4" s="270">
        <v>45627</v>
      </c>
      <c r="Q4" s="270">
        <v>45658</v>
      </c>
      <c r="R4" s="270">
        <v>45689</v>
      </c>
      <c r="S4" s="270">
        <v>45717</v>
      </c>
      <c r="T4" s="270">
        <v>45748</v>
      </c>
      <c r="U4" s="270">
        <v>45778</v>
      </c>
      <c r="V4" s="270">
        <v>45809</v>
      </c>
      <c r="W4" s="270">
        <v>45839</v>
      </c>
      <c r="X4" s="270">
        <v>45870</v>
      </c>
      <c r="Y4" s="270">
        <v>45901</v>
      </c>
      <c r="Z4" s="270">
        <v>45931</v>
      </c>
      <c r="AA4" s="270">
        <v>45962</v>
      </c>
      <c r="AB4" s="270">
        <v>45992</v>
      </c>
      <c r="AC4" s="270">
        <v>46023</v>
      </c>
      <c r="AD4" s="270">
        <v>46054</v>
      </c>
      <c r="AE4" s="270">
        <v>46082</v>
      </c>
      <c r="AF4" s="270">
        <v>46113</v>
      </c>
      <c r="AG4" s="270">
        <v>46143</v>
      </c>
      <c r="AH4" s="270">
        <v>46174</v>
      </c>
      <c r="AI4" s="270">
        <v>46204</v>
      </c>
      <c r="AJ4" s="270">
        <v>46235</v>
      </c>
      <c r="AK4" s="270">
        <v>46266</v>
      </c>
      <c r="AL4" s="270">
        <v>46296</v>
      </c>
      <c r="AM4" s="270">
        <v>46327</v>
      </c>
      <c r="AN4" s="270">
        <v>46357</v>
      </c>
      <c r="AO4" s="270">
        <v>46388</v>
      </c>
      <c r="AP4" s="270">
        <v>46419</v>
      </c>
      <c r="AQ4" s="270">
        <v>46447</v>
      </c>
      <c r="AR4" s="270">
        <v>46478</v>
      </c>
      <c r="AS4" s="270">
        <v>46508</v>
      </c>
      <c r="AT4" s="270">
        <v>46539</v>
      </c>
      <c r="AU4" s="270">
        <v>46569</v>
      </c>
      <c r="AV4" s="270">
        <v>46600</v>
      </c>
      <c r="AW4" s="270">
        <v>46631</v>
      </c>
      <c r="AX4" s="270">
        <v>46661</v>
      </c>
      <c r="AY4" s="270">
        <v>46692</v>
      </c>
      <c r="AZ4" s="270">
        <v>46722</v>
      </c>
      <c r="BA4" s="270">
        <v>46753</v>
      </c>
      <c r="BB4" s="270">
        <v>46784</v>
      </c>
      <c r="BC4" s="270">
        <v>46813</v>
      </c>
      <c r="BD4" s="270">
        <v>46844</v>
      </c>
      <c r="BE4" s="270">
        <v>46874</v>
      </c>
      <c r="BF4" s="270">
        <v>46905</v>
      </c>
      <c r="BG4" s="270">
        <v>46935</v>
      </c>
      <c r="BH4" s="270">
        <v>46966</v>
      </c>
      <c r="BI4" s="270">
        <v>46997</v>
      </c>
      <c r="BJ4" s="270">
        <v>47027</v>
      </c>
      <c r="BK4" s="270">
        <v>47058</v>
      </c>
      <c r="BL4" s="270">
        <v>47088</v>
      </c>
      <c r="BM4" s="270">
        <v>47119</v>
      </c>
      <c r="BN4" s="270">
        <v>47150</v>
      </c>
      <c r="BO4" s="270">
        <v>47178</v>
      </c>
      <c r="BP4" s="270">
        <v>47209</v>
      </c>
      <c r="BQ4" s="270">
        <v>47239</v>
      </c>
      <c r="BR4" s="270">
        <v>47270</v>
      </c>
      <c r="BS4" s="270">
        <v>47300</v>
      </c>
      <c r="BT4" s="270">
        <v>47331</v>
      </c>
      <c r="BU4" s="270">
        <v>47362</v>
      </c>
      <c r="BV4" s="270">
        <v>47392</v>
      </c>
      <c r="BW4" s="270">
        <v>47423</v>
      </c>
      <c r="BX4" s="270">
        <v>47453</v>
      </c>
      <c r="BY4" s="641"/>
      <c r="BZ4" s="618"/>
    </row>
    <row r="5" spans="2:78">
      <c r="B5" s="628" t="s">
        <v>249</v>
      </c>
      <c r="C5" s="271" t="s">
        <v>250</v>
      </c>
      <c r="D5" s="272" t="s">
        <v>251</v>
      </c>
      <c r="E5" s="273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4"/>
      <c r="Z5" s="274"/>
      <c r="AA5" s="274"/>
      <c r="AB5" s="274"/>
      <c r="AC5" s="274"/>
      <c r="AD5" s="274"/>
      <c r="AE5" s="274"/>
      <c r="AF5" s="274"/>
      <c r="AG5" s="274"/>
      <c r="AH5" s="274"/>
      <c r="AI5" s="274"/>
      <c r="AJ5" s="274"/>
      <c r="AK5" s="274"/>
      <c r="AL5" s="274"/>
      <c r="AM5" s="274"/>
      <c r="AN5" s="274"/>
      <c r="AO5" s="274"/>
      <c r="AP5" s="274"/>
      <c r="AQ5" s="274"/>
      <c r="AR5" s="274"/>
      <c r="AS5" s="274"/>
      <c r="AT5" s="274"/>
      <c r="AU5" s="274"/>
      <c r="AV5" s="274"/>
      <c r="AW5" s="274"/>
      <c r="AX5" s="274"/>
      <c r="AY5" s="274"/>
      <c r="AZ5" s="274"/>
      <c r="BA5" s="274"/>
      <c r="BB5" s="274"/>
      <c r="BC5" s="274"/>
      <c r="BD5" s="274"/>
      <c r="BE5" s="274"/>
      <c r="BF5" s="274"/>
      <c r="BG5" s="274"/>
      <c r="BH5" s="274"/>
      <c r="BI5" s="274"/>
      <c r="BJ5" s="274"/>
      <c r="BK5" s="274"/>
      <c r="BL5" s="274"/>
      <c r="BM5" s="274"/>
      <c r="BN5" s="274"/>
      <c r="BO5" s="274"/>
      <c r="BP5" s="274"/>
      <c r="BQ5" s="274"/>
      <c r="BR5" s="274"/>
      <c r="BS5" s="274"/>
      <c r="BT5" s="274"/>
      <c r="BU5" s="274"/>
      <c r="BV5" s="274"/>
      <c r="BW5" s="274"/>
      <c r="BX5" s="275"/>
      <c r="BY5" s="276">
        <f t="shared" ref="BY5:BY16" si="0">SUM(E5:BX5)</f>
        <v>0</v>
      </c>
      <c r="BZ5" s="630">
        <f>SUM(BY5:BY8)</f>
        <v>55311880</v>
      </c>
    </row>
    <row r="6" spans="2:78">
      <c r="B6" s="629"/>
      <c r="C6" s="504" t="s">
        <v>252</v>
      </c>
      <c r="D6" s="272" t="s">
        <v>251</v>
      </c>
      <c r="E6" s="274"/>
      <c r="F6" s="274"/>
      <c r="G6" s="274"/>
      <c r="H6" s="274"/>
      <c r="I6" s="274"/>
      <c r="J6" s="274"/>
      <c r="K6" s="274"/>
      <c r="L6" s="274"/>
      <c r="M6" s="274"/>
      <c r="N6" s="274"/>
      <c r="O6" s="274"/>
      <c r="P6" s="274"/>
      <c r="Q6" s="274"/>
      <c r="R6" s="274"/>
      <c r="S6" s="274"/>
      <c r="T6" s="274"/>
      <c r="U6" s="274">
        <v>25000000</v>
      </c>
      <c r="V6" s="274">
        <v>6500000</v>
      </c>
      <c r="W6" s="274">
        <f>11000+89830+611050</f>
        <v>711880</v>
      </c>
      <c r="X6" s="274"/>
      <c r="Y6" s="274"/>
      <c r="Z6" s="274">
        <f>6500000+4500000</f>
        <v>11000000</v>
      </c>
      <c r="AA6" s="274">
        <v>7000000</v>
      </c>
      <c r="AB6" s="274">
        <v>500000</v>
      </c>
      <c r="AC6" s="274">
        <v>150000</v>
      </c>
      <c r="AD6" s="274">
        <v>200000</v>
      </c>
      <c r="AE6" s="274"/>
      <c r="AF6" s="274"/>
      <c r="AG6" s="274"/>
      <c r="AH6" s="274"/>
      <c r="AI6" s="274"/>
      <c r="AJ6" s="274"/>
      <c r="AK6" s="274"/>
      <c r="AL6" s="274"/>
      <c r="AM6" s="274"/>
      <c r="AN6" s="274"/>
      <c r="AO6" s="274"/>
      <c r="AP6" s="274"/>
      <c r="AQ6" s="274"/>
      <c r="AR6" s="274"/>
      <c r="AS6" s="274"/>
      <c r="AT6" s="274"/>
      <c r="AU6" s="274"/>
      <c r="AV6" s="274"/>
      <c r="AW6" s="274"/>
      <c r="AX6" s="274"/>
      <c r="AY6" s="274"/>
      <c r="AZ6" s="274"/>
      <c r="BA6" s="274"/>
      <c r="BB6" s="274"/>
      <c r="BC6" s="274"/>
      <c r="BD6" s="274"/>
      <c r="BE6" s="274"/>
      <c r="BF6" s="274"/>
      <c r="BG6" s="274"/>
      <c r="BH6" s="274"/>
      <c r="BI6" s="274"/>
      <c r="BJ6" s="274"/>
      <c r="BK6" s="274"/>
      <c r="BL6" s="274"/>
      <c r="BM6" s="274"/>
      <c r="BN6" s="274"/>
      <c r="BO6" s="274"/>
      <c r="BP6" s="274"/>
      <c r="BQ6" s="274"/>
      <c r="BR6" s="274"/>
      <c r="BS6" s="274"/>
      <c r="BT6" s="274"/>
      <c r="BU6" s="274"/>
      <c r="BV6" s="274"/>
      <c r="BW6" s="274"/>
      <c r="BX6" s="271"/>
      <c r="BY6" s="276">
        <f t="shared" si="0"/>
        <v>51061880</v>
      </c>
      <c r="BZ6" s="631"/>
    </row>
    <row r="7" spans="2:78">
      <c r="B7" s="629"/>
      <c r="C7" s="504" t="s">
        <v>253</v>
      </c>
      <c r="D7" s="272" t="s">
        <v>251</v>
      </c>
      <c r="E7" s="274"/>
      <c r="F7" s="274"/>
      <c r="G7" s="274"/>
      <c r="H7" s="274"/>
      <c r="I7" s="274"/>
      <c r="J7" s="274"/>
      <c r="K7" s="274"/>
      <c r="L7" s="274"/>
      <c r="M7" s="274"/>
      <c r="N7" s="274"/>
      <c r="O7" s="274"/>
      <c r="P7" s="274"/>
      <c r="Q7" s="274"/>
      <c r="R7" s="274"/>
      <c r="S7" s="274"/>
      <c r="T7" s="274"/>
      <c r="U7" s="274"/>
      <c r="V7" s="274"/>
      <c r="W7" s="274"/>
      <c r="X7" s="274"/>
      <c r="Y7" s="274"/>
      <c r="Z7" s="274"/>
      <c r="AA7" s="274"/>
      <c r="AB7" s="274"/>
      <c r="AC7" s="274"/>
      <c r="AD7" s="274"/>
      <c r="AE7" s="274"/>
      <c r="AF7" s="274"/>
      <c r="AG7" s="274"/>
      <c r="AH7" s="274"/>
      <c r="AI7" s="274"/>
      <c r="AJ7" s="274"/>
      <c r="AK7" s="274"/>
      <c r="AL7" s="274"/>
      <c r="AM7" s="274"/>
      <c r="AN7" s="274"/>
      <c r="AO7" s="274"/>
      <c r="AP7" s="274"/>
      <c r="AQ7" s="274"/>
      <c r="AR7" s="274"/>
      <c r="AS7" s="274"/>
      <c r="AT7" s="274"/>
      <c r="AU7" s="274"/>
      <c r="AV7" s="274"/>
      <c r="AW7" s="274"/>
      <c r="AX7" s="274"/>
      <c r="AY7" s="274"/>
      <c r="AZ7" s="274"/>
      <c r="BA7" s="274"/>
      <c r="BB7" s="274"/>
      <c r="BC7" s="274"/>
      <c r="BD7" s="274"/>
      <c r="BE7" s="274"/>
      <c r="BF7" s="274"/>
      <c r="BG7" s="274"/>
      <c r="BH7" s="274"/>
      <c r="BI7" s="274"/>
      <c r="BJ7" s="274"/>
      <c r="BK7" s="274"/>
      <c r="BL7" s="274"/>
      <c r="BM7" s="274"/>
      <c r="BN7" s="274"/>
      <c r="BO7" s="274"/>
      <c r="BP7" s="274"/>
      <c r="BQ7" s="274"/>
      <c r="BR7" s="274"/>
      <c r="BS7" s="274"/>
      <c r="BT7" s="274"/>
      <c r="BU7" s="274"/>
      <c r="BV7" s="274"/>
      <c r="BW7" s="274"/>
      <c r="BX7" s="271"/>
      <c r="BY7" s="276">
        <f t="shared" si="0"/>
        <v>0</v>
      </c>
      <c r="BZ7" s="631"/>
    </row>
    <row r="8" spans="2:78">
      <c r="B8" s="627"/>
      <c r="C8" s="504" t="s">
        <v>254</v>
      </c>
      <c r="D8" s="505" t="s">
        <v>251</v>
      </c>
      <c r="E8" s="277"/>
      <c r="F8" s="277"/>
      <c r="G8" s="277"/>
      <c r="H8" s="277"/>
      <c r="I8" s="277"/>
      <c r="J8" s="277"/>
      <c r="K8" s="277"/>
      <c r="L8" s="277"/>
      <c r="M8" s="277"/>
      <c r="N8" s="277"/>
      <c r="O8" s="277"/>
      <c r="P8" s="277"/>
      <c r="Q8" s="277"/>
      <c r="R8" s="277"/>
      <c r="S8" s="277"/>
      <c r="T8" s="277"/>
      <c r="U8" s="277"/>
      <c r="V8" s="277"/>
      <c r="W8" s="277"/>
      <c r="X8" s="277"/>
      <c r="Y8" s="277">
        <v>220000</v>
      </c>
      <c r="Z8" s="277">
        <v>830000</v>
      </c>
      <c r="AA8" s="277"/>
      <c r="AB8" s="277"/>
      <c r="AC8" s="277"/>
      <c r="AD8" s="277"/>
      <c r="AE8" s="277"/>
      <c r="AF8" s="277"/>
      <c r="AG8" s="277">
        <v>100000</v>
      </c>
      <c r="AH8" s="277">
        <v>3100000</v>
      </c>
      <c r="AI8" s="277"/>
      <c r="AJ8" s="277"/>
      <c r="AK8" s="277"/>
      <c r="AL8" s="277"/>
      <c r="AM8" s="277"/>
      <c r="AN8" s="277"/>
      <c r="AO8" s="277"/>
      <c r="AP8" s="277"/>
      <c r="AQ8" s="277"/>
      <c r="AR8" s="277"/>
      <c r="AS8" s="277"/>
      <c r="AT8" s="277"/>
      <c r="AU8" s="277"/>
      <c r="AV8" s="277"/>
      <c r="AW8" s="277"/>
      <c r="AX8" s="277"/>
      <c r="AY8" s="277"/>
      <c r="AZ8" s="277"/>
      <c r="BA8" s="277"/>
      <c r="BB8" s="277"/>
      <c r="BC8" s="277"/>
      <c r="BD8" s="277"/>
      <c r="BE8" s="277"/>
      <c r="BF8" s="277"/>
      <c r="BG8" s="277"/>
      <c r="BH8" s="277"/>
      <c r="BI8" s="277"/>
      <c r="BJ8" s="277"/>
      <c r="BK8" s="277"/>
      <c r="BL8" s="277"/>
      <c r="BM8" s="277"/>
      <c r="BN8" s="277"/>
      <c r="BO8" s="277"/>
      <c r="BP8" s="277"/>
      <c r="BQ8" s="277"/>
      <c r="BR8" s="277"/>
      <c r="BS8" s="277"/>
      <c r="BT8" s="277"/>
      <c r="BU8" s="277"/>
      <c r="BV8" s="277"/>
      <c r="BW8" s="277"/>
      <c r="BX8" s="504"/>
      <c r="BY8" s="506">
        <f t="shared" si="0"/>
        <v>4250000</v>
      </c>
      <c r="BZ8" s="618"/>
    </row>
    <row r="9" spans="2:78">
      <c r="B9" s="628" t="s">
        <v>255</v>
      </c>
      <c r="C9" s="275" t="s">
        <v>256</v>
      </c>
      <c r="D9" s="272" t="s">
        <v>251</v>
      </c>
      <c r="E9" s="273"/>
      <c r="F9" s="273"/>
      <c r="G9" s="273"/>
      <c r="H9" s="273"/>
      <c r="I9" s="273"/>
      <c r="J9" s="273"/>
      <c r="K9" s="273"/>
      <c r="L9" s="273"/>
      <c r="M9" s="273"/>
      <c r="N9" s="273"/>
      <c r="O9" s="273"/>
      <c r="P9" s="273"/>
      <c r="Q9" s="273"/>
      <c r="R9" s="273"/>
      <c r="S9" s="273"/>
      <c r="T9" s="273"/>
      <c r="U9" s="273"/>
      <c r="V9" s="273"/>
      <c r="W9" s="273"/>
      <c r="X9" s="273"/>
      <c r="Y9" s="273"/>
      <c r="Z9" s="273"/>
      <c r="AA9" s="273"/>
      <c r="AB9" s="273"/>
      <c r="AC9" s="273"/>
      <c r="AD9" s="273"/>
      <c r="AE9" s="273"/>
      <c r="AF9" s="273"/>
      <c r="AG9" s="273"/>
      <c r="AH9" s="273"/>
      <c r="AI9" s="273"/>
      <c r="AJ9" s="273"/>
      <c r="AK9" s="273"/>
      <c r="AL9" s="273"/>
      <c r="AM9" s="273"/>
      <c r="AN9" s="273"/>
      <c r="AO9" s="273"/>
      <c r="AP9" s="273"/>
      <c r="AQ9" s="273"/>
      <c r="AR9" s="273"/>
      <c r="AS9" s="273"/>
      <c r="AT9" s="273"/>
      <c r="AU9" s="273"/>
      <c r="AV9" s="273"/>
      <c r="AW9" s="273"/>
      <c r="AX9" s="273"/>
      <c r="AY9" s="273"/>
      <c r="AZ9" s="273"/>
      <c r="BA9" s="273"/>
      <c r="BB9" s="273"/>
      <c r="BC9" s="273"/>
      <c r="BD9" s="273"/>
      <c r="BE9" s="273"/>
      <c r="BF9" s="273"/>
      <c r="BG9" s="273"/>
      <c r="BH9" s="273"/>
      <c r="BI9" s="273"/>
      <c r="BJ9" s="273"/>
      <c r="BK9" s="273"/>
      <c r="BL9" s="273"/>
      <c r="BM9" s="273"/>
      <c r="BN9" s="273"/>
      <c r="BO9" s="273"/>
      <c r="BP9" s="273"/>
      <c r="BQ9" s="273"/>
      <c r="BR9" s="273"/>
      <c r="BS9" s="273"/>
      <c r="BT9" s="273"/>
      <c r="BU9" s="273"/>
      <c r="BV9" s="273"/>
      <c r="BW9" s="273"/>
      <c r="BX9" s="275"/>
      <c r="BY9" s="276">
        <f t="shared" si="0"/>
        <v>0</v>
      </c>
      <c r="BZ9" s="630">
        <f>SUM(BY9:BY11)</f>
        <v>94304105.299167499</v>
      </c>
    </row>
    <row r="10" spans="2:78">
      <c r="B10" s="629"/>
      <c r="C10" s="275" t="s">
        <v>257</v>
      </c>
      <c r="D10" s="272" t="s">
        <v>251</v>
      </c>
      <c r="E10" s="274"/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4"/>
      <c r="U10" s="274">
        <f t="shared" ref="U10:AH10" si="1">-U61</f>
        <v>0</v>
      </c>
      <c r="V10" s="274">
        <f t="shared" si="1"/>
        <v>0</v>
      </c>
      <c r="W10" s="274">
        <f t="shared" si="1"/>
        <v>0</v>
      </c>
      <c r="X10" s="274">
        <f t="shared" si="1"/>
        <v>0</v>
      </c>
      <c r="Y10" s="274">
        <f t="shared" si="1"/>
        <v>0</v>
      </c>
      <c r="Z10" s="274">
        <f t="shared" si="1"/>
        <v>0</v>
      </c>
      <c r="AA10" s="274">
        <f t="shared" si="1"/>
        <v>0</v>
      </c>
      <c r="AB10" s="274"/>
      <c r="AC10" s="274">
        <f t="shared" si="1"/>
        <v>100563.4017375</v>
      </c>
      <c r="AD10" s="274">
        <f t="shared" si="1"/>
        <v>152869.63298749999</v>
      </c>
      <c r="AE10" s="274">
        <f t="shared" si="1"/>
        <v>200813.04473749999</v>
      </c>
      <c r="AF10" s="274">
        <f t="shared" si="1"/>
        <v>0</v>
      </c>
      <c r="AG10" s="274">
        <f t="shared" si="1"/>
        <v>458825.22646999994</v>
      </c>
      <c r="AH10" s="274">
        <f t="shared" si="1"/>
        <v>302537.613235</v>
      </c>
      <c r="AI10" s="274"/>
      <c r="AJ10" s="274"/>
      <c r="AK10" s="274"/>
      <c r="AL10" s="274"/>
      <c r="AM10" s="274"/>
      <c r="AN10" s="274"/>
      <c r="AO10" s="274"/>
      <c r="AP10" s="274"/>
      <c r="AQ10" s="274"/>
      <c r="AR10" s="274"/>
      <c r="AS10" s="274"/>
      <c r="AT10" s="274"/>
      <c r="AU10" s="274"/>
      <c r="AV10" s="274"/>
      <c r="AW10" s="274"/>
      <c r="AX10" s="274"/>
      <c r="AY10" s="274"/>
      <c r="AZ10" s="274"/>
      <c r="BA10" s="274"/>
      <c r="BB10" s="274"/>
      <c r="BC10" s="274"/>
      <c r="BD10" s="274"/>
      <c r="BE10" s="274"/>
      <c r="BF10" s="274"/>
      <c r="BG10" s="274"/>
      <c r="BH10" s="274"/>
      <c r="BI10" s="274"/>
      <c r="BJ10" s="274"/>
      <c r="BK10" s="274"/>
      <c r="BL10" s="274"/>
      <c r="BM10" s="274"/>
      <c r="BN10" s="274"/>
      <c r="BO10" s="274"/>
      <c r="BP10" s="274"/>
      <c r="BQ10" s="274"/>
      <c r="BR10" s="274"/>
      <c r="BS10" s="274"/>
      <c r="BT10" s="274"/>
      <c r="BU10" s="274"/>
      <c r="BV10" s="274"/>
      <c r="BW10" s="274"/>
      <c r="BX10" s="271"/>
      <c r="BY10" s="276">
        <f t="shared" si="0"/>
        <v>1215608.9191675</v>
      </c>
      <c r="BZ10" s="631"/>
    </row>
    <row r="11" spans="2:78">
      <c r="B11" s="624"/>
      <c r="C11" s="504" t="s">
        <v>258</v>
      </c>
      <c r="D11" s="505" t="s">
        <v>251</v>
      </c>
      <c r="E11" s="277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P11" s="277"/>
      <c r="Q11" s="277"/>
      <c r="R11" s="277"/>
      <c r="S11" s="277"/>
      <c r="T11" s="277"/>
      <c r="U11" s="277"/>
      <c r="V11" s="277"/>
      <c r="W11" s="277"/>
      <c r="X11" s="277"/>
      <c r="Y11" s="278"/>
      <c r="Z11" s="278"/>
      <c r="AA11" s="278"/>
      <c r="AB11" s="278">
        <v>17746855.149999999</v>
      </c>
      <c r="AC11" s="278">
        <v>13195730</v>
      </c>
      <c r="AD11" s="278">
        <f>15194225+900000</f>
        <v>16094225</v>
      </c>
      <c r="AE11" s="278">
        <v>14751819</v>
      </c>
      <c r="AF11" s="278">
        <v>6099867.2300000004</v>
      </c>
      <c r="AG11" s="278">
        <v>2700000</v>
      </c>
      <c r="AH11" s="278">
        <v>22500000</v>
      </c>
      <c r="AI11" s="278"/>
      <c r="AJ11" s="277"/>
      <c r="AK11" s="277"/>
      <c r="AL11" s="277"/>
      <c r="AM11" s="277"/>
      <c r="AN11" s="277"/>
      <c r="AO11" s="279"/>
      <c r="AP11" s="277"/>
      <c r="AQ11" s="277"/>
      <c r="AR11" s="277"/>
      <c r="AS11" s="277"/>
      <c r="AT11" s="277"/>
      <c r="AU11" s="277"/>
      <c r="AV11" s="277"/>
      <c r="AW11" s="277"/>
      <c r="AX11" s="277"/>
      <c r="AY11" s="277"/>
      <c r="AZ11" s="277"/>
      <c r="BA11" s="277"/>
      <c r="BB11" s="277"/>
      <c r="BC11" s="277"/>
      <c r="BD11" s="277"/>
      <c r="BE11" s="277"/>
      <c r="BF11" s="277"/>
      <c r="BG11" s="277"/>
      <c r="BH11" s="277"/>
      <c r="BI11" s="277"/>
      <c r="BJ11" s="277"/>
      <c r="BK11" s="277"/>
      <c r="BL11" s="277"/>
      <c r="BM11" s="277"/>
      <c r="BN11" s="277"/>
      <c r="BO11" s="277"/>
      <c r="BP11" s="277"/>
      <c r="BQ11" s="277"/>
      <c r="BR11" s="277"/>
      <c r="BS11" s="277"/>
      <c r="BT11" s="277"/>
      <c r="BU11" s="277"/>
      <c r="BV11" s="277"/>
      <c r="BW11" s="277"/>
      <c r="BX11" s="504"/>
      <c r="BY11" s="506">
        <f t="shared" si="0"/>
        <v>93088496.379999995</v>
      </c>
      <c r="BZ11" s="632"/>
    </row>
    <row r="12" spans="2:78">
      <c r="B12" s="628" t="s">
        <v>259</v>
      </c>
      <c r="C12" s="271" t="s">
        <v>260</v>
      </c>
      <c r="D12" s="272" t="s">
        <v>251</v>
      </c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  <c r="U12" s="273"/>
      <c r="V12" s="273"/>
      <c r="W12" s="273"/>
      <c r="X12" s="273"/>
      <c r="Y12" s="273"/>
      <c r="Z12" s="273"/>
      <c r="AA12" s="273"/>
      <c r="AB12" s="273"/>
      <c r="AC12" s="273"/>
      <c r="AD12" s="273"/>
      <c r="AE12" s="273"/>
      <c r="AF12" s="273"/>
      <c r="AG12" s="273"/>
      <c r="AH12" s="273"/>
      <c r="AI12" s="273">
        <f>Rentroll!$K$13</f>
        <v>1115107.9741666666</v>
      </c>
      <c r="AJ12" s="273"/>
      <c r="AK12" s="273"/>
      <c r="AL12" s="273"/>
      <c r="AM12" s="273"/>
      <c r="AN12" s="273"/>
      <c r="AO12" s="273"/>
      <c r="AP12" s="273"/>
      <c r="AQ12" s="273"/>
      <c r="AR12" s="273"/>
      <c r="AS12" s="273"/>
      <c r="AT12" s="273"/>
      <c r="AU12" s="273"/>
      <c r="AV12" s="273"/>
      <c r="AW12" s="273"/>
      <c r="AX12" s="273"/>
      <c r="AY12" s="273"/>
      <c r="AZ12" s="273"/>
      <c r="BA12" s="273"/>
      <c r="BB12" s="273"/>
      <c r="BC12" s="273"/>
      <c r="BD12" s="273"/>
      <c r="BE12" s="273"/>
      <c r="BF12" s="273"/>
      <c r="BG12" s="273"/>
      <c r="BH12" s="273"/>
      <c r="BI12" s="273"/>
      <c r="BJ12" s="273"/>
      <c r="BK12" s="273"/>
      <c r="BL12" s="273"/>
      <c r="BM12" s="273"/>
      <c r="BN12" s="273"/>
      <c r="BO12" s="273"/>
      <c r="BP12" s="273"/>
      <c r="BQ12" s="273"/>
      <c r="BR12" s="273"/>
      <c r="BS12" s="273"/>
      <c r="BT12" s="273"/>
      <c r="BU12" s="273"/>
      <c r="BV12" s="273"/>
      <c r="BW12" s="273"/>
      <c r="BX12" s="275"/>
      <c r="BY12" s="276">
        <f t="shared" si="0"/>
        <v>1115107.9741666666</v>
      </c>
      <c r="BZ12" s="630">
        <f>SUM(BY12:BY16)</f>
        <v>195204993.85672861</v>
      </c>
    </row>
    <row r="13" spans="2:78">
      <c r="B13" s="629"/>
      <c r="C13" s="271" t="s">
        <v>261</v>
      </c>
      <c r="D13" s="272" t="s">
        <v>251</v>
      </c>
      <c r="E13" s="273"/>
      <c r="F13" s="273"/>
      <c r="G13" s="273"/>
      <c r="H13" s="273"/>
      <c r="I13" s="273"/>
      <c r="J13" s="273"/>
      <c r="K13" s="273"/>
      <c r="L13" s="273"/>
      <c r="M13" s="273"/>
      <c r="N13" s="273"/>
      <c r="O13" s="273"/>
      <c r="P13" s="273"/>
      <c r="Q13" s="273"/>
      <c r="R13" s="273"/>
      <c r="S13" s="273"/>
      <c r="T13" s="273"/>
      <c r="U13" s="273"/>
      <c r="V13" s="273"/>
      <c r="W13" s="273"/>
      <c r="X13" s="273"/>
      <c r="Y13" s="273"/>
      <c r="Z13" s="273"/>
      <c r="AA13" s="273"/>
      <c r="AB13" s="273"/>
      <c r="AC13" s="273"/>
      <c r="AD13" s="273"/>
      <c r="AE13" s="273"/>
      <c r="AF13" s="273"/>
      <c r="AG13" s="273"/>
      <c r="AH13" s="273"/>
      <c r="AI13" s="273">
        <f>Businessplan_prodej!$J$32</f>
        <v>195671268.99999997</v>
      </c>
      <c r="AJ13" s="273"/>
      <c r="AK13" s="273"/>
      <c r="AL13" s="273"/>
      <c r="AM13" s="273"/>
      <c r="AN13" s="603"/>
      <c r="AO13" s="273"/>
      <c r="AP13" s="273"/>
      <c r="AQ13" s="273"/>
      <c r="AR13" s="273"/>
      <c r="AS13" s="273"/>
      <c r="AT13" s="273"/>
      <c r="AU13" s="273"/>
      <c r="AV13" s="273"/>
      <c r="AW13" s="273"/>
      <c r="AX13" s="273"/>
      <c r="AY13" s="273"/>
      <c r="AZ13" s="273"/>
      <c r="BA13" s="273"/>
      <c r="BB13" s="273"/>
      <c r="BC13" s="273"/>
      <c r="BD13" s="273"/>
      <c r="BE13" s="273"/>
      <c r="BF13" s="273"/>
      <c r="BG13" s="273"/>
      <c r="BH13" s="273"/>
      <c r="BI13" s="273"/>
      <c r="BJ13" s="273"/>
      <c r="BK13" s="273"/>
      <c r="BL13" s="273"/>
      <c r="BM13" s="273"/>
      <c r="BN13" s="273"/>
      <c r="BO13" s="273"/>
      <c r="BP13" s="273"/>
      <c r="BQ13" s="273"/>
      <c r="BR13" s="273"/>
      <c r="BS13" s="273"/>
      <c r="BT13" s="273"/>
      <c r="BU13" s="273"/>
      <c r="BV13" s="273"/>
      <c r="BW13" s="273"/>
      <c r="BX13" s="275"/>
      <c r="BY13" s="276">
        <f t="shared" si="0"/>
        <v>195671268.99999997</v>
      </c>
      <c r="BZ13" s="631"/>
    </row>
    <row r="14" spans="2:78">
      <c r="B14" s="629"/>
      <c r="C14" s="271" t="s">
        <v>10</v>
      </c>
      <c r="D14" s="272" t="s">
        <v>251</v>
      </c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4"/>
      <c r="P14" s="274"/>
      <c r="Q14" s="274"/>
      <c r="R14" s="274"/>
      <c r="S14" s="274"/>
      <c r="T14" s="274"/>
      <c r="U14" s="274"/>
      <c r="V14" s="274">
        <f>-U15</f>
        <v>4026302.2314049602</v>
      </c>
      <c r="W14" s="274"/>
      <c r="X14" s="274"/>
      <c r="Y14" s="274"/>
      <c r="Z14" s="274">
        <v>53080</v>
      </c>
      <c r="AA14" s="274">
        <v>105726</v>
      </c>
      <c r="AB14" s="274">
        <v>81707</v>
      </c>
      <c r="AC14" s="274">
        <f t="shared" ref="AC14:AH14" si="2">-AA15</f>
        <v>56495.25</v>
      </c>
      <c r="AD14" s="274">
        <f>200267+149084</f>
        <v>349351</v>
      </c>
      <c r="AE14" s="274">
        <v>166938</v>
      </c>
      <c r="AF14" s="274">
        <v>100187</v>
      </c>
      <c r="AG14" s="274">
        <f t="shared" si="2"/>
        <v>280219.45289256191</v>
      </c>
      <c r="AH14" s="274">
        <f t="shared" si="2"/>
        <v>261159.26280991733</v>
      </c>
      <c r="AI14" s="274">
        <f>-AG15-AH15-AI15</f>
        <v>696006.89067160187</v>
      </c>
      <c r="AJ14" s="274"/>
      <c r="AK14" s="274"/>
      <c r="AL14" s="274"/>
      <c r="AM14" s="274"/>
      <c r="AN14" s="274"/>
      <c r="AO14" s="274"/>
      <c r="AP14" s="274"/>
      <c r="AQ14" s="274"/>
      <c r="AR14" s="274"/>
      <c r="AS14" s="274"/>
      <c r="AT14" s="274"/>
      <c r="AU14" s="274"/>
      <c r="AV14" s="274"/>
      <c r="AW14" s="274"/>
      <c r="AX14" s="274"/>
      <c r="AY14" s="274"/>
      <c r="AZ14" s="274"/>
      <c r="BA14" s="274"/>
      <c r="BB14" s="274"/>
      <c r="BC14" s="274"/>
      <c r="BD14" s="274"/>
      <c r="BE14" s="274"/>
      <c r="BF14" s="274"/>
      <c r="BG14" s="274"/>
      <c r="BH14" s="274"/>
      <c r="BI14" s="274"/>
      <c r="BJ14" s="274"/>
      <c r="BK14" s="274"/>
      <c r="BL14" s="274"/>
      <c r="BM14" s="274"/>
      <c r="BN14" s="274"/>
      <c r="BO14" s="274"/>
      <c r="BP14" s="274"/>
      <c r="BQ14" s="274"/>
      <c r="BR14" s="274"/>
      <c r="BS14" s="274"/>
      <c r="BT14" s="274"/>
      <c r="BU14" s="274"/>
      <c r="BV14" s="274"/>
      <c r="BW14" s="274"/>
      <c r="BX14" s="271"/>
      <c r="BY14" s="276">
        <f t="shared" si="0"/>
        <v>6177172.0877790414</v>
      </c>
      <c r="BZ14" s="631"/>
    </row>
    <row r="15" spans="2:78">
      <c r="B15" s="629"/>
      <c r="C15" s="271" t="s">
        <v>10</v>
      </c>
      <c r="D15" s="272" t="s">
        <v>262</v>
      </c>
      <c r="E15" s="274"/>
      <c r="F15" s="274"/>
      <c r="G15" s="274"/>
      <c r="H15" s="274"/>
      <c r="I15" s="274"/>
      <c r="J15" s="274"/>
      <c r="K15" s="274"/>
      <c r="L15" s="274"/>
      <c r="M15" s="274"/>
      <c r="N15" s="274"/>
      <c r="O15" s="274"/>
      <c r="P15" s="274"/>
      <c r="Q15" s="274"/>
      <c r="R15" s="274"/>
      <c r="S15" s="274">
        <f>SUM(S18,S33,S39)*1.21-SUM(S18,S33,S39)</f>
        <v>0</v>
      </c>
      <c r="T15" s="274">
        <f>SUM(T33,T39)*1.21-SUM(T33,T39)</f>
        <v>0</v>
      </c>
      <c r="U15" s="274">
        <f>U19*1.21-U19</f>
        <v>-4026302.2314049602</v>
      </c>
      <c r="V15" s="274">
        <f t="shared" ref="V15:AI15" si="3">SUM(V18,V25,V33,V39)*1.21-SUM(V18,V25,V33,V39)</f>
        <v>-1327521.5585950408</v>
      </c>
      <c r="W15" s="274">
        <f>SUM(W18,W25,W33,W39)*1.21-SUM(W18,W25,W33,W39)</f>
        <v>-671503.24933884293</v>
      </c>
      <c r="X15" s="274">
        <f>SUM(X18,X25,X33,X39)*1.21-SUM(X18,X25,X33,X39)</f>
        <v>-435.27272727272702</v>
      </c>
      <c r="Y15" s="274">
        <f t="shared" si="3"/>
        <v>-59033.473140495887</v>
      </c>
      <c r="Z15" s="274">
        <f>SUM(Z18,Z25,Z33,Z39)*1.21-SUM(Z18,Z25,Z33,Z39)</f>
        <v>-208563.59999999986</v>
      </c>
      <c r="AA15" s="274">
        <f>SUM(AA18,AA25,AA33,AA39)*1.21-SUM(AA18,AA25,AA33,AA39)</f>
        <v>-56495.25</v>
      </c>
      <c r="AB15" s="274">
        <f>SUM(AB18,AB25,AB33,AB39)*1.21-SUM(AB18,AB25,AB33,AB39)</f>
        <v>-230380.0661157025</v>
      </c>
      <c r="AC15" s="274">
        <f>SUM(AC18,AC25,AC33,AC39)*1.21-SUM(AC18,AC25,AC33,AC39)</f>
        <v>-124872.9074380165</v>
      </c>
      <c r="AD15" s="274">
        <f t="shared" si="3"/>
        <v>-166937.99008264462</v>
      </c>
      <c r="AE15" s="274">
        <f>SUM(AE18,AE25,AE33,AE39)*1.21-SUM(AE18,AE25,AE33,AE39)</f>
        <v>-280219.45289256191</v>
      </c>
      <c r="AF15" s="274">
        <f>SUM(AF18,AF25,AF33,AF39)*1.21-SUM(AF18,AF25,AF33,AF39)</f>
        <v>-261159.26280991733</v>
      </c>
      <c r="AG15" s="274">
        <f t="shared" si="3"/>
        <v>-231954.65767679433</v>
      </c>
      <c r="AH15" s="274">
        <f t="shared" si="3"/>
        <v>-458016.24445365369</v>
      </c>
      <c r="AI15" s="274">
        <f t="shared" si="3"/>
        <v>-6035.9885411538453</v>
      </c>
      <c r="AJ15" s="274"/>
      <c r="AK15" s="274"/>
      <c r="AL15" s="274"/>
      <c r="AM15" s="274"/>
      <c r="AN15" s="274"/>
      <c r="AO15" s="274"/>
      <c r="AP15" s="274"/>
      <c r="AQ15" s="274"/>
      <c r="AR15" s="274"/>
      <c r="AS15" s="274"/>
      <c r="AT15" s="274"/>
      <c r="AU15" s="274"/>
      <c r="AV15" s="274"/>
      <c r="AW15" s="274"/>
      <c r="AX15" s="274"/>
      <c r="AY15" s="274"/>
      <c r="AZ15" s="274"/>
      <c r="BA15" s="274"/>
      <c r="BB15" s="274"/>
      <c r="BC15" s="274"/>
      <c r="BD15" s="274"/>
      <c r="BE15" s="274"/>
      <c r="BF15" s="274"/>
      <c r="BG15" s="274"/>
      <c r="BH15" s="274"/>
      <c r="BI15" s="274"/>
      <c r="BJ15" s="274"/>
      <c r="BK15" s="274"/>
      <c r="BL15" s="274"/>
      <c r="BM15" s="274"/>
      <c r="BN15" s="274"/>
      <c r="BO15" s="274"/>
      <c r="BP15" s="274"/>
      <c r="BQ15" s="274"/>
      <c r="BR15" s="274"/>
      <c r="BS15" s="274"/>
      <c r="BT15" s="274"/>
      <c r="BU15" s="274"/>
      <c r="BV15" s="274"/>
      <c r="BW15" s="274"/>
      <c r="BX15" s="271"/>
      <c r="BY15" s="276">
        <f t="shared" si="0"/>
        <v>-8109431.2052170569</v>
      </c>
      <c r="BZ15" s="631"/>
    </row>
    <row r="16" spans="2:78">
      <c r="B16" s="624"/>
      <c r="C16" s="504" t="s">
        <v>263</v>
      </c>
      <c r="D16" s="505" t="s">
        <v>264</v>
      </c>
      <c r="E16" s="277"/>
      <c r="F16" s="277"/>
      <c r="G16" s="277"/>
      <c r="H16" s="277"/>
      <c r="I16" s="277"/>
      <c r="J16" s="277"/>
      <c r="K16" s="277"/>
      <c r="L16" s="277"/>
      <c r="M16" s="277"/>
      <c r="N16" s="277"/>
      <c r="O16" s="277"/>
      <c r="P16" s="277"/>
      <c r="Q16" s="277"/>
      <c r="R16" s="277"/>
      <c r="S16" s="277"/>
      <c r="T16" s="277"/>
      <c r="U16" s="277"/>
      <c r="V16" s="277"/>
      <c r="W16" s="277"/>
      <c r="X16" s="277"/>
      <c r="Y16" s="277"/>
      <c r="Z16" s="277">
        <f>151250</f>
        <v>151250</v>
      </c>
      <c r="AA16" s="277"/>
      <c r="AB16" s="277"/>
      <c r="AC16" s="277"/>
      <c r="AD16" s="277"/>
      <c r="AE16" s="277">
        <f>8148*24.5</f>
        <v>199626</v>
      </c>
      <c r="AF16" s="277"/>
      <c r="AG16" s="277"/>
      <c r="AH16" s="277"/>
      <c r="AI16" s="277"/>
      <c r="AJ16" s="277"/>
      <c r="AK16" s="277"/>
      <c r="AL16" s="277"/>
      <c r="AM16" s="277"/>
      <c r="AN16" s="277"/>
      <c r="AO16" s="277"/>
      <c r="AP16" s="277"/>
      <c r="AQ16" s="277"/>
      <c r="AR16" s="277"/>
      <c r="AS16" s="277"/>
      <c r="AT16" s="277"/>
      <c r="AU16" s="277"/>
      <c r="AV16" s="277"/>
      <c r="AW16" s="277"/>
      <c r="AX16" s="277"/>
      <c r="AY16" s="277"/>
      <c r="AZ16" s="277"/>
      <c r="BA16" s="277"/>
      <c r="BB16" s="277"/>
      <c r="BC16" s="277"/>
      <c r="BD16" s="277"/>
      <c r="BE16" s="277"/>
      <c r="BF16" s="277"/>
      <c r="BG16" s="277"/>
      <c r="BH16" s="277"/>
      <c r="BI16" s="277"/>
      <c r="BJ16" s="277"/>
      <c r="BK16" s="277"/>
      <c r="BL16" s="277"/>
      <c r="BM16" s="277"/>
      <c r="BN16" s="277"/>
      <c r="BO16" s="277"/>
      <c r="BP16" s="277"/>
      <c r="BQ16" s="277"/>
      <c r="BR16" s="277"/>
      <c r="BS16" s="277"/>
      <c r="BT16" s="277"/>
      <c r="BU16" s="277"/>
      <c r="BV16" s="277"/>
      <c r="BW16" s="277"/>
      <c r="BX16" s="504"/>
      <c r="BY16" s="506">
        <f t="shared" si="0"/>
        <v>350876</v>
      </c>
      <c r="BZ16" s="632"/>
    </row>
    <row r="17" spans="2:84" ht="16">
      <c r="B17" s="633" t="s">
        <v>265</v>
      </c>
      <c r="C17" s="618"/>
      <c r="D17" s="283"/>
      <c r="E17" s="284">
        <f t="shared" ref="E17:BX17" si="4">SUM(E5:E16)</f>
        <v>0</v>
      </c>
      <c r="F17" s="284">
        <f t="shared" si="4"/>
        <v>0</v>
      </c>
      <c r="G17" s="284">
        <f t="shared" si="4"/>
        <v>0</v>
      </c>
      <c r="H17" s="284">
        <f t="shared" si="4"/>
        <v>0</v>
      </c>
      <c r="I17" s="284">
        <f t="shared" si="4"/>
        <v>0</v>
      </c>
      <c r="J17" s="284">
        <f t="shared" si="4"/>
        <v>0</v>
      </c>
      <c r="K17" s="284">
        <f t="shared" si="4"/>
        <v>0</v>
      </c>
      <c r="L17" s="284">
        <f t="shared" si="4"/>
        <v>0</v>
      </c>
      <c r="M17" s="284">
        <f t="shared" si="4"/>
        <v>0</v>
      </c>
      <c r="N17" s="284">
        <f t="shared" si="4"/>
        <v>0</v>
      </c>
      <c r="O17" s="284">
        <f t="shared" si="4"/>
        <v>0</v>
      </c>
      <c r="P17" s="284">
        <f t="shared" si="4"/>
        <v>0</v>
      </c>
      <c r="Q17" s="284">
        <f t="shared" si="4"/>
        <v>0</v>
      </c>
      <c r="R17" s="284">
        <f t="shared" si="4"/>
        <v>0</v>
      </c>
      <c r="S17" s="284">
        <f t="shared" si="4"/>
        <v>0</v>
      </c>
      <c r="T17" s="284">
        <f t="shared" si="4"/>
        <v>0</v>
      </c>
      <c r="U17" s="284">
        <f t="shared" si="4"/>
        <v>20973697.76859504</v>
      </c>
      <c r="V17" s="284">
        <f t="shared" si="4"/>
        <v>9198780.6728099193</v>
      </c>
      <c r="W17" s="284">
        <f t="shared" si="4"/>
        <v>40376.750661157072</v>
      </c>
      <c r="X17" s="284">
        <f t="shared" si="4"/>
        <v>-435.27272727272702</v>
      </c>
      <c r="Y17" s="284">
        <f t="shared" si="4"/>
        <v>160966.52685950411</v>
      </c>
      <c r="Z17" s="284">
        <f t="shared" si="4"/>
        <v>11825766.4</v>
      </c>
      <c r="AA17" s="284">
        <f t="shared" si="4"/>
        <v>7049230.75</v>
      </c>
      <c r="AB17" s="284">
        <f t="shared" si="4"/>
        <v>18098182.083884295</v>
      </c>
      <c r="AC17" s="284">
        <f t="shared" si="4"/>
        <v>13377915.744299483</v>
      </c>
      <c r="AD17" s="284">
        <f t="shared" si="4"/>
        <v>16629507.642904855</v>
      </c>
      <c r="AE17" s="284">
        <f t="shared" si="4"/>
        <v>15038976.591844937</v>
      </c>
      <c r="AF17" s="284">
        <f t="shared" si="4"/>
        <v>5938894.9671900831</v>
      </c>
      <c r="AG17" s="284">
        <f t="shared" si="4"/>
        <v>3307090.0216857679</v>
      </c>
      <c r="AH17" s="284">
        <f t="shared" si="4"/>
        <v>25705680.631591264</v>
      </c>
      <c r="AI17" s="284">
        <f t="shared" si="4"/>
        <v>197476347.87629709</v>
      </c>
      <c r="AJ17" s="284">
        <f t="shared" si="4"/>
        <v>0</v>
      </c>
      <c r="AK17" s="284">
        <f t="shared" si="4"/>
        <v>0</v>
      </c>
      <c r="AL17" s="284">
        <f t="shared" si="4"/>
        <v>0</v>
      </c>
      <c r="AM17" s="284">
        <f t="shared" si="4"/>
        <v>0</v>
      </c>
      <c r="AN17" s="284">
        <f t="shared" si="4"/>
        <v>0</v>
      </c>
      <c r="AO17" s="284">
        <f t="shared" si="4"/>
        <v>0</v>
      </c>
      <c r="AP17" s="284">
        <f t="shared" si="4"/>
        <v>0</v>
      </c>
      <c r="AQ17" s="284">
        <f t="shared" si="4"/>
        <v>0</v>
      </c>
      <c r="AR17" s="284">
        <f t="shared" si="4"/>
        <v>0</v>
      </c>
      <c r="AS17" s="284">
        <f t="shared" si="4"/>
        <v>0</v>
      </c>
      <c r="AT17" s="284">
        <f t="shared" si="4"/>
        <v>0</v>
      </c>
      <c r="AU17" s="284">
        <f t="shared" si="4"/>
        <v>0</v>
      </c>
      <c r="AV17" s="284">
        <f t="shared" si="4"/>
        <v>0</v>
      </c>
      <c r="AW17" s="284">
        <f t="shared" si="4"/>
        <v>0</v>
      </c>
      <c r="AX17" s="284">
        <f t="shared" si="4"/>
        <v>0</v>
      </c>
      <c r="AY17" s="284">
        <f t="shared" si="4"/>
        <v>0</v>
      </c>
      <c r="AZ17" s="284">
        <f t="shared" si="4"/>
        <v>0</v>
      </c>
      <c r="BA17" s="284">
        <f t="shared" si="4"/>
        <v>0</v>
      </c>
      <c r="BB17" s="284">
        <f t="shared" si="4"/>
        <v>0</v>
      </c>
      <c r="BC17" s="284">
        <f t="shared" si="4"/>
        <v>0</v>
      </c>
      <c r="BD17" s="284">
        <f t="shared" si="4"/>
        <v>0</v>
      </c>
      <c r="BE17" s="284">
        <f t="shared" si="4"/>
        <v>0</v>
      </c>
      <c r="BF17" s="284">
        <f t="shared" si="4"/>
        <v>0</v>
      </c>
      <c r="BG17" s="284">
        <f t="shared" si="4"/>
        <v>0</v>
      </c>
      <c r="BH17" s="284">
        <f t="shared" si="4"/>
        <v>0</v>
      </c>
      <c r="BI17" s="284">
        <f t="shared" si="4"/>
        <v>0</v>
      </c>
      <c r="BJ17" s="284">
        <f t="shared" si="4"/>
        <v>0</v>
      </c>
      <c r="BK17" s="284">
        <f t="shared" si="4"/>
        <v>0</v>
      </c>
      <c r="BL17" s="284">
        <f t="shared" si="4"/>
        <v>0</v>
      </c>
      <c r="BM17" s="284">
        <f t="shared" si="4"/>
        <v>0</v>
      </c>
      <c r="BN17" s="284">
        <f t="shared" si="4"/>
        <v>0</v>
      </c>
      <c r="BO17" s="284">
        <f t="shared" si="4"/>
        <v>0</v>
      </c>
      <c r="BP17" s="284">
        <f t="shared" si="4"/>
        <v>0</v>
      </c>
      <c r="BQ17" s="284">
        <f t="shared" si="4"/>
        <v>0</v>
      </c>
      <c r="BR17" s="284">
        <f t="shared" si="4"/>
        <v>0</v>
      </c>
      <c r="BS17" s="284">
        <f t="shared" si="4"/>
        <v>0</v>
      </c>
      <c r="BT17" s="284">
        <f t="shared" si="4"/>
        <v>0</v>
      </c>
      <c r="BU17" s="284">
        <f t="shared" si="4"/>
        <v>0</v>
      </c>
      <c r="BV17" s="284">
        <f t="shared" si="4"/>
        <v>0</v>
      </c>
      <c r="BW17" s="284">
        <f t="shared" si="4"/>
        <v>0</v>
      </c>
      <c r="BX17" s="284">
        <f t="shared" si="4"/>
        <v>0</v>
      </c>
      <c r="BY17" s="634">
        <f>BZ5+BZ9+BZ12</f>
        <v>344820979.15589613</v>
      </c>
      <c r="BZ17" s="618"/>
    </row>
    <row r="18" spans="2:84" ht="16">
      <c r="B18" s="635" t="s">
        <v>266</v>
      </c>
      <c r="C18" s="285" t="s">
        <v>267</v>
      </c>
      <c r="D18" s="286"/>
      <c r="E18" s="287">
        <f t="shared" ref="E18:BY18" si="5">SUM(E19:E24)</f>
        <v>0</v>
      </c>
      <c r="F18" s="287">
        <f t="shared" si="5"/>
        <v>0</v>
      </c>
      <c r="G18" s="287">
        <f t="shared" si="5"/>
        <v>0</v>
      </c>
      <c r="H18" s="287">
        <f t="shared" si="5"/>
        <v>0</v>
      </c>
      <c r="I18" s="287">
        <f t="shared" si="5"/>
        <v>0</v>
      </c>
      <c r="J18" s="287">
        <f t="shared" si="5"/>
        <v>0</v>
      </c>
      <c r="K18" s="287">
        <f t="shared" si="5"/>
        <v>0</v>
      </c>
      <c r="L18" s="287">
        <f t="shared" si="5"/>
        <v>0</v>
      </c>
      <c r="M18" s="287">
        <f t="shared" si="5"/>
        <v>0</v>
      </c>
      <c r="N18" s="287">
        <f t="shared" si="5"/>
        <v>0</v>
      </c>
      <c r="O18" s="287">
        <f t="shared" si="5"/>
        <v>0</v>
      </c>
      <c r="P18" s="287">
        <f t="shared" si="5"/>
        <v>0</v>
      </c>
      <c r="Q18" s="287">
        <f t="shared" si="5"/>
        <v>0</v>
      </c>
      <c r="R18" s="287">
        <f t="shared" si="5"/>
        <v>0</v>
      </c>
      <c r="S18" s="287">
        <f t="shared" si="5"/>
        <v>0</v>
      </c>
      <c r="T18" s="287">
        <f t="shared" si="5"/>
        <v>0</v>
      </c>
      <c r="U18" s="287">
        <f t="shared" si="5"/>
        <v>-19172867.768595044</v>
      </c>
      <c r="V18" s="287">
        <f t="shared" si="5"/>
        <v>-6321531.2314049564</v>
      </c>
      <c r="W18" s="287">
        <f t="shared" si="5"/>
        <v>-2586223</v>
      </c>
      <c r="X18" s="287">
        <f t="shared" si="5"/>
        <v>0</v>
      </c>
      <c r="Y18" s="287">
        <f t="shared" si="5"/>
        <v>0</v>
      </c>
      <c r="Z18" s="287">
        <f t="shared" si="5"/>
        <v>-250000</v>
      </c>
      <c r="AA18" s="287">
        <f t="shared" si="5"/>
        <v>0</v>
      </c>
      <c r="AB18" s="287">
        <f t="shared" si="5"/>
        <v>0</v>
      </c>
      <c r="AC18" s="287">
        <f t="shared" si="5"/>
        <v>0</v>
      </c>
      <c r="AD18" s="287">
        <f t="shared" si="5"/>
        <v>0</v>
      </c>
      <c r="AE18" s="287">
        <f t="shared" si="5"/>
        <v>-857298.34710743814</v>
      </c>
      <c r="AF18" s="287">
        <f t="shared" si="5"/>
        <v>0</v>
      </c>
      <c r="AG18" s="287">
        <f t="shared" si="5"/>
        <v>0</v>
      </c>
      <c r="AH18" s="287">
        <f t="shared" si="5"/>
        <v>0</v>
      </c>
      <c r="AI18" s="287">
        <f t="shared" si="5"/>
        <v>0</v>
      </c>
      <c r="AJ18" s="287">
        <f t="shared" si="5"/>
        <v>0</v>
      </c>
      <c r="AK18" s="287">
        <f t="shared" si="5"/>
        <v>0</v>
      </c>
      <c r="AL18" s="287">
        <f t="shared" si="5"/>
        <v>0</v>
      </c>
      <c r="AM18" s="287">
        <f t="shared" si="5"/>
        <v>0</v>
      </c>
      <c r="AN18" s="287">
        <f t="shared" si="5"/>
        <v>0</v>
      </c>
      <c r="AO18" s="287">
        <f t="shared" si="5"/>
        <v>0</v>
      </c>
      <c r="AP18" s="287">
        <f t="shared" si="5"/>
        <v>0</v>
      </c>
      <c r="AQ18" s="287">
        <f t="shared" si="5"/>
        <v>0</v>
      </c>
      <c r="AR18" s="287">
        <f t="shared" si="5"/>
        <v>0</v>
      </c>
      <c r="AS18" s="287">
        <f t="shared" si="5"/>
        <v>0</v>
      </c>
      <c r="AT18" s="287">
        <f t="shared" si="5"/>
        <v>0</v>
      </c>
      <c r="AU18" s="287">
        <f t="shared" si="5"/>
        <v>0</v>
      </c>
      <c r="AV18" s="287">
        <f t="shared" si="5"/>
        <v>0</v>
      </c>
      <c r="AW18" s="287">
        <f t="shared" si="5"/>
        <v>0</v>
      </c>
      <c r="AX18" s="287">
        <f t="shared" si="5"/>
        <v>0</v>
      </c>
      <c r="AY18" s="287">
        <f t="shared" si="5"/>
        <v>0</v>
      </c>
      <c r="AZ18" s="287">
        <f t="shared" si="5"/>
        <v>0</v>
      </c>
      <c r="BA18" s="287">
        <f t="shared" si="5"/>
        <v>0</v>
      </c>
      <c r="BB18" s="287">
        <f t="shared" si="5"/>
        <v>0</v>
      </c>
      <c r="BC18" s="287">
        <f t="shared" si="5"/>
        <v>0</v>
      </c>
      <c r="BD18" s="287">
        <f t="shared" si="5"/>
        <v>0</v>
      </c>
      <c r="BE18" s="287">
        <f t="shared" si="5"/>
        <v>0</v>
      </c>
      <c r="BF18" s="287">
        <f t="shared" si="5"/>
        <v>0</v>
      </c>
      <c r="BG18" s="287">
        <f t="shared" si="5"/>
        <v>0</v>
      </c>
      <c r="BH18" s="287">
        <f t="shared" si="5"/>
        <v>0</v>
      </c>
      <c r="BI18" s="287">
        <f t="shared" si="5"/>
        <v>0</v>
      </c>
      <c r="BJ18" s="287">
        <f t="shared" si="5"/>
        <v>0</v>
      </c>
      <c r="BK18" s="287">
        <f t="shared" si="5"/>
        <v>0</v>
      </c>
      <c r="BL18" s="287">
        <f t="shared" si="5"/>
        <v>0</v>
      </c>
      <c r="BM18" s="287">
        <f t="shared" si="5"/>
        <v>0</v>
      </c>
      <c r="BN18" s="287">
        <f t="shared" si="5"/>
        <v>0</v>
      </c>
      <c r="BO18" s="287">
        <f t="shared" si="5"/>
        <v>0</v>
      </c>
      <c r="BP18" s="287">
        <f t="shared" si="5"/>
        <v>0</v>
      </c>
      <c r="BQ18" s="287">
        <f t="shared" si="5"/>
        <v>0</v>
      </c>
      <c r="BR18" s="287">
        <f t="shared" si="5"/>
        <v>0</v>
      </c>
      <c r="BS18" s="287">
        <f t="shared" si="5"/>
        <v>0</v>
      </c>
      <c r="BT18" s="287">
        <f t="shared" si="5"/>
        <v>0</v>
      </c>
      <c r="BU18" s="287">
        <f t="shared" si="5"/>
        <v>0</v>
      </c>
      <c r="BV18" s="287">
        <f t="shared" si="5"/>
        <v>0</v>
      </c>
      <c r="BW18" s="287">
        <f t="shared" si="5"/>
        <v>0</v>
      </c>
      <c r="BX18" s="287">
        <f t="shared" si="5"/>
        <v>0</v>
      </c>
      <c r="BY18" s="288">
        <f t="shared" si="5"/>
        <v>-29187920.347107437</v>
      </c>
      <c r="BZ18" s="636">
        <f>BY18+BY25+BY28+BY36+BY39+BY48+BY54+BY62+BY86</f>
        <v>-151976345.89159194</v>
      </c>
    </row>
    <row r="19" spans="2:84" outlineLevel="1">
      <c r="B19" s="629"/>
      <c r="C19" s="290" t="s">
        <v>268</v>
      </c>
      <c r="D19" s="291" t="s">
        <v>262</v>
      </c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292"/>
      <c r="S19" s="292"/>
      <c r="T19" s="292"/>
      <c r="U19" s="292">
        <f>-23199170/1.21</f>
        <v>-19172867.768595044</v>
      </c>
      <c r="V19" s="292">
        <f>-21090000-3370000-$U$19</f>
        <v>-5287132.2314049564</v>
      </c>
      <c r="W19" s="292"/>
      <c r="X19" s="292"/>
      <c r="Y19" s="292"/>
      <c r="Z19" s="292"/>
      <c r="AA19" s="292"/>
      <c r="AB19" s="292"/>
      <c r="AC19" s="292"/>
      <c r="AD19" s="292"/>
      <c r="AE19" s="292"/>
      <c r="AF19" s="292"/>
      <c r="AG19" s="292"/>
      <c r="AH19" s="292"/>
      <c r="AI19" s="292"/>
      <c r="AJ19" s="292"/>
      <c r="AK19" s="292"/>
      <c r="AL19" s="292"/>
      <c r="AM19" s="292"/>
      <c r="AN19" s="292"/>
      <c r="AO19" s="292"/>
      <c r="AP19" s="292"/>
      <c r="AQ19" s="292"/>
      <c r="AR19" s="292"/>
      <c r="AS19" s="292"/>
      <c r="AT19" s="292"/>
      <c r="AU19" s="292"/>
      <c r="AV19" s="292"/>
      <c r="AW19" s="292"/>
      <c r="AX19" s="292"/>
      <c r="AY19" s="292"/>
      <c r="AZ19" s="292"/>
      <c r="BA19" s="292"/>
      <c r="BB19" s="292"/>
      <c r="BC19" s="292"/>
      <c r="BD19" s="292"/>
      <c r="BE19" s="292"/>
      <c r="BF19" s="292"/>
      <c r="BG19" s="292"/>
      <c r="BH19" s="292"/>
      <c r="BI19" s="292"/>
      <c r="BJ19" s="292"/>
      <c r="BK19" s="292"/>
      <c r="BL19" s="292"/>
      <c r="BM19" s="292"/>
      <c r="BN19" s="292"/>
      <c r="BO19" s="292"/>
      <c r="BP19" s="292"/>
      <c r="BQ19" s="292"/>
      <c r="BR19" s="292"/>
      <c r="BS19" s="292"/>
      <c r="BT19" s="292"/>
      <c r="BU19" s="292"/>
      <c r="BV19" s="292"/>
      <c r="BW19" s="292"/>
      <c r="BX19" s="292"/>
      <c r="BY19" s="293">
        <f t="shared" ref="BY19:BY23" si="6">SUM(E19:BX19)</f>
        <v>-24460000</v>
      </c>
      <c r="BZ19" s="631"/>
    </row>
    <row r="20" spans="2:84" outlineLevel="1">
      <c r="B20" s="629"/>
      <c r="C20" s="290" t="s">
        <v>269</v>
      </c>
      <c r="D20" s="291" t="s">
        <v>262</v>
      </c>
      <c r="E20" s="292"/>
      <c r="F20" s="292"/>
      <c r="G20" s="292"/>
      <c r="H20" s="292"/>
      <c r="I20" s="292"/>
      <c r="J20" s="292"/>
      <c r="K20" s="292"/>
      <c r="L20" s="292"/>
      <c r="M20" s="292"/>
      <c r="N20" s="292"/>
      <c r="O20" s="292"/>
      <c r="P20" s="292"/>
      <c r="Q20" s="292"/>
      <c r="R20" s="292"/>
      <c r="S20" s="292"/>
      <c r="T20" s="292"/>
      <c r="U20" s="292"/>
      <c r="V20" s="292">
        <f>-Businessplan_prodej!$F$9</f>
        <v>-1034399</v>
      </c>
      <c r="W20" s="292"/>
      <c r="X20" s="292"/>
      <c r="Y20" s="292"/>
      <c r="Z20" s="292"/>
      <c r="AA20" s="292"/>
      <c r="AB20" s="292"/>
      <c r="AC20" s="292"/>
      <c r="AD20" s="292"/>
      <c r="AE20" s="292">
        <f>-Businessplan_prodej!$F$9/1.21-2932/1.21</f>
        <v>-857298.34710743814</v>
      </c>
      <c r="AF20" s="292"/>
      <c r="AG20" s="292"/>
      <c r="AH20" s="292"/>
      <c r="AI20" s="292"/>
      <c r="AJ20" s="292"/>
      <c r="AK20" s="292"/>
      <c r="AL20" s="292"/>
      <c r="AM20" s="292"/>
      <c r="AN20" s="292"/>
      <c r="AO20" s="292"/>
      <c r="AP20" s="292"/>
      <c r="AQ20" s="292"/>
      <c r="AR20" s="292"/>
      <c r="AS20" s="292"/>
      <c r="AT20" s="292"/>
      <c r="AU20" s="292"/>
      <c r="AV20" s="292"/>
      <c r="AW20" s="292"/>
      <c r="AX20" s="292"/>
      <c r="AY20" s="292"/>
      <c r="AZ20" s="292"/>
      <c r="BA20" s="292"/>
      <c r="BB20" s="292"/>
      <c r="BC20" s="292"/>
      <c r="BD20" s="292"/>
      <c r="BE20" s="292"/>
      <c r="BF20" s="292"/>
      <c r="BG20" s="292"/>
      <c r="BH20" s="292"/>
      <c r="BI20" s="292"/>
      <c r="BJ20" s="292"/>
      <c r="BK20" s="292"/>
      <c r="BL20" s="292"/>
      <c r="BM20" s="292"/>
      <c r="BN20" s="292"/>
      <c r="BO20" s="292"/>
      <c r="BP20" s="292"/>
      <c r="BQ20" s="292"/>
      <c r="BR20" s="292"/>
      <c r="BS20" s="292"/>
      <c r="BT20" s="292"/>
      <c r="BU20" s="292"/>
      <c r="BV20" s="292"/>
      <c r="BW20" s="292"/>
      <c r="BX20" s="292"/>
      <c r="BY20" s="293">
        <f t="shared" si="6"/>
        <v>-1891697.3471074381</v>
      </c>
      <c r="BZ20" s="631"/>
    </row>
    <row r="21" spans="2:84" outlineLevel="1">
      <c r="B21" s="629"/>
      <c r="C21" s="290" t="s">
        <v>270</v>
      </c>
      <c r="D21" s="291" t="s">
        <v>262</v>
      </c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/>
      <c r="X21" s="292"/>
      <c r="Y21" s="292"/>
      <c r="Z21" s="292">
        <f>-Businessplan_prodej!$F$10</f>
        <v>-250000</v>
      </c>
      <c r="AA21" s="292"/>
      <c r="AB21" s="292"/>
      <c r="AC21" s="292"/>
      <c r="AD21" s="292"/>
      <c r="AE21" s="292"/>
      <c r="AF21" s="292"/>
      <c r="AG21" s="292"/>
      <c r="AH21" s="292"/>
      <c r="AI21" s="292"/>
      <c r="AJ21" s="292"/>
      <c r="AK21" s="292"/>
      <c r="AL21" s="292"/>
      <c r="AM21" s="292"/>
      <c r="AN21" s="292"/>
      <c r="AO21" s="292"/>
      <c r="AP21" s="292"/>
      <c r="AQ21" s="292"/>
      <c r="AR21" s="292"/>
      <c r="AS21" s="292"/>
      <c r="AT21" s="292"/>
      <c r="AU21" s="292"/>
      <c r="AV21" s="292"/>
      <c r="AW21" s="292"/>
      <c r="AX21" s="292"/>
      <c r="AY21" s="292"/>
      <c r="AZ21" s="292"/>
      <c r="BA21" s="292"/>
      <c r="BB21" s="292"/>
      <c r="BC21" s="292"/>
      <c r="BD21" s="292"/>
      <c r="BE21" s="292"/>
      <c r="BF21" s="292"/>
      <c r="BG21" s="292"/>
      <c r="BH21" s="292"/>
      <c r="BI21" s="292"/>
      <c r="BJ21" s="292"/>
      <c r="BK21" s="292"/>
      <c r="BL21" s="292"/>
      <c r="BM21" s="292"/>
      <c r="BN21" s="292"/>
      <c r="BO21" s="292"/>
      <c r="BP21" s="292"/>
      <c r="BQ21" s="292"/>
      <c r="BR21" s="292"/>
      <c r="BS21" s="292"/>
      <c r="BT21" s="292"/>
      <c r="BU21" s="292"/>
      <c r="BV21" s="292"/>
      <c r="BW21" s="292"/>
      <c r="BX21" s="292"/>
      <c r="BY21" s="293">
        <f t="shared" si="6"/>
        <v>-250000</v>
      </c>
      <c r="BZ21" s="631"/>
    </row>
    <row r="22" spans="2:84" outlineLevel="1">
      <c r="B22" s="629"/>
      <c r="C22" s="290" t="s">
        <v>271</v>
      </c>
      <c r="D22" s="291" t="s">
        <v>262</v>
      </c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292"/>
      <c r="W22" s="292">
        <f>-Businessplan_prodej!$F$11</f>
        <v>-1500000</v>
      </c>
      <c r="X22" s="292"/>
      <c r="Y22" s="292"/>
      <c r="Z22" s="292"/>
      <c r="AA22" s="292"/>
      <c r="AB22" s="292"/>
      <c r="AC22" s="292"/>
      <c r="AD22" s="292"/>
      <c r="AE22" s="292"/>
      <c r="AF22" s="292"/>
      <c r="AG22" s="292"/>
      <c r="AH22" s="292"/>
      <c r="AI22" s="292"/>
      <c r="AJ22" s="292"/>
      <c r="AK22" s="292"/>
      <c r="AL22" s="292"/>
      <c r="AM22" s="292"/>
      <c r="AN22" s="292"/>
      <c r="AO22" s="292"/>
      <c r="AP22" s="292"/>
      <c r="AQ22" s="292"/>
      <c r="AR22" s="292"/>
      <c r="AS22" s="292"/>
      <c r="AT22" s="292"/>
      <c r="AU22" s="292"/>
      <c r="AV22" s="292"/>
      <c r="AW22" s="292"/>
      <c r="AX22" s="292"/>
      <c r="AY22" s="292"/>
      <c r="AZ22" s="292"/>
      <c r="BA22" s="292"/>
      <c r="BB22" s="292"/>
      <c r="BC22" s="292"/>
      <c r="BD22" s="292"/>
      <c r="BE22" s="292"/>
      <c r="BF22" s="292"/>
      <c r="BG22" s="292"/>
      <c r="BH22" s="292"/>
      <c r="BI22" s="292"/>
      <c r="BJ22" s="292"/>
      <c r="BK22" s="292"/>
      <c r="BL22" s="292"/>
      <c r="BM22" s="292"/>
      <c r="BN22" s="292"/>
      <c r="BO22" s="292"/>
      <c r="BP22" s="292"/>
      <c r="BQ22" s="292"/>
      <c r="BR22" s="292"/>
      <c r="BS22" s="292"/>
      <c r="BT22" s="292"/>
      <c r="BU22" s="292"/>
      <c r="BV22" s="292"/>
      <c r="BW22" s="292"/>
      <c r="BX22" s="292"/>
      <c r="BY22" s="293">
        <f t="shared" si="6"/>
        <v>-1500000</v>
      </c>
      <c r="BZ22" s="631"/>
    </row>
    <row r="23" spans="2:84" outlineLevel="1">
      <c r="B23" s="629"/>
      <c r="C23" s="290" t="s">
        <v>272</v>
      </c>
      <c r="D23" s="294" t="s">
        <v>262</v>
      </c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2"/>
      <c r="W23" s="292">
        <f>-Businessplan_prodej!$F$12</f>
        <v>-1086223</v>
      </c>
      <c r="X23" s="292"/>
      <c r="Y23" s="292"/>
      <c r="Z23" s="292"/>
      <c r="AA23" s="292"/>
      <c r="AB23" s="292"/>
      <c r="AC23" s="292"/>
      <c r="AD23" s="292"/>
      <c r="AE23" s="292"/>
      <c r="AF23" s="292"/>
      <c r="AG23" s="292"/>
      <c r="AH23" s="292"/>
      <c r="AI23" s="292"/>
      <c r="AJ23" s="292"/>
      <c r="AK23" s="292"/>
      <c r="AL23" s="292"/>
      <c r="AM23" s="292"/>
      <c r="AN23" s="292"/>
      <c r="AO23" s="292"/>
      <c r="AP23" s="292"/>
      <c r="AQ23" s="292"/>
      <c r="AR23" s="292"/>
      <c r="AS23" s="292"/>
      <c r="AT23" s="292"/>
      <c r="AU23" s="292"/>
      <c r="AV23" s="292"/>
      <c r="AW23" s="292"/>
      <c r="AX23" s="292"/>
      <c r="AY23" s="292"/>
      <c r="AZ23" s="292"/>
      <c r="BA23" s="292"/>
      <c r="BB23" s="292"/>
      <c r="BC23" s="292"/>
      <c r="BD23" s="292"/>
      <c r="BE23" s="292"/>
      <c r="BF23" s="292"/>
      <c r="BG23" s="292"/>
      <c r="BH23" s="292"/>
      <c r="BI23" s="292"/>
      <c r="BJ23" s="292"/>
      <c r="BK23" s="292"/>
      <c r="BL23" s="292"/>
      <c r="BM23" s="292"/>
      <c r="BN23" s="292"/>
      <c r="BO23" s="292"/>
      <c r="BP23" s="292"/>
      <c r="BQ23" s="292"/>
      <c r="BR23" s="292"/>
      <c r="BS23" s="292"/>
      <c r="BT23" s="292"/>
      <c r="BU23" s="292"/>
      <c r="BV23" s="292"/>
      <c r="BW23" s="292"/>
      <c r="BX23" s="292"/>
      <c r="BY23" s="293">
        <f t="shared" si="6"/>
        <v>-1086223</v>
      </c>
      <c r="BZ23" s="631"/>
    </row>
    <row r="24" spans="2:84" outlineLevel="1">
      <c r="B24" s="629"/>
      <c r="C24" s="290" t="s">
        <v>273</v>
      </c>
      <c r="D24" s="294" t="s">
        <v>262</v>
      </c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292"/>
      <c r="W24" s="292"/>
      <c r="X24" s="292"/>
      <c r="Y24" s="292"/>
      <c r="Z24" s="292"/>
      <c r="AA24" s="292"/>
      <c r="AB24" s="292"/>
      <c r="AC24" s="292"/>
      <c r="AD24" s="292"/>
      <c r="AE24" s="292"/>
      <c r="AF24" s="292"/>
      <c r="AG24" s="292"/>
      <c r="AH24" s="292"/>
      <c r="AI24" s="292"/>
      <c r="AJ24" s="292"/>
      <c r="AK24" s="292"/>
      <c r="AL24" s="292"/>
      <c r="AM24" s="292"/>
      <c r="AN24" s="292"/>
      <c r="AO24" s="292"/>
      <c r="AP24" s="292"/>
      <c r="AQ24" s="292"/>
      <c r="AR24" s="292"/>
      <c r="AS24" s="292"/>
      <c r="AT24" s="292"/>
      <c r="AU24" s="292"/>
      <c r="AV24" s="292"/>
      <c r="AW24" s="292"/>
      <c r="AX24" s="292"/>
      <c r="AY24" s="292"/>
      <c r="AZ24" s="292"/>
      <c r="BA24" s="292"/>
      <c r="BB24" s="292"/>
      <c r="BC24" s="292"/>
      <c r="BD24" s="292"/>
      <c r="BE24" s="292"/>
      <c r="BF24" s="292"/>
      <c r="BG24" s="292"/>
      <c r="BH24" s="292"/>
      <c r="BI24" s="292"/>
      <c r="BJ24" s="292"/>
      <c r="BK24" s="292"/>
      <c r="BL24" s="292"/>
      <c r="BM24" s="292"/>
      <c r="BN24" s="292"/>
      <c r="BO24" s="292"/>
      <c r="BP24" s="292"/>
      <c r="BQ24" s="292"/>
      <c r="BR24" s="292"/>
      <c r="BS24" s="292"/>
      <c r="BT24" s="292"/>
      <c r="BU24" s="292"/>
      <c r="BV24" s="292"/>
      <c r="BW24" s="292"/>
      <c r="BX24" s="292"/>
      <c r="BY24" s="293">
        <f>SUM(E24:BX24)</f>
        <v>0</v>
      </c>
      <c r="BZ24" s="631"/>
      <c r="CE24" s="614"/>
    </row>
    <row r="25" spans="2:84" ht="16">
      <c r="B25" s="629"/>
      <c r="C25" s="285" t="s">
        <v>274</v>
      </c>
      <c r="D25" s="286"/>
      <c r="E25" s="287">
        <f t="shared" ref="E25:BY25" si="7">SUM(E26:E27)</f>
        <v>0</v>
      </c>
      <c r="F25" s="287">
        <f t="shared" si="7"/>
        <v>0</v>
      </c>
      <c r="G25" s="287">
        <f t="shared" si="7"/>
        <v>0</v>
      </c>
      <c r="H25" s="287">
        <f t="shared" si="7"/>
        <v>0</v>
      </c>
      <c r="I25" s="287">
        <f t="shared" si="7"/>
        <v>0</v>
      </c>
      <c r="J25" s="287">
        <f t="shared" si="7"/>
        <v>0</v>
      </c>
      <c r="K25" s="287">
        <f t="shared" si="7"/>
        <v>0</v>
      </c>
      <c r="L25" s="287">
        <f t="shared" si="7"/>
        <v>0</v>
      </c>
      <c r="M25" s="287">
        <f t="shared" si="7"/>
        <v>0</v>
      </c>
      <c r="N25" s="287">
        <f t="shared" si="7"/>
        <v>0</v>
      </c>
      <c r="O25" s="287">
        <f t="shared" si="7"/>
        <v>0</v>
      </c>
      <c r="P25" s="287">
        <f t="shared" si="7"/>
        <v>0</v>
      </c>
      <c r="Q25" s="287">
        <f t="shared" si="7"/>
        <v>0</v>
      </c>
      <c r="R25" s="287">
        <f t="shared" si="7"/>
        <v>0</v>
      </c>
      <c r="S25" s="287">
        <f t="shared" si="7"/>
        <v>0</v>
      </c>
      <c r="T25" s="287">
        <f t="shared" si="7"/>
        <v>0</v>
      </c>
      <c r="U25" s="287">
        <f t="shared" si="7"/>
        <v>0</v>
      </c>
      <c r="V25" s="287">
        <f t="shared" si="7"/>
        <v>0</v>
      </c>
      <c r="W25" s="287">
        <f t="shared" si="7"/>
        <v>0</v>
      </c>
      <c r="X25" s="287">
        <f t="shared" si="7"/>
        <v>0</v>
      </c>
      <c r="Y25" s="287">
        <f t="shared" si="7"/>
        <v>0</v>
      </c>
      <c r="Z25" s="287">
        <f t="shared" si="7"/>
        <v>0</v>
      </c>
      <c r="AA25" s="287">
        <f t="shared" si="7"/>
        <v>0</v>
      </c>
      <c r="AB25" s="287">
        <f t="shared" si="7"/>
        <v>0</v>
      </c>
      <c r="AC25" s="287">
        <f t="shared" si="7"/>
        <v>0</v>
      </c>
      <c r="AD25" s="287">
        <f t="shared" si="7"/>
        <v>0</v>
      </c>
      <c r="AE25" s="287">
        <f t="shared" si="7"/>
        <v>0</v>
      </c>
      <c r="AF25" s="287">
        <f t="shared" si="7"/>
        <v>0</v>
      </c>
      <c r="AG25" s="287">
        <f t="shared" si="7"/>
        <v>-283333.33333333331</v>
      </c>
      <c r="AH25" s="287">
        <f t="shared" si="7"/>
        <v>-566666.66666666663</v>
      </c>
      <c r="AI25" s="287">
        <f t="shared" si="7"/>
        <v>0</v>
      </c>
      <c r="AJ25" s="287">
        <f t="shared" si="7"/>
        <v>0</v>
      </c>
      <c r="AK25" s="287">
        <f t="shared" si="7"/>
        <v>0</v>
      </c>
      <c r="AL25" s="287">
        <f t="shared" si="7"/>
        <v>0</v>
      </c>
      <c r="AM25" s="287">
        <f t="shared" si="7"/>
        <v>0</v>
      </c>
      <c r="AN25" s="287">
        <f t="shared" si="7"/>
        <v>0</v>
      </c>
      <c r="AO25" s="287">
        <f t="shared" si="7"/>
        <v>0</v>
      </c>
      <c r="AP25" s="287">
        <f t="shared" si="7"/>
        <v>0</v>
      </c>
      <c r="AQ25" s="287">
        <f t="shared" si="7"/>
        <v>0</v>
      </c>
      <c r="AR25" s="287">
        <f t="shared" si="7"/>
        <v>0</v>
      </c>
      <c r="AS25" s="287">
        <f t="shared" si="7"/>
        <v>0</v>
      </c>
      <c r="AT25" s="287">
        <f t="shared" si="7"/>
        <v>0</v>
      </c>
      <c r="AU25" s="287">
        <f t="shared" si="7"/>
        <v>0</v>
      </c>
      <c r="AV25" s="287">
        <f t="shared" si="7"/>
        <v>0</v>
      </c>
      <c r="AW25" s="287">
        <f t="shared" si="7"/>
        <v>0</v>
      </c>
      <c r="AX25" s="287">
        <f t="shared" si="7"/>
        <v>0</v>
      </c>
      <c r="AY25" s="287">
        <f t="shared" si="7"/>
        <v>0</v>
      </c>
      <c r="AZ25" s="287">
        <f t="shared" si="7"/>
        <v>0</v>
      </c>
      <c r="BA25" s="287">
        <f t="shared" si="7"/>
        <v>0</v>
      </c>
      <c r="BB25" s="287">
        <f t="shared" si="7"/>
        <v>0</v>
      </c>
      <c r="BC25" s="287">
        <f t="shared" si="7"/>
        <v>0</v>
      </c>
      <c r="BD25" s="287">
        <f t="shared" si="7"/>
        <v>0</v>
      </c>
      <c r="BE25" s="287">
        <f t="shared" si="7"/>
        <v>0</v>
      </c>
      <c r="BF25" s="287">
        <f t="shared" si="7"/>
        <v>0</v>
      </c>
      <c r="BG25" s="287">
        <f t="shared" si="7"/>
        <v>0</v>
      </c>
      <c r="BH25" s="287">
        <f t="shared" si="7"/>
        <v>0</v>
      </c>
      <c r="BI25" s="287">
        <f t="shared" si="7"/>
        <v>0</v>
      </c>
      <c r="BJ25" s="287">
        <f t="shared" si="7"/>
        <v>0</v>
      </c>
      <c r="BK25" s="287">
        <f t="shared" si="7"/>
        <v>0</v>
      </c>
      <c r="BL25" s="287">
        <f t="shared" si="7"/>
        <v>0</v>
      </c>
      <c r="BM25" s="287">
        <f t="shared" si="7"/>
        <v>0</v>
      </c>
      <c r="BN25" s="287">
        <f t="shared" si="7"/>
        <v>0</v>
      </c>
      <c r="BO25" s="287">
        <f t="shared" si="7"/>
        <v>0</v>
      </c>
      <c r="BP25" s="287">
        <f t="shared" si="7"/>
        <v>0</v>
      </c>
      <c r="BQ25" s="287">
        <f t="shared" si="7"/>
        <v>0</v>
      </c>
      <c r="BR25" s="287">
        <f t="shared" si="7"/>
        <v>0</v>
      </c>
      <c r="BS25" s="287">
        <f t="shared" si="7"/>
        <v>0</v>
      </c>
      <c r="BT25" s="287">
        <f t="shared" si="7"/>
        <v>0</v>
      </c>
      <c r="BU25" s="287">
        <f t="shared" si="7"/>
        <v>0</v>
      </c>
      <c r="BV25" s="287">
        <f t="shared" si="7"/>
        <v>0</v>
      </c>
      <c r="BW25" s="287">
        <f t="shared" si="7"/>
        <v>0</v>
      </c>
      <c r="BX25" s="287">
        <f t="shared" si="7"/>
        <v>0</v>
      </c>
      <c r="BY25" s="288">
        <f t="shared" si="7"/>
        <v>-850000</v>
      </c>
      <c r="BZ25" s="631"/>
      <c r="CE25" s="614"/>
    </row>
    <row r="26" spans="2:84" outlineLevel="1">
      <c r="B26" s="629"/>
      <c r="C26" s="290" t="s">
        <v>275</v>
      </c>
      <c r="D26" s="294" t="s">
        <v>262</v>
      </c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  <c r="AA26" s="295"/>
      <c r="AB26" s="295"/>
      <c r="AC26" s="295"/>
      <c r="AD26" s="295"/>
      <c r="AE26" s="295"/>
      <c r="AF26" s="295"/>
      <c r="AG26" s="295">
        <f>-Businessplan_prodej!$F$21/3</f>
        <v>-283333.33333333331</v>
      </c>
      <c r="AH26" s="295">
        <f>-Businessplan_prodej!$F$21/3*2</f>
        <v>-566666.66666666663</v>
      </c>
      <c r="AI26" s="295"/>
      <c r="AJ26" s="295"/>
      <c r="AK26" s="295"/>
      <c r="AL26" s="295"/>
      <c r="AM26" s="295"/>
      <c r="AN26" s="295"/>
      <c r="AO26" s="295"/>
      <c r="AP26" s="295"/>
      <c r="AQ26" s="295"/>
      <c r="AR26" s="295"/>
      <c r="AS26" s="295"/>
      <c r="AT26" s="295"/>
      <c r="AU26" s="295"/>
      <c r="AV26" s="295"/>
      <c r="AW26" s="295"/>
      <c r="AX26" s="295"/>
      <c r="AY26" s="295"/>
      <c r="AZ26" s="295"/>
      <c r="BA26" s="295"/>
      <c r="BB26" s="295"/>
      <c r="BC26" s="295"/>
      <c r="BD26" s="295"/>
      <c r="BE26" s="295"/>
      <c r="BF26" s="295"/>
      <c r="BG26" s="295"/>
      <c r="BH26" s="295"/>
      <c r="BI26" s="295"/>
      <c r="BJ26" s="295"/>
      <c r="BK26" s="295"/>
      <c r="BL26" s="295"/>
      <c r="BM26" s="295"/>
      <c r="BN26" s="295"/>
      <c r="BO26" s="295"/>
      <c r="BP26" s="295"/>
      <c r="BQ26" s="295"/>
      <c r="BR26" s="295"/>
      <c r="BS26" s="295"/>
      <c r="BT26" s="295"/>
      <c r="BU26" s="295"/>
      <c r="BV26" s="295"/>
      <c r="BW26" s="295"/>
      <c r="BX26" s="295"/>
      <c r="BY26" s="296">
        <f t="shared" ref="BY26:BY27" si="8">SUM(E26:BX26)</f>
        <v>-850000</v>
      </c>
      <c r="BZ26" s="631"/>
      <c r="CE26" s="616"/>
    </row>
    <row r="27" spans="2:84" outlineLevel="1">
      <c r="B27" s="629"/>
      <c r="C27" s="290" t="s">
        <v>276</v>
      </c>
      <c r="D27" s="294" t="s">
        <v>262</v>
      </c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  <c r="AA27" s="295"/>
      <c r="AB27" s="295"/>
      <c r="AC27" s="295"/>
      <c r="AD27" s="295"/>
      <c r="AE27" s="295"/>
      <c r="AF27" s="295"/>
      <c r="AG27" s="295"/>
      <c r="AH27" s="295"/>
      <c r="AI27" s="295"/>
      <c r="AJ27" s="295"/>
      <c r="AK27" s="295"/>
      <c r="AL27" s="295"/>
      <c r="AM27" s="295"/>
      <c r="AN27" s="295"/>
      <c r="AO27" s="295"/>
      <c r="AP27" s="295"/>
      <c r="AQ27" s="295"/>
      <c r="AR27" s="295"/>
      <c r="AS27" s="295"/>
      <c r="AT27" s="295"/>
      <c r="AU27" s="295"/>
      <c r="AV27" s="295"/>
      <c r="AW27" s="295"/>
      <c r="AX27" s="295"/>
      <c r="AY27" s="295"/>
      <c r="AZ27" s="295"/>
      <c r="BA27" s="295"/>
      <c r="BB27" s="295"/>
      <c r="BC27" s="295"/>
      <c r="BD27" s="295"/>
      <c r="BE27" s="295"/>
      <c r="BF27" s="295"/>
      <c r="BG27" s="295"/>
      <c r="BH27" s="295"/>
      <c r="BI27" s="295"/>
      <c r="BJ27" s="295"/>
      <c r="BK27" s="295"/>
      <c r="BL27" s="295"/>
      <c r="BM27" s="295"/>
      <c r="BN27" s="295"/>
      <c r="BO27" s="295"/>
      <c r="BP27" s="295"/>
      <c r="BQ27" s="295"/>
      <c r="BR27" s="295"/>
      <c r="BS27" s="295"/>
      <c r="BT27" s="295"/>
      <c r="BU27" s="295"/>
      <c r="BV27" s="295"/>
      <c r="BW27" s="295"/>
      <c r="BX27" s="295"/>
      <c r="BY27" s="296">
        <f t="shared" si="8"/>
        <v>0</v>
      </c>
      <c r="BZ27" s="631"/>
      <c r="CD27" s="612"/>
      <c r="CE27" s="615"/>
      <c r="CF27" s="613"/>
    </row>
    <row r="28" spans="2:84" ht="16">
      <c r="B28" s="629"/>
      <c r="C28" s="285" t="s">
        <v>277</v>
      </c>
      <c r="D28" s="286"/>
      <c r="E28" s="287">
        <f t="shared" ref="E28:BX28" si="9">SUM(E29:E35)</f>
        <v>0</v>
      </c>
      <c r="F28" s="287">
        <f t="shared" si="9"/>
        <v>0</v>
      </c>
      <c r="G28" s="287">
        <f t="shared" si="9"/>
        <v>0</v>
      </c>
      <c r="H28" s="287">
        <f t="shared" si="9"/>
        <v>0</v>
      </c>
      <c r="I28" s="287">
        <f t="shared" si="9"/>
        <v>0</v>
      </c>
      <c r="J28" s="287">
        <f t="shared" si="9"/>
        <v>0</v>
      </c>
      <c r="K28" s="287">
        <f t="shared" si="9"/>
        <v>0</v>
      </c>
      <c r="L28" s="287">
        <f t="shared" si="9"/>
        <v>0</v>
      </c>
      <c r="M28" s="287">
        <f t="shared" si="9"/>
        <v>0</v>
      </c>
      <c r="N28" s="287">
        <f t="shared" si="9"/>
        <v>0</v>
      </c>
      <c r="O28" s="287">
        <f t="shared" si="9"/>
        <v>0</v>
      </c>
      <c r="P28" s="287">
        <f t="shared" si="9"/>
        <v>0</v>
      </c>
      <c r="Q28" s="287">
        <f t="shared" si="9"/>
        <v>0</v>
      </c>
      <c r="R28" s="287">
        <f t="shared" si="9"/>
        <v>0</v>
      </c>
      <c r="S28" s="287">
        <f t="shared" si="9"/>
        <v>0</v>
      </c>
      <c r="T28" s="287">
        <f t="shared" si="9"/>
        <v>0</v>
      </c>
      <c r="U28" s="287">
        <f t="shared" si="9"/>
        <v>0</v>
      </c>
      <c r="V28" s="287">
        <f t="shared" si="9"/>
        <v>0</v>
      </c>
      <c r="W28" s="287">
        <f t="shared" si="9"/>
        <v>-611050</v>
      </c>
      <c r="X28" s="287">
        <f t="shared" si="9"/>
        <v>0</v>
      </c>
      <c r="Y28" s="287">
        <f t="shared" si="9"/>
        <v>0</v>
      </c>
      <c r="Z28" s="287">
        <f t="shared" si="9"/>
        <v>-10546286.75</v>
      </c>
      <c r="AA28" s="287">
        <f t="shared" si="9"/>
        <v>-7019500</v>
      </c>
      <c r="AB28" s="287">
        <f t="shared" si="9"/>
        <v>-16649808.02</v>
      </c>
      <c r="AC28" s="287">
        <f t="shared" si="9"/>
        <v>-12602750</v>
      </c>
      <c r="AD28" s="287">
        <f t="shared" si="9"/>
        <v>-14399282.27</v>
      </c>
      <c r="AE28" s="287">
        <f t="shared" si="9"/>
        <v>-13240439</v>
      </c>
      <c r="AF28" s="287">
        <f t="shared" si="9"/>
        <v>-4856251.53</v>
      </c>
      <c r="AG28" s="287">
        <f t="shared" si="9"/>
        <v>-1556744</v>
      </c>
      <c r="AH28" s="287">
        <f t="shared" si="9"/>
        <v>-22887008.430000007</v>
      </c>
      <c r="AI28" s="287">
        <f t="shared" si="9"/>
        <v>0</v>
      </c>
      <c r="AJ28" s="287">
        <f t="shared" si="9"/>
        <v>0</v>
      </c>
      <c r="AK28" s="287">
        <f t="shared" si="9"/>
        <v>0</v>
      </c>
      <c r="AL28" s="287">
        <f t="shared" si="9"/>
        <v>0</v>
      </c>
      <c r="AM28" s="287">
        <f t="shared" si="9"/>
        <v>0</v>
      </c>
      <c r="AN28" s="287">
        <f t="shared" si="9"/>
        <v>0</v>
      </c>
      <c r="AO28" s="287">
        <f t="shared" si="9"/>
        <v>0</v>
      </c>
      <c r="AP28" s="287">
        <f t="shared" si="9"/>
        <v>0</v>
      </c>
      <c r="AQ28" s="287">
        <f t="shared" si="9"/>
        <v>0</v>
      </c>
      <c r="AR28" s="287">
        <f t="shared" si="9"/>
        <v>0</v>
      </c>
      <c r="AS28" s="287">
        <f t="shared" si="9"/>
        <v>0</v>
      </c>
      <c r="AT28" s="287">
        <f t="shared" si="9"/>
        <v>0</v>
      </c>
      <c r="AU28" s="287">
        <f t="shared" si="9"/>
        <v>0</v>
      </c>
      <c r="AV28" s="287">
        <f t="shared" si="9"/>
        <v>0</v>
      </c>
      <c r="AW28" s="287">
        <f t="shared" si="9"/>
        <v>0</v>
      </c>
      <c r="AX28" s="287">
        <f t="shared" si="9"/>
        <v>0</v>
      </c>
      <c r="AY28" s="287">
        <f t="shared" si="9"/>
        <v>0</v>
      </c>
      <c r="AZ28" s="287">
        <f t="shared" si="9"/>
        <v>0</v>
      </c>
      <c r="BA28" s="287">
        <f t="shared" si="9"/>
        <v>0</v>
      </c>
      <c r="BB28" s="287">
        <f t="shared" si="9"/>
        <v>0</v>
      </c>
      <c r="BC28" s="287">
        <f t="shared" si="9"/>
        <v>0</v>
      </c>
      <c r="BD28" s="287">
        <f t="shared" si="9"/>
        <v>0</v>
      </c>
      <c r="BE28" s="287">
        <f t="shared" si="9"/>
        <v>0</v>
      </c>
      <c r="BF28" s="287">
        <f t="shared" si="9"/>
        <v>0</v>
      </c>
      <c r="BG28" s="287">
        <f t="shared" si="9"/>
        <v>0</v>
      </c>
      <c r="BH28" s="287">
        <f t="shared" si="9"/>
        <v>0</v>
      </c>
      <c r="BI28" s="287">
        <f t="shared" si="9"/>
        <v>0</v>
      </c>
      <c r="BJ28" s="287">
        <f t="shared" si="9"/>
        <v>0</v>
      </c>
      <c r="BK28" s="287">
        <f t="shared" si="9"/>
        <v>0</v>
      </c>
      <c r="BL28" s="287">
        <f t="shared" si="9"/>
        <v>0</v>
      </c>
      <c r="BM28" s="287">
        <f t="shared" si="9"/>
        <v>0</v>
      </c>
      <c r="BN28" s="287">
        <f t="shared" si="9"/>
        <v>0</v>
      </c>
      <c r="BO28" s="287">
        <f t="shared" si="9"/>
        <v>0</v>
      </c>
      <c r="BP28" s="287">
        <f t="shared" si="9"/>
        <v>0</v>
      </c>
      <c r="BQ28" s="287">
        <f t="shared" si="9"/>
        <v>0</v>
      </c>
      <c r="BR28" s="287">
        <f t="shared" si="9"/>
        <v>0</v>
      </c>
      <c r="BS28" s="287">
        <f t="shared" si="9"/>
        <v>0</v>
      </c>
      <c r="BT28" s="287">
        <f t="shared" si="9"/>
        <v>0</v>
      </c>
      <c r="BU28" s="287">
        <f t="shared" si="9"/>
        <v>0</v>
      </c>
      <c r="BV28" s="287">
        <f t="shared" si="9"/>
        <v>0</v>
      </c>
      <c r="BW28" s="287">
        <f t="shared" si="9"/>
        <v>0</v>
      </c>
      <c r="BX28" s="287">
        <f t="shared" si="9"/>
        <v>0</v>
      </c>
      <c r="BY28" s="289">
        <f>SUM(BY29:BY35)</f>
        <v>-104369120</v>
      </c>
      <c r="BZ28" s="631"/>
      <c r="CD28" s="612"/>
      <c r="CE28" s="615"/>
      <c r="CF28" s="613"/>
    </row>
    <row r="29" spans="2:84" outlineLevel="1">
      <c r="B29" s="629"/>
      <c r="C29" s="290" t="s">
        <v>278</v>
      </c>
      <c r="D29" s="291" t="s">
        <v>262</v>
      </c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2"/>
      <c r="P29" s="292"/>
      <c r="Q29" s="292"/>
      <c r="R29" s="292"/>
      <c r="S29" s="292"/>
      <c r="T29" s="292"/>
      <c r="U29" s="292"/>
      <c r="V29" s="292"/>
      <c r="W29" s="292"/>
      <c r="X29" s="292"/>
      <c r="Y29" s="292"/>
      <c r="Z29" s="292">
        <f>-5426436.65-5119850.1</f>
        <v>-10546286.75</v>
      </c>
      <c r="AA29" s="292">
        <f>-7000000</f>
        <v>-7000000</v>
      </c>
      <c r="AB29" s="292">
        <f>-5601607.09-10801090.93</f>
        <v>-16402698.02</v>
      </c>
      <c r="AC29" s="292">
        <f>-12602750</f>
        <v>-12602750</v>
      </c>
      <c r="AD29" s="292">
        <f>-14399282.27</f>
        <v>-14399282.27</v>
      </c>
      <c r="AE29" s="292">
        <f>-13240439</f>
        <v>-13240439</v>
      </c>
      <c r="AF29" s="292">
        <f>-4856251.53</f>
        <v>-4856251.53</v>
      </c>
      <c r="AG29" s="292">
        <f>-1456744</f>
        <v>-1456744</v>
      </c>
      <c r="AH29" s="292">
        <f>-Businessplan_prodej!F30-SUM(CF!Z29:AG29)</f>
        <v>-17365548.430000007</v>
      </c>
      <c r="AI29" s="292"/>
      <c r="AJ29" s="292"/>
      <c r="AK29" s="292"/>
      <c r="AL29" s="292"/>
      <c r="AM29" s="292"/>
      <c r="AN29" s="292"/>
      <c r="AO29" s="292"/>
      <c r="AP29" s="292"/>
      <c r="AQ29" s="292"/>
      <c r="AR29" s="292"/>
      <c r="AS29" s="292"/>
      <c r="AT29" s="292"/>
      <c r="AU29" s="292"/>
      <c r="AV29" s="292"/>
      <c r="AW29" s="292"/>
      <c r="AX29" s="292"/>
      <c r="AY29" s="292"/>
      <c r="AZ29" s="292"/>
      <c r="BA29" s="292"/>
      <c r="BB29" s="292"/>
      <c r="BC29" s="292"/>
      <c r="BD29" s="292"/>
      <c r="BE29" s="292"/>
      <c r="BF29" s="292"/>
      <c r="BG29" s="292"/>
      <c r="BH29" s="292"/>
      <c r="BI29" s="292"/>
      <c r="BJ29" s="292"/>
      <c r="BK29" s="292"/>
      <c r="BL29" s="292"/>
      <c r="BM29" s="292"/>
      <c r="BN29" s="292"/>
      <c r="BO29" s="292"/>
      <c r="BP29" s="292"/>
      <c r="BQ29" s="292"/>
      <c r="BR29" s="292"/>
      <c r="BS29" s="292"/>
      <c r="BT29" s="292"/>
      <c r="BU29" s="292"/>
      <c r="BV29" s="292"/>
      <c r="BW29" s="292"/>
      <c r="BX29" s="297"/>
      <c r="BY29" s="298">
        <f t="shared" ref="BY29:BY35" si="10">SUM(E29:BX29)</f>
        <v>-97870000</v>
      </c>
      <c r="BZ29" s="631"/>
      <c r="CD29" s="612"/>
      <c r="CE29" s="615"/>
      <c r="CF29" s="613"/>
    </row>
    <row r="30" spans="2:84" outlineLevel="1">
      <c r="B30" s="629"/>
      <c r="C30" s="290" t="str">
        <f>Businessplan_prodej!B33</f>
        <v>Vynucené investice</v>
      </c>
      <c r="D30" s="291" t="s">
        <v>262</v>
      </c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/>
      <c r="R30" s="292"/>
      <c r="S30" s="292"/>
      <c r="T30" s="292"/>
      <c r="U30" s="292"/>
      <c r="V30" s="292"/>
      <c r="W30" s="292"/>
      <c r="X30" s="292"/>
      <c r="Y30" s="292"/>
      <c r="Z30" s="292"/>
      <c r="AA30" s="292"/>
      <c r="AB30" s="292"/>
      <c r="AC30" s="292"/>
      <c r="AD30" s="292"/>
      <c r="AE30" s="292"/>
      <c r="AF30" s="292"/>
      <c r="AG30" s="292"/>
      <c r="AH30" s="292">
        <f>-3000000</f>
        <v>-3000000</v>
      </c>
      <c r="AI30" s="292"/>
      <c r="AJ30" s="292"/>
      <c r="AK30" s="292"/>
      <c r="AL30" s="292"/>
      <c r="AM30" s="292"/>
      <c r="AN30" s="292"/>
      <c r="AO30" s="292"/>
      <c r="AP30" s="292"/>
      <c r="AQ30" s="292"/>
      <c r="AR30" s="292"/>
      <c r="AS30" s="292"/>
      <c r="AT30" s="292"/>
      <c r="AU30" s="292"/>
      <c r="AV30" s="292"/>
      <c r="AW30" s="292"/>
      <c r="AX30" s="292"/>
      <c r="AY30" s="292"/>
      <c r="AZ30" s="292"/>
      <c r="BA30" s="292"/>
      <c r="BB30" s="292"/>
      <c r="BC30" s="292"/>
      <c r="BD30" s="292"/>
      <c r="BE30" s="292"/>
      <c r="BF30" s="292"/>
      <c r="BG30" s="292"/>
      <c r="BH30" s="292"/>
      <c r="BI30" s="292"/>
      <c r="BJ30" s="292"/>
      <c r="BK30" s="292"/>
      <c r="BL30" s="292"/>
      <c r="BM30" s="292"/>
      <c r="BN30" s="292"/>
      <c r="BO30" s="292"/>
      <c r="BP30" s="292"/>
      <c r="BQ30" s="292"/>
      <c r="BR30" s="292"/>
      <c r="BS30" s="292"/>
      <c r="BT30" s="292"/>
      <c r="BU30" s="292"/>
      <c r="BV30" s="292"/>
      <c r="BW30" s="292"/>
      <c r="BX30" s="297"/>
      <c r="BY30" s="299">
        <f t="shared" si="10"/>
        <v>-3000000</v>
      </c>
      <c r="BZ30" s="631"/>
      <c r="CD30" s="612"/>
      <c r="CE30" s="615"/>
      <c r="CF30" s="613"/>
    </row>
    <row r="31" spans="2:84" outlineLevel="1">
      <c r="B31" s="629"/>
      <c r="C31" s="290" t="s">
        <v>279</v>
      </c>
      <c r="D31" s="291" t="s">
        <v>262</v>
      </c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  <c r="V31" s="292"/>
      <c r="W31" s="292"/>
      <c r="X31" s="292"/>
      <c r="Y31" s="292"/>
      <c r="Z31" s="292"/>
      <c r="AA31" s="292"/>
      <c r="AB31" s="292"/>
      <c r="AC31" s="292"/>
      <c r="AD31" s="292"/>
      <c r="AE31" s="292"/>
      <c r="AF31" s="292"/>
      <c r="AG31" s="292"/>
      <c r="AH31" s="292"/>
      <c r="AI31" s="292"/>
      <c r="AJ31" s="292"/>
      <c r="AK31" s="292"/>
      <c r="AL31" s="292"/>
      <c r="AM31" s="292"/>
      <c r="AN31" s="292"/>
      <c r="AO31" s="292"/>
      <c r="AP31" s="292"/>
      <c r="AQ31" s="292"/>
      <c r="AR31" s="292"/>
      <c r="AS31" s="292"/>
      <c r="AT31" s="292"/>
      <c r="AU31" s="292"/>
      <c r="AV31" s="292"/>
      <c r="AW31" s="292"/>
      <c r="AX31" s="292"/>
      <c r="AY31" s="292"/>
      <c r="AZ31" s="292"/>
      <c r="BA31" s="292"/>
      <c r="BB31" s="292"/>
      <c r="BC31" s="292"/>
      <c r="BD31" s="292"/>
      <c r="BE31" s="292"/>
      <c r="BF31" s="292"/>
      <c r="BG31" s="292"/>
      <c r="BH31" s="292"/>
      <c r="BI31" s="292"/>
      <c r="BJ31" s="292"/>
      <c r="BK31" s="292"/>
      <c r="BL31" s="292"/>
      <c r="BM31" s="292"/>
      <c r="BN31" s="292"/>
      <c r="BO31" s="292"/>
      <c r="BP31" s="292"/>
      <c r="BQ31" s="292"/>
      <c r="BR31" s="292"/>
      <c r="BS31" s="292"/>
      <c r="BT31" s="292"/>
      <c r="BU31" s="292"/>
      <c r="BV31" s="292"/>
      <c r="BW31" s="292"/>
      <c r="BX31" s="297"/>
      <c r="BY31" s="299">
        <f t="shared" si="10"/>
        <v>0</v>
      </c>
      <c r="BZ31" s="631"/>
      <c r="CD31" s="612"/>
      <c r="CE31" s="615"/>
      <c r="CF31" s="613"/>
    </row>
    <row r="32" spans="2:84" outlineLevel="1">
      <c r="B32" s="629"/>
      <c r="C32" s="290" t="s">
        <v>280</v>
      </c>
      <c r="D32" s="291" t="s">
        <v>262</v>
      </c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S32" s="292"/>
      <c r="T32" s="292"/>
      <c r="U32" s="292"/>
      <c r="V32" s="292"/>
      <c r="W32" s="292">
        <f>-611050</f>
        <v>-611050</v>
      </c>
      <c r="X32" s="292"/>
      <c r="Y32" s="292"/>
      <c r="Z32" s="292"/>
      <c r="AA32" s="292">
        <f>-19500</f>
        <v>-19500</v>
      </c>
      <c r="AB32" s="292">
        <f>-247110</f>
        <v>-247110</v>
      </c>
      <c r="AC32" s="292"/>
      <c r="AD32" s="292"/>
      <c r="AE32" s="292"/>
      <c r="AF32" s="292"/>
      <c r="AG32" s="292"/>
      <c r="AH32" s="292"/>
      <c r="AI32" s="292"/>
      <c r="AJ32" s="292"/>
      <c r="AK32" s="292"/>
      <c r="AL32" s="292"/>
      <c r="AM32" s="292"/>
      <c r="AN32" s="292"/>
      <c r="AO32" s="292"/>
      <c r="AP32" s="292"/>
      <c r="AQ32" s="292"/>
      <c r="AR32" s="292"/>
      <c r="AS32" s="292"/>
      <c r="AT32" s="292"/>
      <c r="AU32" s="292"/>
      <c r="AV32" s="292"/>
      <c r="AW32" s="292"/>
      <c r="AX32" s="292"/>
      <c r="AY32" s="292"/>
      <c r="AZ32" s="292"/>
      <c r="BA32" s="292"/>
      <c r="BB32" s="292"/>
      <c r="BC32" s="292"/>
      <c r="BD32" s="292"/>
      <c r="BE32" s="292"/>
      <c r="BF32" s="292"/>
      <c r="BG32" s="292"/>
      <c r="BH32" s="292"/>
      <c r="BI32" s="292"/>
      <c r="BJ32" s="292"/>
      <c r="BK32" s="292"/>
      <c r="BL32" s="292"/>
      <c r="BM32" s="292"/>
      <c r="BN32" s="292"/>
      <c r="BO32" s="292"/>
      <c r="BP32" s="292"/>
      <c r="BQ32" s="292"/>
      <c r="BR32" s="292"/>
      <c r="BS32" s="292"/>
      <c r="BT32" s="292"/>
      <c r="BU32" s="292"/>
      <c r="BV32" s="292"/>
      <c r="BW32" s="292"/>
      <c r="BX32" s="297"/>
      <c r="BY32" s="299">
        <f t="shared" si="10"/>
        <v>-877660</v>
      </c>
      <c r="BZ32" s="631"/>
      <c r="CD32" s="612"/>
      <c r="CE32" s="615"/>
      <c r="CF32" s="613"/>
    </row>
    <row r="33" spans="2:84" outlineLevel="1">
      <c r="B33" s="629"/>
      <c r="C33" s="290" t="s">
        <v>281</v>
      </c>
      <c r="D33" s="291" t="s">
        <v>262</v>
      </c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  <c r="V33" s="292"/>
      <c r="W33" s="292"/>
      <c r="X33" s="292"/>
      <c r="Y33" s="292"/>
      <c r="Z33" s="292"/>
      <c r="AA33" s="292"/>
      <c r="AB33" s="292"/>
      <c r="AC33" s="292"/>
      <c r="AD33" s="292"/>
      <c r="AE33" s="292"/>
      <c r="AF33" s="292"/>
      <c r="AG33" s="292"/>
      <c r="AH33" s="292"/>
      <c r="AI33" s="292"/>
      <c r="AJ33" s="292"/>
      <c r="AK33" s="292"/>
      <c r="AL33" s="292"/>
      <c r="AM33" s="292"/>
      <c r="AN33" s="292"/>
      <c r="AO33" s="292"/>
      <c r="AP33" s="292"/>
      <c r="AQ33" s="292"/>
      <c r="AR33" s="292"/>
      <c r="AS33" s="292"/>
      <c r="AT33" s="292"/>
      <c r="AU33" s="292"/>
      <c r="AV33" s="292"/>
      <c r="AW33" s="292"/>
      <c r="AX33" s="292"/>
      <c r="AY33" s="292"/>
      <c r="AZ33" s="292"/>
      <c r="BA33" s="292"/>
      <c r="BB33" s="292"/>
      <c r="BC33" s="292"/>
      <c r="BD33" s="292"/>
      <c r="BE33" s="292"/>
      <c r="BF33" s="292"/>
      <c r="BG33" s="292"/>
      <c r="BH33" s="292"/>
      <c r="BI33" s="292"/>
      <c r="BJ33" s="292"/>
      <c r="BK33" s="292"/>
      <c r="BL33" s="292"/>
      <c r="BM33" s="292"/>
      <c r="BN33" s="292"/>
      <c r="BO33" s="292"/>
      <c r="BP33" s="292"/>
      <c r="BQ33" s="292"/>
      <c r="BR33" s="292"/>
      <c r="BS33" s="292"/>
      <c r="BT33" s="292"/>
      <c r="BU33" s="292"/>
      <c r="BV33" s="292"/>
      <c r="BW33" s="292"/>
      <c r="BX33" s="297"/>
      <c r="BY33" s="299">
        <f t="shared" si="10"/>
        <v>0</v>
      </c>
      <c r="BZ33" s="631"/>
      <c r="CD33" s="612"/>
      <c r="CE33" s="615"/>
      <c r="CF33" s="613"/>
    </row>
    <row r="34" spans="2:84" outlineLevel="1">
      <c r="B34" s="629"/>
      <c r="C34" s="300" t="str">
        <f>Businessplan_prodej!B38</f>
        <v>Autobus</v>
      </c>
      <c r="D34" s="291" t="s">
        <v>262</v>
      </c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/>
      <c r="R34" s="292"/>
      <c r="S34" s="292"/>
      <c r="T34" s="292"/>
      <c r="U34" s="292"/>
      <c r="V34" s="292"/>
      <c r="W34" s="292"/>
      <c r="X34" s="292"/>
      <c r="Y34" s="292"/>
      <c r="Z34" s="292"/>
      <c r="AA34" s="292"/>
      <c r="AB34" s="292"/>
      <c r="AC34" s="292"/>
      <c r="AD34" s="292"/>
      <c r="AE34" s="292"/>
      <c r="AF34" s="292"/>
      <c r="AG34" s="292">
        <f>-100000</f>
        <v>-100000</v>
      </c>
      <c r="AH34" s="292">
        <f>-100000</f>
        <v>-100000</v>
      </c>
      <c r="AI34" s="292"/>
      <c r="AJ34" s="292"/>
      <c r="AK34" s="292"/>
      <c r="AL34" s="292"/>
      <c r="AM34" s="292"/>
      <c r="AN34" s="292"/>
      <c r="AO34" s="292"/>
      <c r="AP34" s="292"/>
      <c r="AQ34" s="292"/>
      <c r="AR34" s="292"/>
      <c r="AS34" s="292"/>
      <c r="AT34" s="292"/>
      <c r="AU34" s="292"/>
      <c r="AV34" s="292"/>
      <c r="AW34" s="292"/>
      <c r="AX34" s="292"/>
      <c r="AY34" s="292"/>
      <c r="AZ34" s="292"/>
      <c r="BA34" s="292"/>
      <c r="BB34" s="292"/>
      <c r="BC34" s="292"/>
      <c r="BD34" s="292"/>
      <c r="BE34" s="292"/>
      <c r="BF34" s="292"/>
      <c r="BG34" s="292"/>
      <c r="BH34" s="292"/>
      <c r="BI34" s="292"/>
      <c r="BJ34" s="292"/>
      <c r="BK34" s="292"/>
      <c r="BL34" s="292"/>
      <c r="BM34" s="292"/>
      <c r="BN34" s="292"/>
      <c r="BO34" s="292"/>
      <c r="BP34" s="292"/>
      <c r="BQ34" s="292"/>
      <c r="BR34" s="292"/>
      <c r="BS34" s="292"/>
      <c r="BT34" s="292"/>
      <c r="BU34" s="292"/>
      <c r="BV34" s="292"/>
      <c r="BW34" s="292"/>
      <c r="BX34" s="297"/>
      <c r="BY34" s="299">
        <f t="shared" si="10"/>
        <v>-200000</v>
      </c>
      <c r="BZ34" s="631"/>
      <c r="CD34" s="612"/>
      <c r="CE34" s="615"/>
      <c r="CF34" s="613"/>
    </row>
    <row r="35" spans="2:84" outlineLevel="1">
      <c r="B35" s="629"/>
      <c r="C35" s="290" t="s">
        <v>282</v>
      </c>
      <c r="D35" s="294" t="s">
        <v>262</v>
      </c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  <c r="V35" s="292"/>
      <c r="W35" s="292"/>
      <c r="X35" s="292"/>
      <c r="Y35" s="292"/>
      <c r="Z35" s="292"/>
      <c r="AA35" s="292"/>
      <c r="AB35" s="292"/>
      <c r="AC35" s="292"/>
      <c r="AD35" s="292"/>
      <c r="AE35" s="292"/>
      <c r="AF35" s="292"/>
      <c r="AG35" s="292"/>
      <c r="AH35" s="292">
        <f>-2421460</f>
        <v>-2421460</v>
      </c>
      <c r="AI35" s="292"/>
      <c r="AJ35" s="292"/>
      <c r="AK35" s="292"/>
      <c r="AL35" s="292"/>
      <c r="AM35" s="292"/>
      <c r="AN35" s="292"/>
      <c r="AO35" s="292"/>
      <c r="AP35" s="292"/>
      <c r="AQ35" s="292"/>
      <c r="AR35" s="292"/>
      <c r="AS35" s="292"/>
      <c r="AT35" s="292"/>
      <c r="AU35" s="292"/>
      <c r="AV35" s="292"/>
      <c r="AW35" s="292"/>
      <c r="AX35" s="292"/>
      <c r="AY35" s="292"/>
      <c r="AZ35" s="292"/>
      <c r="BA35" s="292"/>
      <c r="BB35" s="292"/>
      <c r="BC35" s="292"/>
      <c r="BD35" s="292"/>
      <c r="BE35" s="292"/>
      <c r="BF35" s="292"/>
      <c r="BG35" s="292"/>
      <c r="BH35" s="292"/>
      <c r="BI35" s="292"/>
      <c r="BJ35" s="292"/>
      <c r="BK35" s="292"/>
      <c r="BL35" s="292"/>
      <c r="BM35" s="292"/>
      <c r="BN35" s="292"/>
      <c r="BO35" s="292"/>
      <c r="BP35" s="292"/>
      <c r="BQ35" s="292"/>
      <c r="BR35" s="292"/>
      <c r="BS35" s="292"/>
      <c r="BT35" s="292"/>
      <c r="BU35" s="292"/>
      <c r="BV35" s="292"/>
      <c r="BW35" s="292"/>
      <c r="BX35" s="297"/>
      <c r="BY35" s="301">
        <f t="shared" si="10"/>
        <v>-2421460</v>
      </c>
      <c r="BZ35" s="631"/>
    </row>
    <row r="36" spans="2:84" ht="16">
      <c r="B36" s="629"/>
      <c r="C36" s="285" t="s">
        <v>283</v>
      </c>
      <c r="D36" s="286"/>
      <c r="E36" s="287">
        <f t="shared" ref="E36:BX36" si="11">SUM(E37:E38)</f>
        <v>0</v>
      </c>
      <c r="F36" s="287">
        <f t="shared" si="11"/>
        <v>0</v>
      </c>
      <c r="G36" s="287">
        <f t="shared" si="11"/>
        <v>0</v>
      </c>
      <c r="H36" s="287">
        <f t="shared" si="11"/>
        <v>0</v>
      </c>
      <c r="I36" s="287">
        <f t="shared" si="11"/>
        <v>0</v>
      </c>
      <c r="J36" s="287">
        <f t="shared" si="11"/>
        <v>0</v>
      </c>
      <c r="K36" s="287">
        <f t="shared" si="11"/>
        <v>0</v>
      </c>
      <c r="L36" s="287">
        <f t="shared" si="11"/>
        <v>0</v>
      </c>
      <c r="M36" s="287">
        <f t="shared" si="11"/>
        <v>0</v>
      </c>
      <c r="N36" s="287">
        <f t="shared" si="11"/>
        <v>0</v>
      </c>
      <c r="O36" s="287">
        <f t="shared" si="11"/>
        <v>0</v>
      </c>
      <c r="P36" s="287">
        <f t="shared" si="11"/>
        <v>0</v>
      </c>
      <c r="Q36" s="287">
        <f t="shared" si="11"/>
        <v>0</v>
      </c>
      <c r="R36" s="287">
        <f t="shared" si="11"/>
        <v>0</v>
      </c>
      <c r="S36" s="287">
        <f t="shared" si="11"/>
        <v>0</v>
      </c>
      <c r="T36" s="287">
        <f t="shared" si="11"/>
        <v>0</v>
      </c>
      <c r="U36" s="287">
        <f t="shared" si="11"/>
        <v>0</v>
      </c>
      <c r="V36" s="287">
        <f t="shared" si="11"/>
        <v>0</v>
      </c>
      <c r="W36" s="287">
        <f t="shared" si="11"/>
        <v>0</v>
      </c>
      <c r="X36" s="287">
        <f t="shared" si="11"/>
        <v>0</v>
      </c>
      <c r="Y36" s="287">
        <f t="shared" si="11"/>
        <v>0</v>
      </c>
      <c r="Z36" s="287">
        <f t="shared" si="11"/>
        <v>0</v>
      </c>
      <c r="AA36" s="287">
        <f t="shared" si="11"/>
        <v>0</v>
      </c>
      <c r="AB36" s="287">
        <f t="shared" si="11"/>
        <v>0</v>
      </c>
      <c r="AC36" s="287">
        <f t="shared" si="11"/>
        <v>0</v>
      </c>
      <c r="AD36" s="287">
        <f t="shared" si="11"/>
        <v>0</v>
      </c>
      <c r="AE36" s="287">
        <f t="shared" si="11"/>
        <v>0</v>
      </c>
      <c r="AF36" s="287">
        <f t="shared" si="11"/>
        <v>0</v>
      </c>
      <c r="AG36" s="287">
        <f t="shared" si="11"/>
        <v>-340028.875</v>
      </c>
      <c r="AH36" s="287">
        <f t="shared" si="11"/>
        <v>-340028.875</v>
      </c>
      <c r="AI36" s="287">
        <f t="shared" si="11"/>
        <v>0</v>
      </c>
      <c r="AJ36" s="287">
        <f t="shared" si="11"/>
        <v>0</v>
      </c>
      <c r="AK36" s="287">
        <f t="shared" si="11"/>
        <v>0</v>
      </c>
      <c r="AL36" s="287">
        <f t="shared" si="11"/>
        <v>0</v>
      </c>
      <c r="AM36" s="287">
        <f t="shared" si="11"/>
        <v>0</v>
      </c>
      <c r="AN36" s="287">
        <f t="shared" si="11"/>
        <v>0</v>
      </c>
      <c r="AO36" s="287">
        <f t="shared" si="11"/>
        <v>0</v>
      </c>
      <c r="AP36" s="287">
        <f t="shared" si="11"/>
        <v>0</v>
      </c>
      <c r="AQ36" s="287">
        <f t="shared" si="11"/>
        <v>0</v>
      </c>
      <c r="AR36" s="287">
        <f t="shared" si="11"/>
        <v>0</v>
      </c>
      <c r="AS36" s="287">
        <f t="shared" si="11"/>
        <v>0</v>
      </c>
      <c r="AT36" s="287">
        <f t="shared" si="11"/>
        <v>0</v>
      </c>
      <c r="AU36" s="287">
        <f t="shared" si="11"/>
        <v>0</v>
      </c>
      <c r="AV36" s="287">
        <f t="shared" si="11"/>
        <v>0</v>
      </c>
      <c r="AW36" s="287">
        <f t="shared" si="11"/>
        <v>0</v>
      </c>
      <c r="AX36" s="287">
        <f t="shared" si="11"/>
        <v>0</v>
      </c>
      <c r="AY36" s="287">
        <f t="shared" si="11"/>
        <v>0</v>
      </c>
      <c r="AZ36" s="287">
        <f t="shared" si="11"/>
        <v>0</v>
      </c>
      <c r="BA36" s="287">
        <f t="shared" si="11"/>
        <v>0</v>
      </c>
      <c r="BB36" s="287">
        <f t="shared" si="11"/>
        <v>0</v>
      </c>
      <c r="BC36" s="287">
        <f t="shared" si="11"/>
        <v>0</v>
      </c>
      <c r="BD36" s="287">
        <f t="shared" si="11"/>
        <v>0</v>
      </c>
      <c r="BE36" s="287">
        <f t="shared" si="11"/>
        <v>0</v>
      </c>
      <c r="BF36" s="287">
        <f t="shared" si="11"/>
        <v>0</v>
      </c>
      <c r="BG36" s="287">
        <f t="shared" si="11"/>
        <v>0</v>
      </c>
      <c r="BH36" s="287">
        <f t="shared" si="11"/>
        <v>0</v>
      </c>
      <c r="BI36" s="287">
        <f t="shared" si="11"/>
        <v>0</v>
      </c>
      <c r="BJ36" s="287">
        <f t="shared" si="11"/>
        <v>0</v>
      </c>
      <c r="BK36" s="287">
        <f t="shared" si="11"/>
        <v>0</v>
      </c>
      <c r="BL36" s="287">
        <f t="shared" si="11"/>
        <v>0</v>
      </c>
      <c r="BM36" s="287">
        <f t="shared" si="11"/>
        <v>0</v>
      </c>
      <c r="BN36" s="287">
        <f t="shared" si="11"/>
        <v>0</v>
      </c>
      <c r="BO36" s="287">
        <f t="shared" si="11"/>
        <v>0</v>
      </c>
      <c r="BP36" s="287">
        <f t="shared" si="11"/>
        <v>0</v>
      </c>
      <c r="BQ36" s="287">
        <f t="shared" si="11"/>
        <v>0</v>
      </c>
      <c r="BR36" s="287">
        <f t="shared" si="11"/>
        <v>0</v>
      </c>
      <c r="BS36" s="287">
        <f t="shared" si="11"/>
        <v>0</v>
      </c>
      <c r="BT36" s="287">
        <f t="shared" si="11"/>
        <v>0</v>
      </c>
      <c r="BU36" s="287">
        <f t="shared" si="11"/>
        <v>0</v>
      </c>
      <c r="BV36" s="287">
        <f t="shared" si="11"/>
        <v>0</v>
      </c>
      <c r="BW36" s="287">
        <f t="shared" si="11"/>
        <v>0</v>
      </c>
      <c r="BX36" s="287">
        <f t="shared" si="11"/>
        <v>0</v>
      </c>
      <c r="BY36" s="289">
        <f>SUM(BY37:BY38)</f>
        <v>-680057.75</v>
      </c>
      <c r="BZ36" s="631"/>
    </row>
    <row r="37" spans="2:84" hidden="1" outlineLevel="1">
      <c r="B37" s="629"/>
      <c r="C37" s="290" t="s">
        <v>284</v>
      </c>
      <c r="D37" s="291" t="s">
        <v>262</v>
      </c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/>
      <c r="R37" s="292"/>
      <c r="S37" s="302"/>
      <c r="T37" s="292"/>
      <c r="U37" s="292"/>
      <c r="V37" s="292"/>
      <c r="W37" s="292"/>
      <c r="X37" s="292"/>
      <c r="Y37" s="292"/>
      <c r="Z37" s="292"/>
      <c r="AA37" s="292"/>
      <c r="AB37" s="292"/>
      <c r="AC37" s="292"/>
      <c r="AD37" s="292"/>
      <c r="AE37" s="292"/>
      <c r="AF37" s="292"/>
      <c r="AG37" s="292"/>
      <c r="AH37" s="292"/>
      <c r="AI37" s="292"/>
      <c r="AJ37" s="292"/>
      <c r="AK37" s="292"/>
      <c r="AL37" s="292"/>
      <c r="AM37" s="292"/>
      <c r="AN37" s="292"/>
      <c r="AO37" s="292"/>
      <c r="AP37" s="292"/>
      <c r="AQ37" s="292"/>
      <c r="AR37" s="292"/>
      <c r="AS37" s="292"/>
      <c r="AT37" s="292"/>
      <c r="AU37" s="292"/>
      <c r="AV37" s="292"/>
      <c r="AW37" s="292"/>
      <c r="AX37" s="292"/>
      <c r="AY37" s="292"/>
      <c r="AZ37" s="292"/>
      <c r="BA37" s="292"/>
      <c r="BB37" s="292"/>
      <c r="BC37" s="292"/>
      <c r="BD37" s="292"/>
      <c r="BE37" s="292"/>
      <c r="BF37" s="292"/>
      <c r="BG37" s="292"/>
      <c r="BH37" s="292"/>
      <c r="BI37" s="292"/>
      <c r="BJ37" s="292"/>
      <c r="BK37" s="292"/>
      <c r="BL37" s="292"/>
      <c r="BM37" s="292"/>
      <c r="BN37" s="292"/>
      <c r="BO37" s="292"/>
      <c r="BP37" s="292"/>
      <c r="BQ37" s="292"/>
      <c r="BR37" s="292"/>
      <c r="BS37" s="292"/>
      <c r="BT37" s="292"/>
      <c r="BU37" s="292"/>
      <c r="BV37" s="292"/>
      <c r="BW37" s="292"/>
      <c r="BX37" s="297"/>
      <c r="BY37" s="298">
        <f t="shared" ref="BY37:BY38" si="12">SUM(E37:BX37)</f>
        <v>0</v>
      </c>
      <c r="BZ37" s="631"/>
    </row>
    <row r="38" spans="2:84" outlineLevel="1">
      <c r="B38" s="629"/>
      <c r="C38" s="290" t="s">
        <v>285</v>
      </c>
      <c r="D38" s="294" t="s">
        <v>262</v>
      </c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/>
      <c r="R38" s="292"/>
      <c r="S38" s="302"/>
      <c r="T38" s="292"/>
      <c r="U38" s="292"/>
      <c r="V38" s="292"/>
      <c r="W38" s="292"/>
      <c r="X38" s="292"/>
      <c r="Y38" s="292"/>
      <c r="Z38" s="292"/>
      <c r="AA38" s="292"/>
      <c r="AB38" s="292"/>
      <c r="AC38" s="292"/>
      <c r="AD38" s="292"/>
      <c r="AE38" s="292"/>
      <c r="AF38" s="292"/>
      <c r="AG38" s="292">
        <f>-Businessplan_prodej!$F$46/2</f>
        <v>-340028.875</v>
      </c>
      <c r="AH38" s="292">
        <f>-Businessplan_prodej!$F$46/2</f>
        <v>-340028.875</v>
      </c>
      <c r="AI38" s="292"/>
      <c r="AJ38" s="292"/>
      <c r="AK38" s="292"/>
      <c r="AL38" s="292"/>
      <c r="AM38" s="292"/>
      <c r="AN38" s="292"/>
      <c r="AO38" s="292"/>
      <c r="AP38" s="292"/>
      <c r="AQ38" s="292"/>
      <c r="AR38" s="292"/>
      <c r="AS38" s="292"/>
      <c r="AT38" s="292"/>
      <c r="AU38" s="292"/>
      <c r="AV38" s="292"/>
      <c r="AW38" s="292"/>
      <c r="AX38" s="292"/>
      <c r="AY38" s="292"/>
      <c r="AZ38" s="292"/>
      <c r="BA38" s="292"/>
      <c r="BB38" s="292"/>
      <c r="BC38" s="292"/>
      <c r="BD38" s="292"/>
      <c r="BE38" s="292"/>
      <c r="BF38" s="292"/>
      <c r="BG38" s="292"/>
      <c r="BH38" s="292"/>
      <c r="BI38" s="292"/>
      <c r="BJ38" s="292"/>
      <c r="BK38" s="292"/>
      <c r="BL38" s="292"/>
      <c r="BM38" s="292"/>
      <c r="BN38" s="292"/>
      <c r="BO38" s="292"/>
      <c r="BP38" s="292"/>
      <c r="BQ38" s="292"/>
      <c r="BR38" s="292"/>
      <c r="BS38" s="292"/>
      <c r="BT38" s="292"/>
      <c r="BU38" s="292"/>
      <c r="BV38" s="292"/>
      <c r="BW38" s="292"/>
      <c r="BX38" s="297"/>
      <c r="BY38" s="301">
        <f t="shared" si="12"/>
        <v>-680057.75</v>
      </c>
      <c r="BZ38" s="631"/>
    </row>
    <row r="39" spans="2:84" ht="16">
      <c r="B39" s="629"/>
      <c r="C39" s="285" t="s">
        <v>286</v>
      </c>
      <c r="D39" s="286"/>
      <c r="E39" s="287">
        <f t="shared" ref="E39:BP39" si="13">SUM(E40:E47)</f>
        <v>0</v>
      </c>
      <c r="F39" s="287">
        <f t="shared" si="13"/>
        <v>0</v>
      </c>
      <c r="G39" s="287">
        <f t="shared" si="13"/>
        <v>0</v>
      </c>
      <c r="H39" s="287">
        <f t="shared" si="13"/>
        <v>0</v>
      </c>
      <c r="I39" s="287">
        <f t="shared" si="13"/>
        <v>0</v>
      </c>
      <c r="J39" s="287">
        <f t="shared" si="13"/>
        <v>0</v>
      </c>
      <c r="K39" s="287">
        <f t="shared" si="13"/>
        <v>0</v>
      </c>
      <c r="L39" s="287">
        <f t="shared" si="13"/>
        <v>0</v>
      </c>
      <c r="M39" s="287">
        <f t="shared" si="13"/>
        <v>0</v>
      </c>
      <c r="N39" s="287">
        <f t="shared" si="13"/>
        <v>0</v>
      </c>
      <c r="O39" s="287">
        <f t="shared" si="13"/>
        <v>0</v>
      </c>
      <c r="P39" s="287">
        <f t="shared" si="13"/>
        <v>0</v>
      </c>
      <c r="Q39" s="287">
        <f t="shared" si="13"/>
        <v>0</v>
      </c>
      <c r="R39" s="287">
        <f t="shared" si="13"/>
        <v>0</v>
      </c>
      <c r="S39" s="287">
        <f t="shared" si="13"/>
        <v>0</v>
      </c>
      <c r="T39" s="287">
        <f t="shared" si="13"/>
        <v>0</v>
      </c>
      <c r="U39" s="287">
        <f t="shared" si="13"/>
        <v>0</v>
      </c>
      <c r="V39" s="287">
        <f t="shared" si="13"/>
        <v>0</v>
      </c>
      <c r="W39" s="287">
        <f t="shared" si="13"/>
        <v>-611411.52066115709</v>
      </c>
      <c r="X39" s="287">
        <f t="shared" si="13"/>
        <v>-2072.727272727273</v>
      </c>
      <c r="Y39" s="287">
        <f t="shared" si="13"/>
        <v>-281111.77685950417</v>
      </c>
      <c r="Z39" s="287">
        <f t="shared" si="13"/>
        <v>-743160</v>
      </c>
      <c r="AA39" s="287">
        <f t="shared" si="13"/>
        <v>-269025</v>
      </c>
      <c r="AB39" s="287">
        <f>SUM(AB40:AB47)</f>
        <v>-1097047.9338842975</v>
      </c>
      <c r="AC39" s="287">
        <f t="shared" si="13"/>
        <v>-594632.89256198343</v>
      </c>
      <c r="AD39" s="287">
        <f t="shared" si="13"/>
        <v>-794942.80991735542</v>
      </c>
      <c r="AE39" s="287">
        <f t="shared" si="13"/>
        <v>-477080</v>
      </c>
      <c r="AF39" s="287">
        <f t="shared" si="13"/>
        <v>-1243615.5371900827</v>
      </c>
      <c r="AG39" s="287">
        <f t="shared" si="13"/>
        <v>-821212.65560378251</v>
      </c>
      <c r="AH39" s="287">
        <f t="shared" si="13"/>
        <v>-1614363.0688269231</v>
      </c>
      <c r="AI39" s="287">
        <f t="shared" si="13"/>
        <v>-28742.802576923077</v>
      </c>
      <c r="AJ39" s="287">
        <f t="shared" si="13"/>
        <v>0</v>
      </c>
      <c r="AK39" s="287">
        <f t="shared" si="13"/>
        <v>0</v>
      </c>
      <c r="AL39" s="287">
        <f t="shared" si="13"/>
        <v>0</v>
      </c>
      <c r="AM39" s="287">
        <f t="shared" si="13"/>
        <v>0</v>
      </c>
      <c r="AN39" s="287">
        <f t="shared" si="13"/>
        <v>0</v>
      </c>
      <c r="AO39" s="287">
        <f t="shared" si="13"/>
        <v>0</v>
      </c>
      <c r="AP39" s="287">
        <f t="shared" si="13"/>
        <v>0</v>
      </c>
      <c r="AQ39" s="287">
        <f t="shared" si="13"/>
        <v>0</v>
      </c>
      <c r="AR39" s="287">
        <f t="shared" si="13"/>
        <v>0</v>
      </c>
      <c r="AS39" s="287">
        <f t="shared" si="13"/>
        <v>0</v>
      </c>
      <c r="AT39" s="287">
        <f t="shared" si="13"/>
        <v>0</v>
      </c>
      <c r="AU39" s="287">
        <f t="shared" si="13"/>
        <v>0</v>
      </c>
      <c r="AV39" s="287">
        <f t="shared" si="13"/>
        <v>0</v>
      </c>
      <c r="AW39" s="287">
        <f t="shared" si="13"/>
        <v>0</v>
      </c>
      <c r="AX39" s="287">
        <f t="shared" si="13"/>
        <v>0</v>
      </c>
      <c r="AY39" s="287">
        <f t="shared" si="13"/>
        <v>0</v>
      </c>
      <c r="AZ39" s="287">
        <f t="shared" si="13"/>
        <v>0</v>
      </c>
      <c r="BA39" s="287">
        <f t="shared" si="13"/>
        <v>0</v>
      </c>
      <c r="BB39" s="287">
        <f t="shared" si="13"/>
        <v>0</v>
      </c>
      <c r="BC39" s="287">
        <f t="shared" si="13"/>
        <v>0</v>
      </c>
      <c r="BD39" s="287">
        <f t="shared" si="13"/>
        <v>0</v>
      </c>
      <c r="BE39" s="287">
        <f t="shared" si="13"/>
        <v>0</v>
      </c>
      <c r="BF39" s="287">
        <f t="shared" si="13"/>
        <v>0</v>
      </c>
      <c r="BG39" s="287">
        <f t="shared" si="13"/>
        <v>0</v>
      </c>
      <c r="BH39" s="287">
        <f t="shared" si="13"/>
        <v>0</v>
      </c>
      <c r="BI39" s="287">
        <f t="shared" si="13"/>
        <v>0</v>
      </c>
      <c r="BJ39" s="287">
        <f t="shared" si="13"/>
        <v>0</v>
      </c>
      <c r="BK39" s="287">
        <f t="shared" si="13"/>
        <v>0</v>
      </c>
      <c r="BL39" s="287">
        <f t="shared" si="13"/>
        <v>0</v>
      </c>
      <c r="BM39" s="287">
        <f t="shared" si="13"/>
        <v>0</v>
      </c>
      <c r="BN39" s="287">
        <f t="shared" si="13"/>
        <v>0</v>
      </c>
      <c r="BO39" s="287">
        <f t="shared" si="13"/>
        <v>0</v>
      </c>
      <c r="BP39" s="287">
        <f t="shared" si="13"/>
        <v>0</v>
      </c>
      <c r="BQ39" s="287">
        <f t="shared" ref="BQ39:BY39" si="14">SUM(BQ40:BQ47)</f>
        <v>0</v>
      </c>
      <c r="BR39" s="287">
        <f t="shared" si="14"/>
        <v>0</v>
      </c>
      <c r="BS39" s="287">
        <f t="shared" si="14"/>
        <v>0</v>
      </c>
      <c r="BT39" s="287">
        <f t="shared" si="14"/>
        <v>0</v>
      </c>
      <c r="BU39" s="287">
        <f t="shared" si="14"/>
        <v>0</v>
      </c>
      <c r="BV39" s="287">
        <f t="shared" si="14"/>
        <v>0</v>
      </c>
      <c r="BW39" s="287">
        <f t="shared" si="14"/>
        <v>0</v>
      </c>
      <c r="BX39" s="287">
        <f t="shared" si="14"/>
        <v>0</v>
      </c>
      <c r="BY39" s="289">
        <f t="shared" si="14"/>
        <v>-8578418.7253547367</v>
      </c>
      <c r="BZ39" s="631"/>
    </row>
    <row r="40" spans="2:84" outlineLevel="1">
      <c r="B40" s="629"/>
      <c r="C40" s="300" t="s">
        <v>287</v>
      </c>
      <c r="D40" s="291" t="s">
        <v>262</v>
      </c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2"/>
      <c r="R40" s="292"/>
      <c r="S40" s="292"/>
      <c r="T40" s="292"/>
      <c r="U40" s="292"/>
      <c r="V40" s="292"/>
      <c r="W40" s="292">
        <f>-Businessplan_prodej!$F$54/12</f>
        <v>-181080</v>
      </c>
      <c r="X40" s="292"/>
      <c r="Y40" s="292"/>
      <c r="Z40" s="292">
        <f>-Businessplan_prodej!$F$54/12*2</f>
        <v>-362160</v>
      </c>
      <c r="AA40" s="292"/>
      <c r="AB40" s="292">
        <f>-219107/1.21*2</f>
        <v>-362160.3305785124</v>
      </c>
      <c r="AC40" s="292">
        <f>-Businessplan_prodej!$F$54/12</f>
        <v>-181080</v>
      </c>
      <c r="AD40" s="292">
        <f>-Businessplan_prodej!$F$54/12</f>
        <v>-181080</v>
      </c>
      <c r="AE40" s="292">
        <f>-Businessplan_prodej!$F$54/12</f>
        <v>-181080</v>
      </c>
      <c r="AF40" s="292">
        <f>-Businessplan_prodej!$F$54/12</f>
        <v>-181080</v>
      </c>
      <c r="AG40" s="292">
        <f>-Businessplan_prodej!$F$54/12</f>
        <v>-181080</v>
      </c>
      <c r="AH40" s="292">
        <f>-Businessplan_prodej!$F$54/12</f>
        <v>-181080</v>
      </c>
      <c r="AI40" s="292"/>
      <c r="AJ40" s="292"/>
      <c r="AK40" s="292"/>
      <c r="AL40" s="295"/>
      <c r="AM40" s="295"/>
      <c r="AN40" s="295"/>
      <c r="AO40" s="295"/>
      <c r="AP40" s="295"/>
      <c r="AQ40" s="295"/>
      <c r="AR40" s="295"/>
      <c r="AS40" s="295"/>
      <c r="AT40" s="295"/>
      <c r="AU40" s="295"/>
      <c r="AV40" s="295"/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/>
      <c r="BN40" s="295"/>
      <c r="BO40" s="295"/>
      <c r="BP40" s="295"/>
      <c r="BQ40" s="295"/>
      <c r="BR40" s="295"/>
      <c r="BS40" s="295"/>
      <c r="BT40" s="295"/>
      <c r="BU40" s="295"/>
      <c r="BV40" s="295"/>
      <c r="BW40" s="295"/>
      <c r="BX40" s="304"/>
      <c r="BY40" s="298">
        <f t="shared" ref="BY40:BY47" si="15">SUM(E40:BX40)</f>
        <v>-1991880.3305785125</v>
      </c>
      <c r="BZ40" s="631"/>
    </row>
    <row r="41" spans="2:84" outlineLevel="1">
      <c r="B41" s="629"/>
      <c r="C41" s="300" t="s">
        <v>288</v>
      </c>
      <c r="D41" s="291" t="s">
        <v>262</v>
      </c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2"/>
      <c r="Q41" s="292"/>
      <c r="R41" s="292"/>
      <c r="S41" s="292"/>
      <c r="T41" s="292"/>
      <c r="U41" s="292"/>
      <c r="V41" s="292"/>
      <c r="W41" s="292"/>
      <c r="X41" s="292"/>
      <c r="Y41" s="292">
        <f>-258000</f>
        <v>-258000</v>
      </c>
      <c r="Z41" s="292">
        <f>-258000</f>
        <v>-258000</v>
      </c>
      <c r="AA41" s="292">
        <f>-258000</f>
        <v>-258000</v>
      </c>
      <c r="AB41" s="292">
        <f>-312180/1.21</f>
        <v>-258000</v>
      </c>
      <c r="AC41" s="292">
        <f t="shared" ref="AC41:AH41" si="16">-258000</f>
        <v>-258000</v>
      </c>
      <c r="AD41" s="292">
        <f t="shared" si="16"/>
        <v>-258000</v>
      </c>
      <c r="AE41" s="292">
        <f t="shared" si="16"/>
        <v>-258000</v>
      </c>
      <c r="AF41" s="292">
        <f t="shared" si="16"/>
        <v>-258000</v>
      </c>
      <c r="AG41" s="292">
        <f t="shared" si="16"/>
        <v>-258000</v>
      </c>
      <c r="AH41" s="292">
        <f t="shared" si="16"/>
        <v>-258000</v>
      </c>
      <c r="AI41" s="292"/>
      <c r="AJ41" s="292"/>
      <c r="AK41" s="292"/>
      <c r="AL41" s="292"/>
      <c r="AM41" s="292"/>
      <c r="AN41" s="292"/>
      <c r="AO41" s="292"/>
      <c r="AP41" s="292"/>
      <c r="AQ41" s="292"/>
      <c r="AR41" s="292"/>
      <c r="AS41" s="292"/>
      <c r="AT41" s="292"/>
      <c r="AU41" s="292"/>
      <c r="AV41" s="292"/>
      <c r="AW41" s="292"/>
      <c r="AX41" s="292"/>
      <c r="AY41" s="292"/>
      <c r="AZ41" s="292"/>
      <c r="BA41" s="292"/>
      <c r="BB41" s="292"/>
      <c r="BC41" s="292"/>
      <c r="BD41" s="292"/>
      <c r="BE41" s="292"/>
      <c r="BF41" s="292"/>
      <c r="BG41" s="292"/>
      <c r="BH41" s="292"/>
      <c r="BI41" s="292"/>
      <c r="BJ41" s="292"/>
      <c r="BK41" s="292"/>
      <c r="BL41" s="292"/>
      <c r="BM41" s="292"/>
      <c r="BN41" s="295"/>
      <c r="BO41" s="295"/>
      <c r="BP41" s="295"/>
      <c r="BQ41" s="295"/>
      <c r="BR41" s="295"/>
      <c r="BS41" s="295"/>
      <c r="BT41" s="295"/>
      <c r="BU41" s="295"/>
      <c r="BV41" s="295"/>
      <c r="BW41" s="295"/>
      <c r="BX41" s="304"/>
      <c r="BY41" s="299">
        <f t="shared" si="15"/>
        <v>-2580000</v>
      </c>
      <c r="BZ41" s="631"/>
    </row>
    <row r="42" spans="2:84" outlineLevel="1">
      <c r="B42" s="629"/>
      <c r="C42" s="539" t="str">
        <f>Businessplan_prodej!B60</f>
        <v>cost management VŘ GD</v>
      </c>
      <c r="D42" s="291" t="s">
        <v>262</v>
      </c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2"/>
      <c r="Q42" s="292"/>
      <c r="R42" s="292"/>
      <c r="S42" s="292"/>
      <c r="T42" s="292"/>
      <c r="U42" s="292"/>
      <c r="V42" s="292"/>
      <c r="W42" s="292"/>
      <c r="X42" s="292"/>
      <c r="Y42" s="292"/>
      <c r="Z42" s="292"/>
      <c r="AA42" s="292"/>
      <c r="AB42" s="292"/>
      <c r="AC42" s="292"/>
      <c r="AD42" s="292"/>
      <c r="AE42" s="292"/>
      <c r="AF42" s="292"/>
      <c r="AG42" s="292"/>
      <c r="AH42" s="292"/>
      <c r="AI42" s="292"/>
      <c r="AJ42" s="295"/>
      <c r="AK42" s="295"/>
      <c r="AL42" s="295"/>
      <c r="AM42" s="295"/>
      <c r="AN42" s="295"/>
      <c r="AO42" s="295"/>
      <c r="AP42" s="295"/>
      <c r="AQ42" s="295"/>
      <c r="AR42" s="295"/>
      <c r="AS42" s="295"/>
      <c r="AT42" s="295"/>
      <c r="AU42" s="295"/>
      <c r="AV42" s="295"/>
      <c r="AW42" s="295"/>
      <c r="AX42" s="295"/>
      <c r="AY42" s="295"/>
      <c r="AZ42" s="295"/>
      <c r="BA42" s="295"/>
      <c r="BB42" s="295"/>
      <c r="BC42" s="295"/>
      <c r="BD42" s="295"/>
      <c r="BE42" s="295"/>
      <c r="BF42" s="295"/>
      <c r="BG42" s="295"/>
      <c r="BH42" s="295"/>
      <c r="BI42" s="295"/>
      <c r="BJ42" s="295"/>
      <c r="BK42" s="295"/>
      <c r="BL42" s="295"/>
      <c r="BM42" s="295"/>
      <c r="BN42" s="295"/>
      <c r="BO42" s="295"/>
      <c r="BP42" s="295"/>
      <c r="BQ42" s="295"/>
      <c r="BR42" s="295"/>
      <c r="BS42" s="295"/>
      <c r="BT42" s="295"/>
      <c r="BU42" s="295"/>
      <c r="BV42" s="295"/>
      <c r="BW42" s="295"/>
      <c r="BX42" s="304"/>
      <c r="BY42" s="299">
        <f t="shared" si="15"/>
        <v>0</v>
      </c>
      <c r="BZ42" s="631"/>
    </row>
    <row r="43" spans="2:84" outlineLevel="1">
      <c r="B43" s="629"/>
      <c r="C43" s="290" t="s">
        <v>289</v>
      </c>
      <c r="D43" s="291" t="s">
        <v>262</v>
      </c>
      <c r="E43" s="292"/>
      <c r="F43" s="292"/>
      <c r="G43" s="292"/>
      <c r="H43" s="292"/>
      <c r="I43" s="292"/>
      <c r="J43" s="292"/>
      <c r="K43" s="292"/>
      <c r="L43" s="292"/>
      <c r="M43" s="292"/>
      <c r="N43" s="292"/>
      <c r="O43" s="292"/>
      <c r="P43" s="302"/>
      <c r="Q43" s="302"/>
      <c r="R43" s="302"/>
      <c r="S43" s="302"/>
      <c r="T43" s="302"/>
      <c r="U43" s="292"/>
      <c r="V43" s="292"/>
      <c r="W43" s="292">
        <f>-1000/1.21-9704.2/1.21</f>
        <v>-8846.4462809917368</v>
      </c>
      <c r="X43" s="292">
        <f>-2508/1.21</f>
        <v>-2072.727272727273</v>
      </c>
      <c r="Y43" s="292">
        <f>-3340/1.21</f>
        <v>-2760.3305785123966</v>
      </c>
      <c r="Z43" s="292"/>
      <c r="AA43" s="292"/>
      <c r="AB43" s="292"/>
      <c r="AC43" s="292">
        <f>-21780/1.21-108900/1.21</f>
        <v>-108000</v>
      </c>
      <c r="AD43" s="292">
        <f>-21780/1.21</f>
        <v>-18000</v>
      </c>
      <c r="AE43" s="292">
        <f>-21780/1.21</f>
        <v>-18000</v>
      </c>
      <c r="AF43" s="292">
        <f>-21780/1.21</f>
        <v>-18000</v>
      </c>
      <c r="AG43" s="292">
        <f>-Businessplan_prodej!$F$62/13</f>
        <v>-12318.343961538463</v>
      </c>
      <c r="AH43" s="292">
        <f>-Businessplan_prodej!$F$62/13</f>
        <v>-12318.343961538463</v>
      </c>
      <c r="AI43" s="292">
        <f>-Businessplan_prodej!$F$62/13</f>
        <v>-12318.343961538463</v>
      </c>
      <c r="AJ43" s="302"/>
      <c r="AK43" s="292"/>
      <c r="AL43" s="292"/>
      <c r="AM43" s="292"/>
      <c r="AN43" s="292"/>
      <c r="AO43" s="292"/>
      <c r="AP43" s="292"/>
      <c r="AQ43" s="292"/>
      <c r="AR43" s="292"/>
      <c r="AS43" s="292"/>
      <c r="AT43" s="292"/>
      <c r="AU43" s="292"/>
      <c r="AV43" s="292"/>
      <c r="AW43" s="292"/>
      <c r="AX43" s="292"/>
      <c r="AY43" s="292"/>
      <c r="AZ43" s="292"/>
      <c r="BA43" s="292"/>
      <c r="BB43" s="292"/>
      <c r="BC43" s="292"/>
      <c r="BD43" s="292"/>
      <c r="BE43" s="292"/>
      <c r="BF43" s="292"/>
      <c r="BG43" s="292"/>
      <c r="BH43" s="292"/>
      <c r="BI43" s="292"/>
      <c r="BJ43" s="292"/>
      <c r="BK43" s="292"/>
      <c r="BL43" s="292"/>
      <c r="BM43" s="292"/>
      <c r="BN43" s="292"/>
      <c r="BO43" s="292"/>
      <c r="BP43" s="292"/>
      <c r="BQ43" s="292"/>
      <c r="BR43" s="292"/>
      <c r="BS43" s="292"/>
      <c r="BT43" s="292"/>
      <c r="BU43" s="292"/>
      <c r="BV43" s="292"/>
      <c r="BW43" s="292"/>
      <c r="BX43" s="297"/>
      <c r="BY43" s="299">
        <f t="shared" si="15"/>
        <v>-212634.53601684677</v>
      </c>
      <c r="BZ43" s="631"/>
    </row>
    <row r="44" spans="2:84" outlineLevel="1">
      <c r="B44" s="629"/>
      <c r="C44" s="290" t="s">
        <v>290</v>
      </c>
      <c r="D44" s="291" t="s">
        <v>262</v>
      </c>
      <c r="E44" s="292"/>
      <c r="F44" s="292"/>
      <c r="G44" s="292"/>
      <c r="H44" s="292"/>
      <c r="I44" s="292"/>
      <c r="J44" s="292"/>
      <c r="K44" s="292"/>
      <c r="L44" s="292"/>
      <c r="M44" s="292"/>
      <c r="N44" s="292"/>
      <c r="O44" s="292"/>
      <c r="P44" s="292"/>
      <c r="Q44" s="292"/>
      <c r="R44" s="292"/>
      <c r="S44" s="292"/>
      <c r="T44" s="292"/>
      <c r="U44" s="292"/>
      <c r="V44" s="292"/>
      <c r="W44" s="292">
        <f>-4200/1.21</f>
        <v>-3471.0743801652893</v>
      </c>
      <c r="X44" s="292"/>
      <c r="Y44" s="292">
        <f>-1000/1.21</f>
        <v>-826.44628099173553</v>
      </c>
      <c r="Z44" s="292">
        <f>-48000-90750/1.21</f>
        <v>-123000</v>
      </c>
      <c r="AA44" s="292"/>
      <c r="AB44" s="292"/>
      <c r="AC44" s="292">
        <f>-2000/1.21-24200/1.21-30250/1.21-1089/1.21</f>
        <v>-47552.89256198347</v>
      </c>
      <c r="AD44" s="292">
        <f>-1936/1.21-24200/1.21</f>
        <v>-21600</v>
      </c>
      <c r="AE44" s="292">
        <f>-24200/1.21</f>
        <v>-20000</v>
      </c>
      <c r="AF44" s="292">
        <f>-24200/1.21</f>
        <v>-20000</v>
      </c>
      <c r="AG44" s="292">
        <f>-Businessplan_prodej!$F$63/13</f>
        <v>-16424.458615384614</v>
      </c>
      <c r="AH44" s="292">
        <f>-Businessplan_prodej!$F$63/13</f>
        <v>-16424.458615384614</v>
      </c>
      <c r="AI44" s="292">
        <f>-Businessplan_prodej!$F$63/13</f>
        <v>-16424.458615384614</v>
      </c>
      <c r="AJ44" s="292"/>
      <c r="AK44" s="292"/>
      <c r="AL44" s="292"/>
      <c r="AM44" s="292"/>
      <c r="AN44" s="292"/>
      <c r="AO44" s="292"/>
      <c r="AP44" s="292"/>
      <c r="AQ44" s="292"/>
      <c r="AR44" s="292"/>
      <c r="AS44" s="292"/>
      <c r="AT44" s="292"/>
      <c r="AU44" s="292"/>
      <c r="AV44" s="292"/>
      <c r="AW44" s="292"/>
      <c r="AX44" s="292"/>
      <c r="AY44" s="292"/>
      <c r="AZ44" s="292"/>
      <c r="BA44" s="292"/>
      <c r="BB44" s="292"/>
      <c r="BC44" s="292"/>
      <c r="BD44" s="292"/>
      <c r="BE44" s="292"/>
      <c r="BF44" s="292"/>
      <c r="BG44" s="292"/>
      <c r="BH44" s="292"/>
      <c r="BI44" s="292"/>
      <c r="BJ44" s="292"/>
      <c r="BK44" s="292"/>
      <c r="BL44" s="292"/>
      <c r="BM44" s="292"/>
      <c r="BN44" s="292"/>
      <c r="BO44" s="292"/>
      <c r="BP44" s="292"/>
      <c r="BQ44" s="292"/>
      <c r="BR44" s="292"/>
      <c r="BS44" s="292"/>
      <c r="BT44" s="292"/>
      <c r="BU44" s="292"/>
      <c r="BV44" s="292"/>
      <c r="BW44" s="292"/>
      <c r="BX44" s="297"/>
      <c r="BY44" s="299">
        <f t="shared" si="15"/>
        <v>-285723.78906929429</v>
      </c>
      <c r="BZ44" s="631"/>
    </row>
    <row r="45" spans="2:84" ht="14.25" customHeight="1" outlineLevel="1">
      <c r="B45" s="629"/>
      <c r="C45" s="290" t="s">
        <v>291</v>
      </c>
      <c r="D45" s="291" t="s">
        <v>262</v>
      </c>
      <c r="E45" s="292"/>
      <c r="F45" s="292"/>
      <c r="G45" s="292"/>
      <c r="H45" s="292"/>
      <c r="I45" s="292"/>
      <c r="J45" s="292"/>
      <c r="K45" s="292"/>
      <c r="L45" s="292"/>
      <c r="M45" s="292"/>
      <c r="N45" s="292"/>
      <c r="O45" s="292"/>
      <c r="P45" s="292"/>
      <c r="Q45" s="292"/>
      <c r="R45" s="292"/>
      <c r="S45" s="292"/>
      <c r="T45" s="292"/>
      <c r="U45" s="292"/>
      <c r="V45" s="292"/>
      <c r="W45" s="292"/>
      <c r="X45" s="292"/>
      <c r="Y45" s="292">
        <f>-3811.5/1.21-9014.5/1.21-10799.25/1.21</f>
        <v>-19525</v>
      </c>
      <c r="Z45" s="292"/>
      <c r="AA45" s="292">
        <f>-10164/1.21-3176.25/1.21</f>
        <v>-11025</v>
      </c>
      <c r="AB45" s="292"/>
      <c r="AC45" s="292"/>
      <c r="AD45" s="292"/>
      <c r="AE45" s="292"/>
      <c r="AF45" s="292">
        <f>-623150/1.21</f>
        <v>-515000</v>
      </c>
      <c r="AG45" s="292"/>
      <c r="AH45" s="292"/>
      <c r="AI45" s="292"/>
      <c r="AJ45" s="292"/>
      <c r="AK45" s="292"/>
      <c r="AL45" s="292"/>
      <c r="AM45" s="292"/>
      <c r="AN45" s="292"/>
      <c r="AO45" s="292"/>
      <c r="AP45" s="292"/>
      <c r="AQ45" s="292"/>
      <c r="AR45" s="292"/>
      <c r="AS45" s="292"/>
      <c r="AT45" s="292"/>
      <c r="AU45" s="292"/>
      <c r="AV45" s="292"/>
      <c r="AW45" s="292"/>
      <c r="AX45" s="292"/>
      <c r="AY45" s="292"/>
      <c r="AZ45" s="292"/>
      <c r="BA45" s="292"/>
      <c r="BB45" s="292"/>
      <c r="BC45" s="292"/>
      <c r="BD45" s="292"/>
      <c r="BE45" s="292"/>
      <c r="BF45" s="292"/>
      <c r="BG45" s="292"/>
      <c r="BH45" s="292"/>
      <c r="BI45" s="292"/>
      <c r="BJ45" s="292"/>
      <c r="BK45" s="292"/>
      <c r="BL45" s="292"/>
      <c r="BM45" s="292"/>
      <c r="BN45" s="292"/>
      <c r="BO45" s="292"/>
      <c r="BP45" s="292"/>
      <c r="BQ45" s="292"/>
      <c r="BR45" s="292"/>
      <c r="BS45" s="292"/>
      <c r="BT45" s="292"/>
      <c r="BU45" s="292"/>
      <c r="BV45" s="292"/>
      <c r="BW45" s="292"/>
      <c r="BX45" s="297"/>
      <c r="BY45" s="299">
        <f t="shared" si="15"/>
        <v>-545550</v>
      </c>
      <c r="BZ45" s="631"/>
    </row>
    <row r="46" spans="2:84" ht="14.25" customHeight="1" outlineLevel="1">
      <c r="B46" s="629"/>
      <c r="C46" s="290"/>
      <c r="D46" s="291" t="s">
        <v>262</v>
      </c>
      <c r="E46" s="292"/>
      <c r="F46" s="292"/>
      <c r="G46" s="292"/>
      <c r="H46" s="292"/>
      <c r="I46" s="292"/>
      <c r="J46" s="292"/>
      <c r="K46" s="292"/>
      <c r="L46" s="292"/>
      <c r="M46" s="292"/>
      <c r="N46" s="292"/>
      <c r="O46" s="292"/>
      <c r="P46" s="292"/>
      <c r="Q46" s="292"/>
      <c r="R46" s="292"/>
      <c r="S46" s="292"/>
      <c r="T46" s="292"/>
      <c r="U46" s="292"/>
      <c r="V46" s="292"/>
      <c r="W46" s="292">
        <f>-418014</f>
        <v>-418014</v>
      </c>
      <c r="X46" s="292"/>
      <c r="Y46" s="292"/>
      <c r="Z46" s="292"/>
      <c r="AA46" s="292"/>
      <c r="AB46" s="292"/>
      <c r="AC46" s="292"/>
      <c r="AD46" s="292"/>
      <c r="AE46" s="292"/>
      <c r="AF46" s="292"/>
      <c r="AG46" s="292"/>
      <c r="AH46" s="292"/>
      <c r="AI46" s="292"/>
      <c r="AJ46" s="292"/>
      <c r="AK46" s="292"/>
      <c r="AL46" s="292"/>
      <c r="AM46" s="292"/>
      <c r="AN46" s="292"/>
      <c r="AO46" s="292"/>
      <c r="AP46" s="292"/>
      <c r="AQ46" s="292"/>
      <c r="AR46" s="292"/>
      <c r="AS46" s="292"/>
      <c r="AT46" s="292"/>
      <c r="AU46" s="292"/>
      <c r="AV46" s="292"/>
      <c r="AW46" s="292"/>
      <c r="AX46" s="292"/>
      <c r="AY46" s="292"/>
      <c r="AZ46" s="292"/>
      <c r="BA46" s="292"/>
      <c r="BB46" s="292"/>
      <c r="BC46" s="292"/>
      <c r="BD46" s="292"/>
      <c r="BE46" s="292"/>
      <c r="BF46" s="292"/>
      <c r="BG46" s="292"/>
      <c r="BH46" s="292"/>
      <c r="BI46" s="292"/>
      <c r="BJ46" s="292"/>
      <c r="BK46" s="292"/>
      <c r="BL46" s="292"/>
      <c r="BM46" s="292"/>
      <c r="BN46" s="292"/>
      <c r="BO46" s="292"/>
      <c r="BP46" s="292"/>
      <c r="BQ46" s="292"/>
      <c r="BR46" s="292"/>
      <c r="BS46" s="292"/>
      <c r="BT46" s="292"/>
      <c r="BU46" s="292"/>
      <c r="BV46" s="292"/>
      <c r="BW46" s="292"/>
      <c r="BX46" s="297"/>
      <c r="BY46" s="299">
        <f t="shared" si="15"/>
        <v>-418014</v>
      </c>
      <c r="BZ46" s="631"/>
    </row>
    <row r="47" spans="2:84" ht="14.25" customHeight="1" outlineLevel="1">
      <c r="B47" s="629"/>
      <c r="C47" s="290" t="s">
        <v>292</v>
      </c>
      <c r="D47" s="294" t="s">
        <v>262</v>
      </c>
      <c r="E47" s="292"/>
      <c r="F47" s="292"/>
      <c r="G47" s="292"/>
      <c r="H47" s="292"/>
      <c r="I47" s="292"/>
      <c r="J47" s="292"/>
      <c r="K47" s="292"/>
      <c r="L47" s="292"/>
      <c r="M47" s="292"/>
      <c r="N47" s="292"/>
      <c r="O47" s="292"/>
      <c r="P47" s="292"/>
      <c r="Q47" s="292"/>
      <c r="R47" s="292"/>
      <c r="S47" s="292"/>
      <c r="T47" s="292"/>
      <c r="U47" s="292"/>
      <c r="V47" s="292"/>
      <c r="W47" s="292"/>
      <c r="X47" s="292"/>
      <c r="Y47" s="292"/>
      <c r="Z47" s="292"/>
      <c r="AA47" s="292"/>
      <c r="AB47" s="292">
        <f>(-187482-389552)/1.21</f>
        <v>-476887.60330578516</v>
      </c>
      <c r="AC47" s="292"/>
      <c r="AD47" s="292">
        <f>-382678/1.21</f>
        <v>-316262.80991735536</v>
      </c>
      <c r="AE47" s="292"/>
      <c r="AF47" s="292">
        <f>-304358/1.21</f>
        <v>-251535.53719008266</v>
      </c>
      <c r="AG47" s="292">
        <f>-Businessplan_prodej!$F$66/2-$AB$47-$AD$47</f>
        <v>-353389.85302685952</v>
      </c>
      <c r="AH47" s="292">
        <f>-Businessplan_prodej!$F$66/2</f>
        <v>-1146540.2662500001</v>
      </c>
      <c r="AI47" s="292"/>
      <c r="AJ47" s="292"/>
      <c r="AK47" s="292"/>
      <c r="AL47" s="292"/>
      <c r="AM47" s="292"/>
      <c r="AN47" s="292"/>
      <c r="AO47" s="292"/>
      <c r="AP47" s="292"/>
      <c r="AQ47" s="292"/>
      <c r="AR47" s="292"/>
      <c r="AS47" s="292"/>
      <c r="AT47" s="292"/>
      <c r="AU47" s="292"/>
      <c r="AV47" s="292"/>
      <c r="AW47" s="292"/>
      <c r="AX47" s="292"/>
      <c r="AY47" s="292"/>
      <c r="AZ47" s="292"/>
      <c r="BA47" s="292"/>
      <c r="BB47" s="292"/>
      <c r="BC47" s="292"/>
      <c r="BD47" s="292"/>
      <c r="BE47" s="292"/>
      <c r="BF47" s="292"/>
      <c r="BG47" s="292"/>
      <c r="BH47" s="292"/>
      <c r="BI47" s="292"/>
      <c r="BJ47" s="292"/>
      <c r="BK47" s="292"/>
      <c r="BL47" s="292"/>
      <c r="BM47" s="292"/>
      <c r="BN47" s="292"/>
      <c r="BO47" s="292"/>
      <c r="BP47" s="292"/>
      <c r="BQ47" s="292"/>
      <c r="BR47" s="292"/>
      <c r="BS47" s="292"/>
      <c r="BT47" s="292"/>
      <c r="BU47" s="292"/>
      <c r="BV47" s="292"/>
      <c r="BW47" s="292"/>
      <c r="BX47" s="297"/>
      <c r="BY47" s="299">
        <f t="shared" si="15"/>
        <v>-2544616.0696900827</v>
      </c>
      <c r="BZ47" s="631"/>
    </row>
    <row r="48" spans="2:84" ht="16" collapsed="1">
      <c r="B48" s="629"/>
      <c r="C48" s="285" t="s">
        <v>293</v>
      </c>
      <c r="D48" s="286"/>
      <c r="E48" s="287">
        <f t="shared" ref="E48:BX48" si="17">SUM(E49:E53)</f>
        <v>0</v>
      </c>
      <c r="F48" s="287">
        <f t="shared" si="17"/>
        <v>0</v>
      </c>
      <c r="G48" s="287">
        <f t="shared" si="17"/>
        <v>0</v>
      </c>
      <c r="H48" s="287">
        <f t="shared" si="17"/>
        <v>0</v>
      </c>
      <c r="I48" s="287">
        <f t="shared" si="17"/>
        <v>0</v>
      </c>
      <c r="J48" s="287">
        <f t="shared" si="17"/>
        <v>0</v>
      </c>
      <c r="K48" s="287">
        <f t="shared" si="17"/>
        <v>0</v>
      </c>
      <c r="L48" s="287">
        <f t="shared" si="17"/>
        <v>0</v>
      </c>
      <c r="M48" s="287">
        <f t="shared" si="17"/>
        <v>0</v>
      </c>
      <c r="N48" s="287">
        <f t="shared" si="17"/>
        <v>0</v>
      </c>
      <c r="O48" s="287">
        <f t="shared" si="17"/>
        <v>0</v>
      </c>
      <c r="P48" s="287">
        <f t="shared" si="17"/>
        <v>0</v>
      </c>
      <c r="Q48" s="287">
        <f t="shared" si="17"/>
        <v>0</v>
      </c>
      <c r="R48" s="287">
        <f t="shared" si="17"/>
        <v>0</v>
      </c>
      <c r="S48" s="287">
        <f t="shared" si="17"/>
        <v>0</v>
      </c>
      <c r="T48" s="287">
        <f t="shared" si="17"/>
        <v>0</v>
      </c>
      <c r="U48" s="287">
        <f t="shared" si="17"/>
        <v>0</v>
      </c>
      <c r="V48" s="287">
        <f t="shared" si="17"/>
        <v>0</v>
      </c>
      <c r="W48" s="287">
        <f t="shared" si="17"/>
        <v>-2086.909090909091</v>
      </c>
      <c r="X48" s="287">
        <f t="shared" si="17"/>
        <v>-757</v>
      </c>
      <c r="Y48" s="287">
        <f t="shared" si="17"/>
        <v>-799</v>
      </c>
      <c r="Z48" s="287">
        <f t="shared" si="17"/>
        <v>-834</v>
      </c>
      <c r="AA48" s="287">
        <f t="shared" si="17"/>
        <v>-792</v>
      </c>
      <c r="AB48" s="287">
        <f t="shared" si="17"/>
        <v>-484881.60000000003</v>
      </c>
      <c r="AC48" s="287">
        <f t="shared" si="17"/>
        <v>-1090.909090909091</v>
      </c>
      <c r="AD48" s="287">
        <f t="shared" si="17"/>
        <v>-1090.909090909091</v>
      </c>
      <c r="AE48" s="287">
        <f t="shared" si="17"/>
        <v>-1090.909090909091</v>
      </c>
      <c r="AF48" s="287">
        <f t="shared" si="17"/>
        <v>-1090.909090909091</v>
      </c>
      <c r="AG48" s="287">
        <f t="shared" si="17"/>
        <v>-1090.909090909091</v>
      </c>
      <c r="AH48" s="287">
        <f t="shared" si="17"/>
        <v>-1090.909090909091</v>
      </c>
      <c r="AI48" s="287">
        <f t="shared" si="17"/>
        <v>-1090.909090909091</v>
      </c>
      <c r="AJ48" s="287">
        <f t="shared" si="17"/>
        <v>0</v>
      </c>
      <c r="AK48" s="287">
        <f t="shared" si="17"/>
        <v>0</v>
      </c>
      <c r="AL48" s="287">
        <f t="shared" si="17"/>
        <v>0</v>
      </c>
      <c r="AM48" s="287">
        <f t="shared" si="17"/>
        <v>0</v>
      </c>
      <c r="AN48" s="287">
        <f t="shared" si="17"/>
        <v>0</v>
      </c>
      <c r="AO48" s="287">
        <f t="shared" si="17"/>
        <v>0</v>
      </c>
      <c r="AP48" s="287">
        <f t="shared" si="17"/>
        <v>0</v>
      </c>
      <c r="AQ48" s="287">
        <f t="shared" si="17"/>
        <v>0</v>
      </c>
      <c r="AR48" s="287">
        <f t="shared" si="17"/>
        <v>0</v>
      </c>
      <c r="AS48" s="287">
        <f t="shared" si="17"/>
        <v>0</v>
      </c>
      <c r="AT48" s="287">
        <f t="shared" si="17"/>
        <v>0</v>
      </c>
      <c r="AU48" s="287">
        <f t="shared" si="17"/>
        <v>0</v>
      </c>
      <c r="AV48" s="287">
        <f t="shared" si="17"/>
        <v>0</v>
      </c>
      <c r="AW48" s="287">
        <f t="shared" si="17"/>
        <v>0</v>
      </c>
      <c r="AX48" s="287">
        <f t="shared" si="17"/>
        <v>0</v>
      </c>
      <c r="AY48" s="287">
        <f t="shared" si="17"/>
        <v>0</v>
      </c>
      <c r="AZ48" s="287">
        <f t="shared" si="17"/>
        <v>0</v>
      </c>
      <c r="BA48" s="287">
        <f t="shared" si="17"/>
        <v>0</v>
      </c>
      <c r="BB48" s="287">
        <f t="shared" si="17"/>
        <v>0</v>
      </c>
      <c r="BC48" s="287">
        <f t="shared" si="17"/>
        <v>0</v>
      </c>
      <c r="BD48" s="287">
        <f t="shared" si="17"/>
        <v>0</v>
      </c>
      <c r="BE48" s="287">
        <f t="shared" si="17"/>
        <v>0</v>
      </c>
      <c r="BF48" s="287">
        <f t="shared" si="17"/>
        <v>0</v>
      </c>
      <c r="BG48" s="287">
        <f t="shared" si="17"/>
        <v>0</v>
      </c>
      <c r="BH48" s="287">
        <f t="shared" si="17"/>
        <v>0</v>
      </c>
      <c r="BI48" s="287">
        <f t="shared" si="17"/>
        <v>0</v>
      </c>
      <c r="BJ48" s="287">
        <f t="shared" si="17"/>
        <v>0</v>
      </c>
      <c r="BK48" s="287">
        <f t="shared" si="17"/>
        <v>0</v>
      </c>
      <c r="BL48" s="287">
        <f t="shared" si="17"/>
        <v>0</v>
      </c>
      <c r="BM48" s="287">
        <f t="shared" si="17"/>
        <v>0</v>
      </c>
      <c r="BN48" s="287">
        <f t="shared" si="17"/>
        <v>0</v>
      </c>
      <c r="BO48" s="287">
        <f t="shared" si="17"/>
        <v>0</v>
      </c>
      <c r="BP48" s="287">
        <f t="shared" si="17"/>
        <v>0</v>
      </c>
      <c r="BQ48" s="287">
        <f t="shared" si="17"/>
        <v>0</v>
      </c>
      <c r="BR48" s="287">
        <f t="shared" si="17"/>
        <v>0</v>
      </c>
      <c r="BS48" s="287">
        <f t="shared" si="17"/>
        <v>0</v>
      </c>
      <c r="BT48" s="287">
        <f t="shared" si="17"/>
        <v>0</v>
      </c>
      <c r="BU48" s="287">
        <f t="shared" si="17"/>
        <v>0</v>
      </c>
      <c r="BV48" s="287">
        <f t="shared" si="17"/>
        <v>0</v>
      </c>
      <c r="BW48" s="287">
        <f t="shared" si="17"/>
        <v>0</v>
      </c>
      <c r="BX48" s="287">
        <f t="shared" si="17"/>
        <v>0</v>
      </c>
      <c r="BY48" s="289">
        <f>SUM(BY49:BY53)</f>
        <v>-497786.87272727274</v>
      </c>
      <c r="BZ48" s="631"/>
    </row>
    <row r="49" spans="2:78" hidden="1" outlineLevel="1">
      <c r="B49" s="629"/>
      <c r="C49" s="290" t="s">
        <v>294</v>
      </c>
      <c r="D49" s="291" t="s">
        <v>262</v>
      </c>
      <c r="E49" s="292"/>
      <c r="F49" s="292"/>
      <c r="G49" s="292"/>
      <c r="H49" s="292"/>
      <c r="I49" s="292"/>
      <c r="J49" s="292"/>
      <c r="K49" s="292"/>
      <c r="L49" s="292"/>
      <c r="M49" s="292"/>
      <c r="N49" s="292"/>
      <c r="O49" s="292"/>
      <c r="P49" s="292"/>
      <c r="Q49" s="292"/>
      <c r="R49" s="292"/>
      <c r="S49" s="292"/>
      <c r="T49" s="292"/>
      <c r="U49" s="292"/>
      <c r="V49" s="292"/>
      <c r="W49" s="292"/>
      <c r="X49" s="292"/>
      <c r="Y49" s="292"/>
      <c r="Z49" s="292"/>
      <c r="AA49" s="292"/>
      <c r="AB49" s="292">
        <f>-19532*24.8</f>
        <v>-484393.60000000003</v>
      </c>
      <c r="AC49" s="292"/>
      <c r="AD49" s="292"/>
      <c r="AE49" s="292"/>
      <c r="AF49" s="292"/>
      <c r="AG49" s="292"/>
      <c r="AH49" s="292"/>
      <c r="AI49" s="292"/>
      <c r="AJ49" s="292"/>
      <c r="AK49" s="292"/>
      <c r="AL49" s="292"/>
      <c r="AM49" s="292"/>
      <c r="AN49" s="292"/>
      <c r="AO49" s="292"/>
      <c r="AP49" s="292"/>
      <c r="AQ49" s="292"/>
      <c r="AR49" s="292"/>
      <c r="AS49" s="292"/>
      <c r="AT49" s="292"/>
      <c r="AU49" s="292"/>
      <c r="AV49" s="292"/>
      <c r="AW49" s="292"/>
      <c r="AX49" s="292"/>
      <c r="AY49" s="292"/>
      <c r="AZ49" s="292"/>
      <c r="BA49" s="292"/>
      <c r="BB49" s="292"/>
      <c r="BC49" s="292"/>
      <c r="BD49" s="292"/>
      <c r="BE49" s="292"/>
      <c r="BF49" s="292"/>
      <c r="BG49" s="292"/>
      <c r="BH49" s="292"/>
      <c r="BI49" s="292"/>
      <c r="BJ49" s="292"/>
      <c r="BK49" s="292"/>
      <c r="BL49" s="292"/>
      <c r="BM49" s="292"/>
      <c r="BN49" s="292"/>
      <c r="BO49" s="292"/>
      <c r="BP49" s="292"/>
      <c r="BQ49" s="292"/>
      <c r="BR49" s="292"/>
      <c r="BS49" s="292"/>
      <c r="BT49" s="292"/>
      <c r="BU49" s="292"/>
      <c r="BV49" s="292"/>
      <c r="BW49" s="292"/>
      <c r="BX49" s="297"/>
      <c r="BY49" s="298">
        <f t="shared" ref="BY49:BY53" si="18">SUM(E49:BX49)</f>
        <v>-484393.60000000003</v>
      </c>
      <c r="BZ49" s="631"/>
    </row>
    <row r="50" spans="2:78" hidden="1" outlineLevel="1">
      <c r="B50" s="629"/>
      <c r="C50" s="290" t="s">
        <v>295</v>
      </c>
      <c r="D50" s="291" t="s">
        <v>262</v>
      </c>
      <c r="E50" s="292"/>
      <c r="F50" s="292"/>
      <c r="G50" s="292"/>
      <c r="H50" s="292"/>
      <c r="I50" s="292"/>
      <c r="J50" s="292"/>
      <c r="K50" s="292"/>
      <c r="L50" s="292"/>
      <c r="M50" s="292"/>
      <c r="N50" s="292"/>
      <c r="O50" s="292"/>
      <c r="P50" s="292"/>
      <c r="Q50" s="292"/>
      <c r="R50" s="292"/>
      <c r="S50" s="292"/>
      <c r="T50" s="292"/>
      <c r="U50" s="292"/>
      <c r="V50" s="292"/>
      <c r="W50" s="292"/>
      <c r="X50" s="292"/>
      <c r="Y50" s="292"/>
      <c r="Z50" s="292"/>
      <c r="AA50" s="292"/>
      <c r="AB50" s="292"/>
      <c r="AC50" s="292"/>
      <c r="AD50" s="292"/>
      <c r="AE50" s="292"/>
      <c r="AF50" s="292"/>
      <c r="AG50" s="292"/>
      <c r="AH50" s="292"/>
      <c r="AI50" s="292"/>
      <c r="AJ50" s="292"/>
      <c r="AK50" s="292"/>
      <c r="AL50" s="292"/>
      <c r="AM50" s="292"/>
      <c r="AN50" s="292"/>
      <c r="AO50" s="292"/>
      <c r="AP50" s="292"/>
      <c r="AQ50" s="292"/>
      <c r="AR50" s="292"/>
      <c r="AS50" s="292"/>
      <c r="AT50" s="292"/>
      <c r="AU50" s="292"/>
      <c r="AV50" s="292"/>
      <c r="AW50" s="292"/>
      <c r="AX50" s="292"/>
      <c r="AY50" s="292"/>
      <c r="AZ50" s="292"/>
      <c r="BA50" s="292"/>
      <c r="BB50" s="292"/>
      <c r="BC50" s="292"/>
      <c r="BD50" s="292"/>
      <c r="BE50" s="292"/>
      <c r="BF50" s="292"/>
      <c r="BG50" s="292"/>
      <c r="BH50" s="292"/>
      <c r="BI50" s="292"/>
      <c r="BJ50" s="292"/>
      <c r="BK50" s="292"/>
      <c r="BL50" s="292"/>
      <c r="BM50" s="292"/>
      <c r="BN50" s="292"/>
      <c r="BO50" s="292"/>
      <c r="BP50" s="292"/>
      <c r="BQ50" s="292"/>
      <c r="BR50" s="292"/>
      <c r="BS50" s="292"/>
      <c r="BT50" s="292"/>
      <c r="BU50" s="292"/>
      <c r="BV50" s="292"/>
      <c r="BW50" s="292"/>
      <c r="BX50" s="297"/>
      <c r="BY50" s="298">
        <f t="shared" si="18"/>
        <v>0</v>
      </c>
      <c r="BZ50" s="631"/>
    </row>
    <row r="51" spans="2:78" hidden="1" outlineLevel="1">
      <c r="B51" s="629"/>
      <c r="C51" s="290" t="s">
        <v>296</v>
      </c>
      <c r="D51" s="291" t="s">
        <v>262</v>
      </c>
      <c r="E51" s="292"/>
      <c r="F51" s="292"/>
      <c r="G51" s="292"/>
      <c r="H51" s="292"/>
      <c r="I51" s="292"/>
      <c r="J51" s="292"/>
      <c r="K51" s="292"/>
      <c r="L51" s="292"/>
      <c r="M51" s="292"/>
      <c r="N51" s="292"/>
      <c r="O51" s="292"/>
      <c r="P51" s="292"/>
      <c r="Q51" s="292"/>
      <c r="R51" s="292"/>
      <c r="S51" s="292"/>
      <c r="T51" s="292"/>
      <c r="U51" s="292"/>
      <c r="V51" s="292"/>
      <c r="W51" s="292"/>
      <c r="X51" s="292"/>
      <c r="Y51" s="292"/>
      <c r="Z51" s="292"/>
      <c r="AA51" s="292"/>
      <c r="AB51" s="292"/>
      <c r="AC51" s="292"/>
      <c r="AD51" s="292"/>
      <c r="AE51" s="292"/>
      <c r="AF51" s="292"/>
      <c r="AG51" s="292"/>
      <c r="AH51" s="292"/>
      <c r="AI51" s="292"/>
      <c r="AJ51" s="292"/>
      <c r="AK51" s="292"/>
      <c r="AL51" s="292"/>
      <c r="AM51" s="292"/>
      <c r="AN51" s="292"/>
      <c r="AO51" s="292"/>
      <c r="AP51" s="292"/>
      <c r="AQ51" s="292"/>
      <c r="AR51" s="292"/>
      <c r="AS51" s="292"/>
      <c r="AT51" s="292"/>
      <c r="AU51" s="292"/>
      <c r="AV51" s="292"/>
      <c r="AW51" s="292"/>
      <c r="AX51" s="292"/>
      <c r="AY51" s="292"/>
      <c r="AZ51" s="292"/>
      <c r="BA51" s="292"/>
      <c r="BB51" s="292"/>
      <c r="BC51" s="292"/>
      <c r="BD51" s="292"/>
      <c r="BE51" s="292"/>
      <c r="BF51" s="292"/>
      <c r="BG51" s="292"/>
      <c r="BH51" s="292"/>
      <c r="BI51" s="292"/>
      <c r="BJ51" s="292"/>
      <c r="BK51" s="292"/>
      <c r="BL51" s="292"/>
      <c r="BM51" s="292"/>
      <c r="BN51" s="292"/>
      <c r="BO51" s="292"/>
      <c r="BP51" s="292"/>
      <c r="BQ51" s="292"/>
      <c r="BR51" s="292"/>
      <c r="BS51" s="292"/>
      <c r="BT51" s="292"/>
      <c r="BU51" s="292"/>
      <c r="BV51" s="292"/>
      <c r="BW51" s="292"/>
      <c r="BX51" s="297"/>
      <c r="BY51" s="298">
        <f t="shared" si="18"/>
        <v>0</v>
      </c>
      <c r="BZ51" s="631"/>
    </row>
    <row r="52" spans="2:78" hidden="1" outlineLevel="1">
      <c r="B52" s="629"/>
      <c r="C52" s="290" t="s">
        <v>297</v>
      </c>
      <c r="D52" s="291" t="s">
        <v>262</v>
      </c>
      <c r="E52" s="292"/>
      <c r="F52" s="292"/>
      <c r="G52" s="292"/>
      <c r="H52" s="292"/>
      <c r="I52" s="292"/>
      <c r="J52" s="292"/>
      <c r="K52" s="292"/>
      <c r="L52" s="292"/>
      <c r="M52" s="292"/>
      <c r="N52" s="292"/>
      <c r="O52" s="292"/>
      <c r="P52" s="292"/>
      <c r="Q52" s="292"/>
      <c r="R52" s="292"/>
      <c r="S52" s="292"/>
      <c r="T52" s="292"/>
      <c r="U52" s="292"/>
      <c r="V52" s="292"/>
      <c r="W52" s="292">
        <f>-Businessplan_prodej!$F$76/11</f>
        <v>-1090.909090909091</v>
      </c>
      <c r="X52" s="292">
        <f>-3-4-400-350</f>
        <v>-757</v>
      </c>
      <c r="Y52" s="292">
        <f>-3-15-5-24-400-2-350</f>
        <v>-799</v>
      </c>
      <c r="Z52" s="292">
        <f>-20-32-4-12-400-4-12-350</f>
        <v>-834</v>
      </c>
      <c r="AA52" s="292">
        <f>-15-5-2-400-20-350</f>
        <v>-792</v>
      </c>
      <c r="AB52" s="292">
        <f>-488</f>
        <v>-488</v>
      </c>
      <c r="AC52" s="292">
        <f>-Businessplan_prodej!$F$76/11</f>
        <v>-1090.909090909091</v>
      </c>
      <c r="AD52" s="292">
        <f>-Businessplan_prodej!$F$76/11</f>
        <v>-1090.909090909091</v>
      </c>
      <c r="AE52" s="292">
        <f>-Businessplan_prodej!$F$76/11</f>
        <v>-1090.909090909091</v>
      </c>
      <c r="AF52" s="292">
        <f>-Businessplan_prodej!$F$76/11</f>
        <v>-1090.909090909091</v>
      </c>
      <c r="AG52" s="292">
        <f>-Businessplan_prodej!$F$76/11</f>
        <v>-1090.909090909091</v>
      </c>
      <c r="AH52" s="292">
        <f>-Businessplan_prodej!$F$76/11</f>
        <v>-1090.909090909091</v>
      </c>
      <c r="AI52" s="292">
        <f>-Businessplan_prodej!$F$76/11</f>
        <v>-1090.909090909091</v>
      </c>
      <c r="AJ52" s="292"/>
      <c r="AK52" s="292"/>
      <c r="AL52" s="292"/>
      <c r="AM52" s="292"/>
      <c r="AN52" s="292"/>
      <c r="AO52" s="292"/>
      <c r="AP52" s="292"/>
      <c r="AQ52" s="292"/>
      <c r="AR52" s="292"/>
      <c r="AS52" s="292"/>
      <c r="AT52" s="292"/>
      <c r="AU52" s="292"/>
      <c r="AV52" s="292"/>
      <c r="AW52" s="292"/>
      <c r="AX52" s="292"/>
      <c r="AY52" s="292"/>
      <c r="AZ52" s="292"/>
      <c r="BA52" s="292"/>
      <c r="BB52" s="292"/>
      <c r="BC52" s="292"/>
      <c r="BD52" s="292"/>
      <c r="BE52" s="292"/>
      <c r="BF52" s="292"/>
      <c r="BG52" s="292"/>
      <c r="BH52" s="292"/>
      <c r="BI52" s="292"/>
      <c r="BJ52" s="292"/>
      <c r="BK52" s="292"/>
      <c r="BL52" s="292"/>
      <c r="BM52" s="292"/>
      <c r="BN52" s="292"/>
      <c r="BO52" s="292"/>
      <c r="BP52" s="292"/>
      <c r="BQ52" s="292"/>
      <c r="BR52" s="292"/>
      <c r="BS52" s="292"/>
      <c r="BT52" s="292"/>
      <c r="BU52" s="292"/>
      <c r="BV52" s="292"/>
      <c r="BW52" s="292"/>
      <c r="BX52" s="297"/>
      <c r="BY52" s="299">
        <f t="shared" si="18"/>
        <v>-12397.272727272732</v>
      </c>
      <c r="BZ52" s="631"/>
    </row>
    <row r="53" spans="2:78" hidden="1" outlineLevel="1">
      <c r="B53" s="629"/>
      <c r="C53" s="290" t="s">
        <v>298</v>
      </c>
      <c r="D53" s="294" t="s">
        <v>262</v>
      </c>
      <c r="E53" s="295"/>
      <c r="F53" s="295"/>
      <c r="G53" s="292"/>
      <c r="H53" s="292"/>
      <c r="I53" s="292"/>
      <c r="J53" s="292"/>
      <c r="K53" s="292"/>
      <c r="L53" s="292"/>
      <c r="M53" s="292"/>
      <c r="N53" s="292"/>
      <c r="O53" s="292"/>
      <c r="P53" s="292"/>
      <c r="Q53" s="292"/>
      <c r="R53" s="292"/>
      <c r="S53" s="292"/>
      <c r="T53" s="292"/>
      <c r="U53" s="292"/>
      <c r="V53" s="292"/>
      <c r="W53" s="292">
        <f>-996</f>
        <v>-996</v>
      </c>
      <c r="X53" s="292"/>
      <c r="Y53" s="292"/>
      <c r="Z53" s="292"/>
      <c r="AA53" s="292"/>
      <c r="AB53" s="292"/>
      <c r="AC53" s="292"/>
      <c r="AD53" s="292"/>
      <c r="AE53" s="292"/>
      <c r="AF53" s="292"/>
      <c r="AG53" s="292"/>
      <c r="AH53" s="292"/>
      <c r="AI53" s="292"/>
      <c r="AJ53" s="292"/>
      <c r="AK53" s="292"/>
      <c r="AL53" s="292"/>
      <c r="AM53" s="292"/>
      <c r="AN53" s="292"/>
      <c r="AO53" s="292"/>
      <c r="AP53" s="292"/>
      <c r="AQ53" s="292"/>
      <c r="AR53" s="292"/>
      <c r="AS53" s="292"/>
      <c r="AT53" s="292"/>
      <c r="AU53" s="292"/>
      <c r="AV53" s="292"/>
      <c r="AW53" s="292"/>
      <c r="AX53" s="292"/>
      <c r="AY53" s="292"/>
      <c r="AZ53" s="292"/>
      <c r="BA53" s="292"/>
      <c r="BB53" s="292"/>
      <c r="BC53" s="292"/>
      <c r="BD53" s="292"/>
      <c r="BE53" s="292"/>
      <c r="BF53" s="292"/>
      <c r="BG53" s="292"/>
      <c r="BH53" s="292"/>
      <c r="BI53" s="292"/>
      <c r="BJ53" s="292"/>
      <c r="BK53" s="292"/>
      <c r="BL53" s="292"/>
      <c r="BM53" s="292"/>
      <c r="BN53" s="292"/>
      <c r="BO53" s="292"/>
      <c r="BP53" s="292"/>
      <c r="BQ53" s="292"/>
      <c r="BR53" s="292"/>
      <c r="BS53" s="292"/>
      <c r="BT53" s="292"/>
      <c r="BU53" s="292"/>
      <c r="BV53" s="292"/>
      <c r="BW53" s="292"/>
      <c r="BX53" s="297"/>
      <c r="BY53" s="301">
        <f t="shared" si="18"/>
        <v>-996</v>
      </c>
      <c r="BZ53" s="631"/>
    </row>
    <row r="54" spans="2:78" ht="16">
      <c r="B54" s="629"/>
      <c r="C54" s="285" t="s">
        <v>299</v>
      </c>
      <c r="D54" s="286"/>
      <c r="E54" s="287">
        <f t="shared" ref="E54:BX54" si="19">SUM(E55:E61)</f>
        <v>0</v>
      </c>
      <c r="F54" s="287">
        <f t="shared" si="19"/>
        <v>0</v>
      </c>
      <c r="G54" s="287">
        <f t="shared" si="19"/>
        <v>0</v>
      </c>
      <c r="H54" s="287">
        <f t="shared" si="19"/>
        <v>0</v>
      </c>
      <c r="I54" s="287">
        <f t="shared" si="19"/>
        <v>0</v>
      </c>
      <c r="J54" s="287">
        <f t="shared" si="19"/>
        <v>0</v>
      </c>
      <c r="K54" s="287">
        <f t="shared" si="19"/>
        <v>0</v>
      </c>
      <c r="L54" s="287">
        <f t="shared" si="19"/>
        <v>0</v>
      </c>
      <c r="M54" s="287">
        <f t="shared" si="19"/>
        <v>0</v>
      </c>
      <c r="N54" s="287">
        <f t="shared" si="19"/>
        <v>0</v>
      </c>
      <c r="O54" s="287">
        <f t="shared" si="19"/>
        <v>0</v>
      </c>
      <c r="P54" s="287">
        <f t="shared" si="19"/>
        <v>0</v>
      </c>
      <c r="Q54" s="287">
        <f t="shared" si="19"/>
        <v>0</v>
      </c>
      <c r="R54" s="287">
        <f t="shared" si="19"/>
        <v>0</v>
      </c>
      <c r="S54" s="287">
        <f t="shared" si="19"/>
        <v>0</v>
      </c>
      <c r="T54" s="287">
        <f t="shared" si="19"/>
        <v>0</v>
      </c>
      <c r="U54" s="287">
        <f t="shared" si="19"/>
        <v>0</v>
      </c>
      <c r="V54" s="287">
        <f t="shared" si="19"/>
        <v>0</v>
      </c>
      <c r="W54" s="287">
        <f t="shared" si="19"/>
        <v>0</v>
      </c>
      <c r="X54" s="287">
        <f t="shared" si="19"/>
        <v>0</v>
      </c>
      <c r="Y54" s="287">
        <f t="shared" si="19"/>
        <v>0</v>
      </c>
      <c r="Z54" s="287">
        <f t="shared" si="19"/>
        <v>0</v>
      </c>
      <c r="AA54" s="287">
        <f t="shared" si="19"/>
        <v>0</v>
      </c>
      <c r="AB54" s="287">
        <f>SUM(AB55:AB61)</f>
        <v>-49711.103999999999</v>
      </c>
      <c r="AC54" s="287">
        <f t="shared" si="19"/>
        <v>-100563.4017375</v>
      </c>
      <c r="AD54" s="287">
        <f t="shared" si="19"/>
        <v>-152869.63298749999</v>
      </c>
      <c r="AE54" s="287">
        <f t="shared" si="19"/>
        <v>-200813.04473749999</v>
      </c>
      <c r="AF54" s="287">
        <f t="shared" si="19"/>
        <v>0</v>
      </c>
      <c r="AG54" s="287">
        <f t="shared" si="19"/>
        <v>-458825.22646999994</v>
      </c>
      <c r="AH54" s="287">
        <f t="shared" si="19"/>
        <v>-302537.613235</v>
      </c>
      <c r="AI54" s="287">
        <f t="shared" si="19"/>
        <v>-6421287.6132349987</v>
      </c>
      <c r="AJ54" s="287">
        <f t="shared" si="19"/>
        <v>0</v>
      </c>
      <c r="AK54" s="287">
        <f t="shared" si="19"/>
        <v>0</v>
      </c>
      <c r="AL54" s="287">
        <f t="shared" si="19"/>
        <v>0</v>
      </c>
      <c r="AM54" s="287">
        <f t="shared" si="19"/>
        <v>0</v>
      </c>
      <c r="AN54" s="287">
        <f t="shared" si="19"/>
        <v>0</v>
      </c>
      <c r="AO54" s="287">
        <f t="shared" si="19"/>
        <v>0</v>
      </c>
      <c r="AP54" s="287">
        <f t="shared" si="19"/>
        <v>0</v>
      </c>
      <c r="AQ54" s="287">
        <f t="shared" si="19"/>
        <v>0</v>
      </c>
      <c r="AR54" s="287">
        <f t="shared" si="19"/>
        <v>0</v>
      </c>
      <c r="AS54" s="287">
        <f t="shared" si="19"/>
        <v>0</v>
      </c>
      <c r="AT54" s="287">
        <f t="shared" si="19"/>
        <v>0</v>
      </c>
      <c r="AU54" s="287">
        <f t="shared" si="19"/>
        <v>0</v>
      </c>
      <c r="AV54" s="287">
        <f t="shared" si="19"/>
        <v>0</v>
      </c>
      <c r="AW54" s="287">
        <f t="shared" si="19"/>
        <v>0</v>
      </c>
      <c r="AX54" s="287">
        <f t="shared" si="19"/>
        <v>0</v>
      </c>
      <c r="AY54" s="287">
        <f t="shared" si="19"/>
        <v>0</v>
      </c>
      <c r="AZ54" s="287">
        <f t="shared" si="19"/>
        <v>0</v>
      </c>
      <c r="BA54" s="287">
        <f t="shared" si="19"/>
        <v>0</v>
      </c>
      <c r="BB54" s="287">
        <f t="shared" si="19"/>
        <v>0</v>
      </c>
      <c r="BC54" s="287">
        <f t="shared" si="19"/>
        <v>0</v>
      </c>
      <c r="BD54" s="287">
        <f t="shared" si="19"/>
        <v>0</v>
      </c>
      <c r="BE54" s="287">
        <f t="shared" si="19"/>
        <v>0</v>
      </c>
      <c r="BF54" s="287">
        <f t="shared" si="19"/>
        <v>0</v>
      </c>
      <c r="BG54" s="287">
        <f t="shared" si="19"/>
        <v>0</v>
      </c>
      <c r="BH54" s="287">
        <f t="shared" si="19"/>
        <v>0</v>
      </c>
      <c r="BI54" s="287">
        <f t="shared" si="19"/>
        <v>0</v>
      </c>
      <c r="BJ54" s="287">
        <f t="shared" si="19"/>
        <v>0</v>
      </c>
      <c r="BK54" s="287">
        <f t="shared" si="19"/>
        <v>0</v>
      </c>
      <c r="BL54" s="287">
        <f t="shared" si="19"/>
        <v>0</v>
      </c>
      <c r="BM54" s="287">
        <f t="shared" si="19"/>
        <v>0</v>
      </c>
      <c r="BN54" s="287">
        <f t="shared" si="19"/>
        <v>0</v>
      </c>
      <c r="BO54" s="287">
        <f t="shared" si="19"/>
        <v>0</v>
      </c>
      <c r="BP54" s="287">
        <f t="shared" si="19"/>
        <v>0</v>
      </c>
      <c r="BQ54" s="287">
        <f t="shared" si="19"/>
        <v>0</v>
      </c>
      <c r="BR54" s="287">
        <f t="shared" si="19"/>
        <v>0</v>
      </c>
      <c r="BS54" s="287">
        <f t="shared" si="19"/>
        <v>0</v>
      </c>
      <c r="BT54" s="287">
        <f t="shared" si="19"/>
        <v>0</v>
      </c>
      <c r="BU54" s="287">
        <f t="shared" si="19"/>
        <v>0</v>
      </c>
      <c r="BV54" s="287">
        <f t="shared" si="19"/>
        <v>0</v>
      </c>
      <c r="BW54" s="287">
        <f t="shared" si="19"/>
        <v>0</v>
      </c>
      <c r="BX54" s="287">
        <f t="shared" si="19"/>
        <v>0</v>
      </c>
      <c r="BY54" s="289">
        <f>SUM(BY55:BY61)</f>
        <v>-7686607.6364024989</v>
      </c>
      <c r="BZ54" s="631"/>
    </row>
    <row r="55" spans="2:78" outlineLevel="1">
      <c r="B55" s="629"/>
      <c r="C55" s="290" t="s">
        <v>300</v>
      </c>
      <c r="D55" s="305">
        <v>0.11</v>
      </c>
      <c r="E55" s="292"/>
      <c r="F55" s="292"/>
      <c r="G55" s="292"/>
      <c r="H55" s="292"/>
      <c r="I55" s="292"/>
      <c r="J55" s="292"/>
      <c r="K55" s="292"/>
      <c r="L55" s="292"/>
      <c r="M55" s="292"/>
      <c r="N55" s="292"/>
      <c r="O55" s="292"/>
      <c r="P55" s="292"/>
      <c r="Q55" s="292"/>
      <c r="R55" s="292"/>
      <c r="S55" s="292"/>
      <c r="T55" s="292"/>
      <c r="U55" s="292"/>
      <c r="V55" s="292"/>
      <c r="W55" s="292"/>
      <c r="X55" s="292"/>
      <c r="Y55" s="292"/>
      <c r="Z55" s="292"/>
      <c r="AA55" s="292"/>
      <c r="AB55" s="292"/>
      <c r="AC55" s="292"/>
      <c r="AD55" s="292"/>
      <c r="AE55" s="292"/>
      <c r="AF55" s="292"/>
      <c r="AG55" s="292"/>
      <c r="AH55" s="292"/>
      <c r="AI55" s="292"/>
      <c r="AJ55" s="292"/>
      <c r="AK55" s="292"/>
      <c r="AL55" s="292"/>
      <c r="AM55" s="292"/>
      <c r="AN55" s="292"/>
      <c r="AO55" s="292"/>
      <c r="AP55" s="292"/>
      <c r="AQ55" s="292"/>
      <c r="AR55" s="292"/>
      <c r="AS55" s="292"/>
      <c r="AT55" s="292"/>
      <c r="AU55" s="292"/>
      <c r="AV55" s="292"/>
      <c r="AW55" s="292"/>
      <c r="AX55" s="292"/>
      <c r="AY55" s="292"/>
      <c r="AZ55" s="292"/>
      <c r="BA55" s="292"/>
      <c r="BB55" s="292"/>
      <c r="BC55" s="292"/>
      <c r="BD55" s="292"/>
      <c r="BE55" s="292"/>
      <c r="BF55" s="292"/>
      <c r="BG55" s="292"/>
      <c r="BH55" s="292"/>
      <c r="BI55" s="292"/>
      <c r="BJ55" s="292"/>
      <c r="BK55" s="292"/>
      <c r="BL55" s="292"/>
      <c r="BM55" s="297"/>
      <c r="BN55" s="297"/>
      <c r="BO55" s="297"/>
      <c r="BP55" s="297"/>
      <c r="BQ55" s="297"/>
      <c r="BR55" s="297"/>
      <c r="BS55" s="297"/>
      <c r="BT55" s="297"/>
      <c r="BU55" s="297"/>
      <c r="BV55" s="297"/>
      <c r="BW55" s="297"/>
      <c r="BX55" s="297"/>
      <c r="BY55" s="306">
        <f t="shared" ref="BY55:BY61" si="20">SUM(E55:BX55)</f>
        <v>0</v>
      </c>
      <c r="BZ55" s="631"/>
    </row>
    <row r="56" spans="2:78" outlineLevel="1">
      <c r="B56" s="629"/>
      <c r="C56" s="290" t="s">
        <v>301</v>
      </c>
      <c r="D56" s="305">
        <v>0.11</v>
      </c>
      <c r="E56" s="292"/>
      <c r="F56" s="292"/>
      <c r="G56" s="292"/>
      <c r="H56" s="292"/>
      <c r="I56" s="292"/>
      <c r="J56" s="292"/>
      <c r="K56" s="292"/>
      <c r="L56" s="292"/>
      <c r="M56" s="292"/>
      <c r="N56" s="292"/>
      <c r="O56" s="292"/>
      <c r="P56" s="292"/>
      <c r="Q56" s="292"/>
      <c r="R56" s="292"/>
      <c r="S56" s="292"/>
      <c r="T56" s="292"/>
      <c r="U56" s="292"/>
      <c r="V56" s="292"/>
      <c r="W56" s="292"/>
      <c r="X56" s="292"/>
      <c r="Y56" s="292"/>
      <c r="Z56" s="292"/>
      <c r="AA56" s="292"/>
      <c r="AB56" s="292"/>
      <c r="AC56" s="292"/>
      <c r="AD56" s="292"/>
      <c r="AE56" s="292"/>
      <c r="AF56" s="292"/>
      <c r="AG56" s="292"/>
      <c r="AH56" s="292"/>
      <c r="AI56" s="292">
        <f>-SUM('Interest Calc EQ'!O22:O37)-'Interest Calc EQ'!O37</f>
        <v>-6118749.9999999991</v>
      </c>
      <c r="AJ56" s="292"/>
      <c r="AK56" s="292"/>
      <c r="AL56" s="292"/>
      <c r="AM56" s="292"/>
      <c r="AN56" s="292"/>
      <c r="AO56" s="292"/>
      <c r="AP56" s="292"/>
      <c r="AQ56" s="292"/>
      <c r="AR56" s="292"/>
      <c r="AS56" s="292"/>
      <c r="AT56" s="292"/>
      <c r="AU56" s="292"/>
      <c r="AV56" s="292"/>
      <c r="AW56" s="292"/>
      <c r="AX56" s="292"/>
      <c r="AY56" s="292"/>
      <c r="AZ56" s="292"/>
      <c r="BA56" s="292"/>
      <c r="BB56" s="292"/>
      <c r="BC56" s="292"/>
      <c r="BD56" s="292"/>
      <c r="BE56" s="292"/>
      <c r="BF56" s="292"/>
      <c r="BG56" s="292"/>
      <c r="BH56" s="292"/>
      <c r="BI56" s="292"/>
      <c r="BJ56" s="292"/>
      <c r="BK56" s="292"/>
      <c r="BL56" s="292"/>
      <c r="BM56" s="297"/>
      <c r="BN56" s="297"/>
      <c r="BO56" s="297"/>
      <c r="BP56" s="297"/>
      <c r="BQ56" s="297"/>
      <c r="BR56" s="297"/>
      <c r="BS56" s="297"/>
      <c r="BT56" s="297"/>
      <c r="BU56" s="297"/>
      <c r="BV56" s="297"/>
      <c r="BW56" s="297"/>
      <c r="BX56" s="297"/>
      <c r="BY56" s="307">
        <f t="shared" si="20"/>
        <v>-6118749.9999999991</v>
      </c>
      <c r="BZ56" s="631"/>
    </row>
    <row r="57" spans="2:78" outlineLevel="1">
      <c r="B57" s="629"/>
      <c r="C57" s="290" t="s">
        <v>302</v>
      </c>
      <c r="D57" s="305">
        <v>0.11</v>
      </c>
      <c r="E57" s="292"/>
      <c r="F57" s="292"/>
      <c r="G57" s="292"/>
      <c r="H57" s="292"/>
      <c r="I57" s="292"/>
      <c r="J57" s="292"/>
      <c r="K57" s="292"/>
      <c r="L57" s="292"/>
      <c r="M57" s="292"/>
      <c r="N57" s="292"/>
      <c r="O57" s="292"/>
      <c r="P57" s="292"/>
      <c r="Q57" s="292"/>
      <c r="R57" s="292"/>
      <c r="S57" s="292"/>
      <c r="T57" s="292"/>
      <c r="U57" s="292"/>
      <c r="V57" s="292"/>
      <c r="W57" s="292"/>
      <c r="X57" s="292"/>
      <c r="Y57" s="292"/>
      <c r="Z57" s="292"/>
      <c r="AA57" s="292"/>
      <c r="AB57" s="292"/>
      <c r="AC57" s="292"/>
      <c r="AD57" s="292"/>
      <c r="AE57" s="292"/>
      <c r="AF57" s="292"/>
      <c r="AG57" s="292"/>
      <c r="AH57" s="292"/>
      <c r="AI57" s="292"/>
      <c r="AJ57" s="292"/>
      <c r="AK57" s="292"/>
      <c r="AL57" s="292"/>
      <c r="AM57" s="292"/>
      <c r="AN57" s="292"/>
      <c r="AO57" s="292"/>
      <c r="AP57" s="292"/>
      <c r="AQ57" s="292"/>
      <c r="AR57" s="292"/>
      <c r="AS57" s="292"/>
      <c r="AT57" s="292"/>
      <c r="AU57" s="292"/>
      <c r="AV57" s="292"/>
      <c r="AW57" s="292"/>
      <c r="AX57" s="292"/>
      <c r="AY57" s="292"/>
      <c r="AZ57" s="292"/>
      <c r="BA57" s="292"/>
      <c r="BB57" s="292"/>
      <c r="BC57" s="292"/>
      <c r="BD57" s="292"/>
      <c r="BE57" s="292"/>
      <c r="BF57" s="292"/>
      <c r="BG57" s="292"/>
      <c r="BH57" s="292"/>
      <c r="BI57" s="292"/>
      <c r="BJ57" s="292"/>
      <c r="BK57" s="292"/>
      <c r="BL57" s="292"/>
      <c r="BM57" s="297"/>
      <c r="BN57" s="297"/>
      <c r="BO57" s="297"/>
      <c r="BP57" s="297"/>
      <c r="BQ57" s="297"/>
      <c r="BR57" s="297"/>
      <c r="BS57" s="297"/>
      <c r="BT57" s="297"/>
      <c r="BU57" s="297"/>
      <c r="BV57" s="297"/>
      <c r="BW57" s="297"/>
      <c r="BX57" s="297"/>
      <c r="BY57" s="307">
        <f t="shared" si="20"/>
        <v>0</v>
      </c>
      <c r="BZ57" s="631"/>
    </row>
    <row r="58" spans="2:78" outlineLevel="1">
      <c r="B58" s="629"/>
      <c r="C58" s="290" t="s">
        <v>303</v>
      </c>
      <c r="D58" s="305">
        <v>0.11</v>
      </c>
      <c r="E58" s="292"/>
      <c r="F58" s="292"/>
      <c r="G58" s="292"/>
      <c r="H58" s="292"/>
      <c r="I58" s="292"/>
      <c r="J58" s="292"/>
      <c r="K58" s="292"/>
      <c r="L58" s="292"/>
      <c r="M58" s="292"/>
      <c r="N58" s="292"/>
      <c r="O58" s="292"/>
      <c r="P58" s="292"/>
      <c r="Q58" s="292"/>
      <c r="R58" s="292"/>
      <c r="S58" s="292"/>
      <c r="T58" s="292"/>
      <c r="U58" s="292"/>
      <c r="V58" s="292"/>
      <c r="W58" s="292"/>
      <c r="X58" s="292"/>
      <c r="Y58" s="292"/>
      <c r="Z58" s="292"/>
      <c r="AA58" s="292"/>
      <c r="AB58" s="292"/>
      <c r="AC58" s="292"/>
      <c r="AD58" s="292"/>
      <c r="AE58" s="292"/>
      <c r="AF58" s="292"/>
      <c r="AG58" s="292"/>
      <c r="AH58" s="292"/>
      <c r="AI58" s="292"/>
      <c r="AJ58" s="292"/>
      <c r="AK58" s="292"/>
      <c r="AL58" s="292"/>
      <c r="AM58" s="292"/>
      <c r="AN58" s="292"/>
      <c r="AO58" s="292"/>
      <c r="AP58" s="292"/>
      <c r="AQ58" s="292"/>
      <c r="AR58" s="292"/>
      <c r="AS58" s="292"/>
      <c r="AT58" s="292"/>
      <c r="AU58" s="292"/>
      <c r="AV58" s="292"/>
      <c r="AW58" s="292"/>
      <c r="AX58" s="292"/>
      <c r="AY58" s="292"/>
      <c r="AZ58" s="292"/>
      <c r="BA58" s="292"/>
      <c r="BB58" s="292"/>
      <c r="BC58" s="292"/>
      <c r="BD58" s="292"/>
      <c r="BE58" s="292"/>
      <c r="BF58" s="292"/>
      <c r="BG58" s="292"/>
      <c r="BH58" s="292"/>
      <c r="BI58" s="292"/>
      <c r="BJ58" s="292"/>
      <c r="BK58" s="292"/>
      <c r="BL58" s="292"/>
      <c r="BM58" s="297"/>
      <c r="BN58" s="297"/>
      <c r="BO58" s="297"/>
      <c r="BP58" s="297"/>
      <c r="BQ58" s="297"/>
      <c r="BR58" s="297"/>
      <c r="BS58" s="297"/>
      <c r="BT58" s="297"/>
      <c r="BU58" s="297"/>
      <c r="BV58" s="297"/>
      <c r="BW58" s="297"/>
      <c r="BX58" s="297"/>
      <c r="BY58" s="307">
        <f t="shared" si="20"/>
        <v>0</v>
      </c>
      <c r="BZ58" s="631"/>
    </row>
    <row r="59" spans="2:78" outlineLevel="1">
      <c r="B59" s="629"/>
      <c r="C59" s="290" t="s">
        <v>304</v>
      </c>
      <c r="D59" s="305">
        <v>0.15</v>
      </c>
      <c r="E59" s="292"/>
      <c r="F59" s="292"/>
      <c r="G59" s="292"/>
      <c r="H59" s="292"/>
      <c r="I59" s="292"/>
      <c r="J59" s="292"/>
      <c r="K59" s="292"/>
      <c r="L59" s="292"/>
      <c r="M59" s="292"/>
      <c r="N59" s="292"/>
      <c r="O59" s="292"/>
      <c r="P59" s="292"/>
      <c r="Q59" s="292"/>
      <c r="R59" s="292"/>
      <c r="S59" s="292"/>
      <c r="T59" s="292"/>
      <c r="U59" s="292"/>
      <c r="V59" s="292"/>
      <c r="W59" s="292"/>
      <c r="X59" s="292"/>
      <c r="Y59" s="292"/>
      <c r="Z59" s="292"/>
      <c r="AA59" s="292"/>
      <c r="AB59" s="292"/>
      <c r="AC59" s="292"/>
      <c r="AD59" s="292"/>
      <c r="AE59" s="292"/>
      <c r="AF59" s="292"/>
      <c r="AG59" s="292"/>
      <c r="AH59" s="292"/>
      <c r="AI59" s="292"/>
      <c r="AJ59" s="292"/>
      <c r="AK59" s="292"/>
      <c r="AL59" s="292"/>
      <c r="AM59" s="292"/>
      <c r="AN59" s="292"/>
      <c r="AO59" s="292"/>
      <c r="AP59" s="292"/>
      <c r="AQ59" s="292"/>
      <c r="AR59" s="292"/>
      <c r="AS59" s="292"/>
      <c r="AT59" s="292"/>
      <c r="AU59" s="292"/>
      <c r="AV59" s="292"/>
      <c r="AW59" s="292"/>
      <c r="AX59" s="292"/>
      <c r="AY59" s="292"/>
      <c r="AZ59" s="292"/>
      <c r="BA59" s="292"/>
      <c r="BB59" s="292"/>
      <c r="BC59" s="292"/>
      <c r="BD59" s="292"/>
      <c r="BE59" s="292"/>
      <c r="BF59" s="292"/>
      <c r="BG59" s="292"/>
      <c r="BH59" s="292"/>
      <c r="BI59" s="292"/>
      <c r="BJ59" s="292"/>
      <c r="BK59" s="292"/>
      <c r="BL59" s="292"/>
      <c r="BM59" s="297"/>
      <c r="BN59" s="297"/>
      <c r="BO59" s="297"/>
      <c r="BP59" s="297"/>
      <c r="BQ59" s="297"/>
      <c r="BR59" s="297"/>
      <c r="BS59" s="297"/>
      <c r="BT59" s="297"/>
      <c r="BU59" s="297"/>
      <c r="BV59" s="297"/>
      <c r="BW59" s="297"/>
      <c r="BX59" s="297"/>
      <c r="BY59" s="308">
        <f t="shared" si="20"/>
        <v>0</v>
      </c>
      <c r="BZ59" s="631"/>
    </row>
    <row r="60" spans="2:78" outlineLevel="1">
      <c r="B60" s="629"/>
      <c r="C60" s="290" t="s">
        <v>305</v>
      </c>
      <c r="D60" s="309">
        <f>25%/12</f>
        <v>2.0833333333333332E-2</v>
      </c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2"/>
      <c r="BM60" s="297"/>
      <c r="BN60" s="297"/>
      <c r="BO60" s="297"/>
      <c r="BP60" s="297"/>
      <c r="BQ60" s="297"/>
      <c r="BR60" s="297"/>
      <c r="BS60" s="297"/>
      <c r="BT60" s="297"/>
      <c r="BU60" s="297"/>
      <c r="BV60" s="297"/>
      <c r="BW60" s="297"/>
      <c r="BX60" s="297"/>
      <c r="BY60" s="308">
        <f t="shared" si="20"/>
        <v>0</v>
      </c>
      <c r="BZ60" s="631"/>
    </row>
    <row r="61" spans="2:78" outlineLevel="1">
      <c r="B61" s="629"/>
      <c r="C61" s="507" t="s">
        <v>306</v>
      </c>
      <c r="D61" s="508">
        <v>3.9E-2</v>
      </c>
      <c r="E61" s="310"/>
      <c r="F61" s="310"/>
      <c r="G61" s="310"/>
      <c r="H61" s="310"/>
      <c r="I61" s="310"/>
      <c r="J61" s="310"/>
      <c r="K61" s="310"/>
      <c r="L61" s="310"/>
      <c r="M61" s="310"/>
      <c r="N61" s="310"/>
      <c r="O61" s="310"/>
      <c r="P61" s="310"/>
      <c r="Q61" s="310"/>
      <c r="R61" s="310"/>
      <c r="S61" s="310"/>
      <c r="T61" s="310"/>
      <c r="U61" s="310"/>
      <c r="V61" s="310"/>
      <c r="W61" s="310"/>
      <c r="X61" s="310">
        <f>-SUM($X$11:X11)*$D$61/12</f>
        <v>0</v>
      </c>
      <c r="Y61" s="310">
        <f>-SUM($X$11:Y11)*$D$61/12</f>
        <v>0</v>
      </c>
      <c r="Z61" s="310">
        <f>-SUM($X$11:Z11)*$D$61/12</f>
        <v>0</v>
      </c>
      <c r="AA61" s="310">
        <f>-SUM($X$11:AA11)*$D$61/12</f>
        <v>0</v>
      </c>
      <c r="AB61" s="310">
        <f>(-5.12-564.2-1435.16)*24.8</f>
        <v>-49711.103999999999</v>
      </c>
      <c r="AC61" s="310">
        <f>-SUM($X$11:AC11)*$D$61/12</f>
        <v>-100563.4017375</v>
      </c>
      <c r="AD61" s="310">
        <f>-SUM($X$11:AD11)*$D$61/12</f>
        <v>-152869.63298749999</v>
      </c>
      <c r="AE61" s="310">
        <f>-SUM($X$11:AE11)*$D$61/12</f>
        <v>-200813.04473749999</v>
      </c>
      <c r="AF61" s="310"/>
      <c r="AG61" s="310">
        <f>-SUM($X$11:AG11)*$D$61/12*2</f>
        <v>-458825.22646999994</v>
      </c>
      <c r="AH61" s="310">
        <f>-SUM($X$11:AH11)*$D$61/12</f>
        <v>-302537.613235</v>
      </c>
      <c r="AI61" s="310">
        <f>-SUM($X$11:AI11)*$D$61/12</f>
        <v>-302537.613235</v>
      </c>
      <c r="AJ61" s="310"/>
      <c r="AK61" s="310"/>
      <c r="AL61" s="310"/>
      <c r="AM61" s="310"/>
      <c r="AN61" s="310"/>
      <c r="AO61" s="310"/>
      <c r="AP61" s="310"/>
      <c r="AQ61" s="310"/>
      <c r="AR61" s="310"/>
      <c r="AS61" s="310"/>
      <c r="AT61" s="310"/>
      <c r="AU61" s="310"/>
      <c r="AV61" s="310"/>
      <c r="AW61" s="310"/>
      <c r="AX61" s="310"/>
      <c r="AY61" s="310"/>
      <c r="AZ61" s="310"/>
      <c r="BA61" s="310"/>
      <c r="BB61" s="310"/>
      <c r="BC61" s="310"/>
      <c r="BD61" s="310"/>
      <c r="BE61" s="310"/>
      <c r="BF61" s="310"/>
      <c r="BG61" s="310"/>
      <c r="BH61" s="310"/>
      <c r="BI61" s="310"/>
      <c r="BJ61" s="310"/>
      <c r="BK61" s="310"/>
      <c r="BL61" s="310"/>
      <c r="BM61" s="311"/>
      <c r="BN61" s="311"/>
      <c r="BO61" s="311"/>
      <c r="BP61" s="311"/>
      <c r="BQ61" s="311"/>
      <c r="BR61" s="311"/>
      <c r="BS61" s="311"/>
      <c r="BT61" s="311"/>
      <c r="BU61" s="311"/>
      <c r="BV61" s="311"/>
      <c r="BW61" s="311"/>
      <c r="BX61" s="311"/>
      <c r="BY61" s="312">
        <f t="shared" si="20"/>
        <v>-1567857.6364025001</v>
      </c>
      <c r="BZ61" s="631"/>
    </row>
    <row r="62" spans="2:78" ht="16" collapsed="1">
      <c r="B62" s="629"/>
      <c r="C62" s="285" t="s">
        <v>307</v>
      </c>
      <c r="D62" s="286"/>
      <c r="E62" s="287">
        <f t="shared" ref="E62:BY62" si="21">SUM(E63:E85)</f>
        <v>0</v>
      </c>
      <c r="F62" s="287">
        <f t="shared" si="21"/>
        <v>0</v>
      </c>
      <c r="G62" s="287">
        <f t="shared" si="21"/>
        <v>0</v>
      </c>
      <c r="H62" s="287">
        <f t="shared" si="21"/>
        <v>0</v>
      </c>
      <c r="I62" s="287">
        <f t="shared" si="21"/>
        <v>0</v>
      </c>
      <c r="J62" s="287">
        <f t="shared" si="21"/>
        <v>0</v>
      </c>
      <c r="K62" s="287">
        <f t="shared" si="21"/>
        <v>0</v>
      </c>
      <c r="L62" s="287">
        <f t="shared" si="21"/>
        <v>0</v>
      </c>
      <c r="M62" s="287">
        <f t="shared" si="21"/>
        <v>0</v>
      </c>
      <c r="N62" s="287">
        <f t="shared" si="21"/>
        <v>0</v>
      </c>
      <c r="O62" s="287">
        <f t="shared" si="21"/>
        <v>0</v>
      </c>
      <c r="P62" s="287">
        <f t="shared" si="21"/>
        <v>0</v>
      </c>
      <c r="Q62" s="287">
        <f t="shared" si="21"/>
        <v>0</v>
      </c>
      <c r="R62" s="287">
        <f t="shared" si="21"/>
        <v>0</v>
      </c>
      <c r="S62" s="287">
        <f t="shared" si="21"/>
        <v>0</v>
      </c>
      <c r="T62" s="287">
        <f t="shared" si="21"/>
        <v>0</v>
      </c>
      <c r="U62" s="287">
        <f t="shared" si="21"/>
        <v>0</v>
      </c>
      <c r="V62" s="287">
        <f t="shared" si="21"/>
        <v>0</v>
      </c>
      <c r="W62" s="287">
        <f t="shared" si="21"/>
        <v>0</v>
      </c>
      <c r="X62" s="287">
        <f t="shared" si="21"/>
        <v>0</v>
      </c>
      <c r="Y62" s="287">
        <f t="shared" si="21"/>
        <v>0</v>
      </c>
      <c r="Z62" s="287">
        <f t="shared" si="21"/>
        <v>0</v>
      </c>
      <c r="AA62" s="287">
        <f t="shared" si="21"/>
        <v>0</v>
      </c>
      <c r="AB62" s="287">
        <f t="shared" si="21"/>
        <v>0</v>
      </c>
      <c r="AC62" s="287">
        <f t="shared" si="21"/>
        <v>0</v>
      </c>
      <c r="AD62" s="287">
        <f t="shared" si="21"/>
        <v>0</v>
      </c>
      <c r="AE62" s="287">
        <f t="shared" si="21"/>
        <v>0</v>
      </c>
      <c r="AF62" s="287">
        <f t="shared" si="21"/>
        <v>0</v>
      </c>
      <c r="AG62" s="287">
        <f t="shared" si="21"/>
        <v>0</v>
      </c>
      <c r="AH62" s="287">
        <f t="shared" si="21"/>
        <v>0</v>
      </c>
      <c r="AI62" s="287">
        <f t="shared" si="21"/>
        <v>-126434.56</v>
      </c>
      <c r="AJ62" s="287">
        <f t="shared" si="21"/>
        <v>0</v>
      </c>
      <c r="AK62" s="287">
        <f t="shared" si="21"/>
        <v>0</v>
      </c>
      <c r="AL62" s="287">
        <f t="shared" si="21"/>
        <v>0</v>
      </c>
      <c r="AM62" s="287">
        <f t="shared" si="21"/>
        <v>0</v>
      </c>
      <c r="AN62" s="287">
        <f t="shared" si="21"/>
        <v>0</v>
      </c>
      <c r="AO62" s="287">
        <f t="shared" si="21"/>
        <v>0</v>
      </c>
      <c r="AP62" s="287">
        <f t="shared" si="21"/>
        <v>0</v>
      </c>
      <c r="AQ62" s="287">
        <f t="shared" si="21"/>
        <v>0</v>
      </c>
      <c r="AR62" s="287">
        <f t="shared" si="21"/>
        <v>0</v>
      </c>
      <c r="AS62" s="287">
        <f t="shared" si="21"/>
        <v>0</v>
      </c>
      <c r="AT62" s="287">
        <f t="shared" si="21"/>
        <v>0</v>
      </c>
      <c r="AU62" s="287">
        <f t="shared" si="21"/>
        <v>0</v>
      </c>
      <c r="AV62" s="287">
        <f t="shared" si="21"/>
        <v>0</v>
      </c>
      <c r="AW62" s="287">
        <f t="shared" si="21"/>
        <v>0</v>
      </c>
      <c r="AX62" s="287">
        <f t="shared" si="21"/>
        <v>0</v>
      </c>
      <c r="AY62" s="287">
        <f t="shared" si="21"/>
        <v>0</v>
      </c>
      <c r="AZ62" s="287">
        <f t="shared" si="21"/>
        <v>0</v>
      </c>
      <c r="BA62" s="287">
        <f t="shared" si="21"/>
        <v>0</v>
      </c>
      <c r="BB62" s="287">
        <f t="shared" si="21"/>
        <v>0</v>
      </c>
      <c r="BC62" s="287">
        <f t="shared" si="21"/>
        <v>0</v>
      </c>
      <c r="BD62" s="287">
        <f t="shared" si="21"/>
        <v>0</v>
      </c>
      <c r="BE62" s="287">
        <f t="shared" si="21"/>
        <v>0</v>
      </c>
      <c r="BF62" s="287">
        <f t="shared" si="21"/>
        <v>0</v>
      </c>
      <c r="BG62" s="287">
        <f t="shared" si="21"/>
        <v>0</v>
      </c>
      <c r="BH62" s="287">
        <f t="shared" si="21"/>
        <v>0</v>
      </c>
      <c r="BI62" s="287">
        <f t="shared" si="21"/>
        <v>0</v>
      </c>
      <c r="BJ62" s="287">
        <f t="shared" si="21"/>
        <v>0</v>
      </c>
      <c r="BK62" s="287">
        <f t="shared" si="21"/>
        <v>0</v>
      </c>
      <c r="BL62" s="287">
        <f t="shared" si="21"/>
        <v>0</v>
      </c>
      <c r="BM62" s="287">
        <f t="shared" si="21"/>
        <v>0</v>
      </c>
      <c r="BN62" s="287">
        <f t="shared" si="21"/>
        <v>0</v>
      </c>
      <c r="BO62" s="287">
        <f t="shared" si="21"/>
        <v>0</v>
      </c>
      <c r="BP62" s="287">
        <f t="shared" si="21"/>
        <v>0</v>
      </c>
      <c r="BQ62" s="287">
        <f t="shared" si="21"/>
        <v>0</v>
      </c>
      <c r="BR62" s="287">
        <f t="shared" si="21"/>
        <v>0</v>
      </c>
      <c r="BS62" s="287">
        <f t="shared" si="21"/>
        <v>0</v>
      </c>
      <c r="BT62" s="287">
        <f t="shared" si="21"/>
        <v>0</v>
      </c>
      <c r="BU62" s="287">
        <f t="shared" si="21"/>
        <v>0</v>
      </c>
      <c r="BV62" s="287">
        <f t="shared" si="21"/>
        <v>0</v>
      </c>
      <c r="BW62" s="287">
        <f t="shared" si="21"/>
        <v>0</v>
      </c>
      <c r="BX62" s="287">
        <f t="shared" si="21"/>
        <v>0</v>
      </c>
      <c r="BY62" s="288">
        <f t="shared" si="21"/>
        <v>-126434.56</v>
      </c>
      <c r="BZ62" s="631"/>
    </row>
    <row r="63" spans="2:78" hidden="1" outlineLevel="1">
      <c r="B63" s="629"/>
      <c r="C63" s="313" t="s">
        <v>308</v>
      </c>
      <c r="D63" s="291" t="s">
        <v>262</v>
      </c>
      <c r="E63" s="314"/>
      <c r="F63" s="314"/>
      <c r="G63" s="314"/>
      <c r="H63" s="314"/>
      <c r="I63" s="314"/>
      <c r="J63" s="314"/>
      <c r="K63" s="314"/>
      <c r="L63" s="314"/>
      <c r="M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H63" s="314"/>
      <c r="AI63" s="314"/>
      <c r="AJ63" s="314"/>
      <c r="AK63" s="314"/>
      <c r="AL63" s="314"/>
      <c r="AM63" s="314"/>
      <c r="AN63" s="314"/>
      <c r="AO63" s="314"/>
      <c r="AP63" s="314"/>
      <c r="AQ63" s="314"/>
      <c r="AR63" s="314"/>
      <c r="AS63" s="314"/>
      <c r="AT63" s="314"/>
      <c r="AU63" s="314"/>
      <c r="AV63" s="314"/>
      <c r="AW63" s="314"/>
      <c r="AX63" s="314"/>
      <c r="AY63" s="314"/>
      <c r="AZ63" s="314"/>
      <c r="BA63" s="314"/>
      <c r="BB63" s="314"/>
      <c r="BC63" s="314"/>
      <c r="BD63" s="314"/>
      <c r="BE63" s="314"/>
      <c r="BF63" s="314"/>
      <c r="BG63" s="314"/>
      <c r="BH63" s="314"/>
      <c r="BI63" s="314"/>
      <c r="BJ63" s="314"/>
      <c r="BK63" s="314"/>
      <c r="BL63" s="314"/>
      <c r="BM63" s="314"/>
      <c r="BN63" s="314"/>
      <c r="BO63" s="314"/>
      <c r="BP63" s="314"/>
      <c r="BQ63" s="314"/>
      <c r="BR63" s="314"/>
      <c r="BS63" s="314"/>
      <c r="BT63" s="314"/>
      <c r="BU63" s="314"/>
      <c r="BV63" s="314"/>
      <c r="BW63" s="314"/>
      <c r="BX63" s="314"/>
      <c r="BY63" s="315">
        <f t="shared" ref="BY63:BY85" si="22">SUM(E63:BX63)</f>
        <v>0</v>
      </c>
      <c r="BZ63" s="631"/>
    </row>
    <row r="64" spans="2:78" hidden="1" outlineLevel="1">
      <c r="B64" s="629"/>
      <c r="C64" s="316" t="s">
        <v>309</v>
      </c>
      <c r="D64" s="291" t="s">
        <v>262</v>
      </c>
      <c r="E64" s="314"/>
      <c r="F64" s="314"/>
      <c r="G64" s="314"/>
      <c r="H64" s="314"/>
      <c r="I64" s="314"/>
      <c r="J64" s="314"/>
      <c r="K64" s="314"/>
      <c r="L64" s="314"/>
      <c r="M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H64" s="314"/>
      <c r="AI64" s="314"/>
      <c r="AJ64" s="314"/>
      <c r="AK64" s="314"/>
      <c r="AL64" s="314"/>
      <c r="AM64" s="314"/>
      <c r="AN64" s="314"/>
      <c r="AO64" s="314"/>
      <c r="AP64" s="314"/>
      <c r="AQ64" s="314"/>
      <c r="AR64" s="314"/>
      <c r="AS64" s="314"/>
      <c r="AT64" s="314"/>
      <c r="AU64" s="314"/>
      <c r="AV64" s="314"/>
      <c r="AW64" s="314"/>
      <c r="AX64" s="314"/>
      <c r="AY64" s="314"/>
      <c r="AZ64" s="314"/>
      <c r="BA64" s="314"/>
      <c r="BB64" s="314"/>
      <c r="BC64" s="314"/>
      <c r="BD64" s="314"/>
      <c r="BE64" s="314"/>
      <c r="BF64" s="314"/>
      <c r="BG64" s="314"/>
      <c r="BH64" s="314"/>
      <c r="BI64" s="314"/>
      <c r="BJ64" s="314"/>
      <c r="BK64" s="314"/>
      <c r="BL64" s="314"/>
      <c r="BM64" s="314"/>
      <c r="BN64" s="314"/>
      <c r="BO64" s="314"/>
      <c r="BP64" s="314"/>
      <c r="BQ64" s="314"/>
      <c r="BR64" s="314"/>
      <c r="BS64" s="314"/>
      <c r="BT64" s="314"/>
      <c r="BU64" s="314"/>
      <c r="BV64" s="314"/>
      <c r="BW64" s="314"/>
      <c r="BX64" s="314"/>
      <c r="BY64" s="315">
        <f t="shared" si="22"/>
        <v>0</v>
      </c>
      <c r="BZ64" s="631"/>
    </row>
    <row r="65" spans="2:78" hidden="1" outlineLevel="1">
      <c r="B65" s="629"/>
      <c r="C65" s="316" t="s">
        <v>310</v>
      </c>
      <c r="D65" s="291" t="s">
        <v>262</v>
      </c>
      <c r="E65" s="314"/>
      <c r="F65" s="314"/>
      <c r="G65" s="314"/>
      <c r="H65" s="314"/>
      <c r="I65" s="314"/>
      <c r="J65" s="314"/>
      <c r="K65" s="314"/>
      <c r="L65" s="314"/>
      <c r="M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H65" s="314"/>
      <c r="AI65" s="314"/>
      <c r="AJ65" s="314"/>
      <c r="AK65" s="314"/>
      <c r="AL65" s="314"/>
      <c r="AM65" s="314"/>
      <c r="AN65" s="314"/>
      <c r="AO65" s="314"/>
      <c r="AP65" s="314"/>
      <c r="AQ65" s="314"/>
      <c r="AR65" s="314"/>
      <c r="AS65" s="314"/>
      <c r="AT65" s="314"/>
      <c r="AU65" s="314"/>
      <c r="AV65" s="314"/>
      <c r="AW65" s="314"/>
      <c r="AX65" s="314"/>
      <c r="AY65" s="314"/>
      <c r="AZ65" s="314"/>
      <c r="BA65" s="314"/>
      <c r="BB65" s="314"/>
      <c r="BC65" s="314"/>
      <c r="BD65" s="314"/>
      <c r="BE65" s="314"/>
      <c r="BF65" s="314"/>
      <c r="BG65" s="314"/>
      <c r="BH65" s="314"/>
      <c r="BI65" s="314"/>
      <c r="BJ65" s="314"/>
      <c r="BK65" s="314"/>
      <c r="BL65" s="314"/>
      <c r="BM65" s="314"/>
      <c r="BN65" s="314"/>
      <c r="BO65" s="314"/>
      <c r="BP65" s="314"/>
      <c r="BQ65" s="314"/>
      <c r="BR65" s="314"/>
      <c r="BS65" s="314"/>
      <c r="BT65" s="314"/>
      <c r="BU65" s="314"/>
      <c r="BV65" s="314"/>
      <c r="BW65" s="314"/>
      <c r="BX65" s="314"/>
      <c r="BY65" s="315">
        <f t="shared" si="22"/>
        <v>0</v>
      </c>
      <c r="BZ65" s="631"/>
    </row>
    <row r="66" spans="2:78" hidden="1" outlineLevel="1">
      <c r="B66" s="629"/>
      <c r="C66" s="316" t="s">
        <v>311</v>
      </c>
      <c r="D66" s="291" t="s">
        <v>262</v>
      </c>
      <c r="E66" s="314"/>
      <c r="F66" s="314"/>
      <c r="G66" s="314"/>
      <c r="H66" s="314"/>
      <c r="I66" s="314"/>
      <c r="J66" s="314"/>
      <c r="K66" s="314"/>
      <c r="L66" s="314"/>
      <c r="M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H66" s="314"/>
      <c r="AI66" s="314"/>
      <c r="AJ66" s="314"/>
      <c r="AK66" s="314"/>
      <c r="AL66" s="314"/>
      <c r="AM66" s="314"/>
      <c r="AN66" s="314"/>
      <c r="AO66" s="314"/>
      <c r="AP66" s="314"/>
      <c r="AQ66" s="314"/>
      <c r="AR66" s="314"/>
      <c r="AS66" s="314"/>
      <c r="AT66" s="314"/>
      <c r="AU66" s="314"/>
      <c r="AV66" s="314"/>
      <c r="AW66" s="314"/>
      <c r="AX66" s="314"/>
      <c r="AY66" s="314"/>
      <c r="AZ66" s="314"/>
      <c r="BA66" s="314"/>
      <c r="BB66" s="314"/>
      <c r="BC66" s="314"/>
      <c r="BD66" s="314"/>
      <c r="BE66" s="314"/>
      <c r="BF66" s="314"/>
      <c r="BG66" s="314"/>
      <c r="BH66" s="314"/>
      <c r="BI66" s="314"/>
      <c r="BJ66" s="314"/>
      <c r="BK66" s="314"/>
      <c r="BL66" s="314"/>
      <c r="BM66" s="314"/>
      <c r="BN66" s="314"/>
      <c r="BO66" s="314"/>
      <c r="BP66" s="314"/>
      <c r="BQ66" s="314"/>
      <c r="BR66" s="314"/>
      <c r="BS66" s="314"/>
      <c r="BT66" s="314"/>
      <c r="BU66" s="314"/>
      <c r="BV66" s="314"/>
      <c r="BW66" s="314"/>
      <c r="BX66" s="314"/>
      <c r="BY66" s="315">
        <f t="shared" si="22"/>
        <v>0</v>
      </c>
      <c r="BZ66" s="631"/>
    </row>
    <row r="67" spans="2:78" hidden="1" outlineLevel="1">
      <c r="B67" s="629"/>
      <c r="C67" s="316" t="s">
        <v>312</v>
      </c>
      <c r="D67" s="291" t="s">
        <v>262</v>
      </c>
      <c r="E67" s="314"/>
      <c r="F67" s="314"/>
      <c r="G67" s="314"/>
      <c r="H67" s="314"/>
      <c r="I67" s="314"/>
      <c r="J67" s="314"/>
      <c r="K67" s="314"/>
      <c r="L67" s="314"/>
      <c r="M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H67" s="314"/>
      <c r="AI67" s="314"/>
      <c r="AJ67" s="314"/>
      <c r="AK67" s="314"/>
      <c r="AL67" s="314"/>
      <c r="AM67" s="314"/>
      <c r="AN67" s="314"/>
      <c r="AO67" s="314"/>
      <c r="AP67" s="314"/>
      <c r="AQ67" s="314"/>
      <c r="AR67" s="314"/>
      <c r="AS67" s="314"/>
      <c r="AT67" s="314"/>
      <c r="AU67" s="314"/>
      <c r="AV67" s="314"/>
      <c r="AW67" s="314"/>
      <c r="AX67" s="314"/>
      <c r="AY67" s="314"/>
      <c r="AZ67" s="314"/>
      <c r="BA67" s="314"/>
      <c r="BB67" s="314"/>
      <c r="BC67" s="314"/>
      <c r="BD67" s="314"/>
      <c r="BE67" s="314"/>
      <c r="BF67" s="314"/>
      <c r="BG67" s="314"/>
      <c r="BH67" s="314"/>
      <c r="BI67" s="314"/>
      <c r="BJ67" s="314"/>
      <c r="BK67" s="314"/>
      <c r="BL67" s="314"/>
      <c r="BM67" s="314"/>
      <c r="BN67" s="314"/>
      <c r="BO67" s="314"/>
      <c r="BP67" s="314"/>
      <c r="BQ67" s="314"/>
      <c r="BR67" s="314"/>
      <c r="BS67" s="314"/>
      <c r="BT67" s="314"/>
      <c r="BU67" s="314"/>
      <c r="BV67" s="314"/>
      <c r="BW67" s="314"/>
      <c r="BX67" s="314"/>
      <c r="BY67" s="315">
        <f t="shared" si="22"/>
        <v>0</v>
      </c>
      <c r="BZ67" s="631"/>
    </row>
    <row r="68" spans="2:78" hidden="1" outlineLevel="1">
      <c r="B68" s="629"/>
      <c r="C68" s="316" t="s">
        <v>313</v>
      </c>
      <c r="D68" s="291" t="s">
        <v>262</v>
      </c>
      <c r="E68" s="314"/>
      <c r="F68" s="314"/>
      <c r="G68" s="314"/>
      <c r="H68" s="314"/>
      <c r="I68" s="314"/>
      <c r="J68" s="314"/>
      <c r="K68" s="314"/>
      <c r="L68" s="314"/>
      <c r="M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H68" s="314"/>
      <c r="AI68" s="314"/>
      <c r="AJ68" s="314"/>
      <c r="AK68" s="314"/>
      <c r="AL68" s="314"/>
      <c r="AM68" s="314"/>
      <c r="AN68" s="314"/>
      <c r="AO68" s="314"/>
      <c r="AP68" s="314"/>
      <c r="AQ68" s="314"/>
      <c r="AR68" s="314"/>
      <c r="AS68" s="314"/>
      <c r="AT68" s="314"/>
      <c r="AU68" s="314"/>
      <c r="AV68" s="314"/>
      <c r="AW68" s="314"/>
      <c r="AX68" s="314"/>
      <c r="AY68" s="314"/>
      <c r="AZ68" s="314"/>
      <c r="BA68" s="314"/>
      <c r="BB68" s="314"/>
      <c r="BC68" s="314"/>
      <c r="BD68" s="314"/>
      <c r="BE68" s="314"/>
      <c r="BF68" s="314"/>
      <c r="BG68" s="314"/>
      <c r="BH68" s="314"/>
      <c r="BI68" s="314"/>
      <c r="BJ68" s="314"/>
      <c r="BK68" s="314"/>
      <c r="BL68" s="314"/>
      <c r="BM68" s="314"/>
      <c r="BN68" s="314"/>
      <c r="BO68" s="314"/>
      <c r="BP68" s="314"/>
      <c r="BQ68" s="314"/>
      <c r="BR68" s="314"/>
      <c r="BS68" s="314"/>
      <c r="BT68" s="314"/>
      <c r="BU68" s="314"/>
      <c r="BV68" s="314"/>
      <c r="BW68" s="314"/>
      <c r="BX68" s="314"/>
      <c r="BY68" s="315">
        <f t="shared" si="22"/>
        <v>0</v>
      </c>
      <c r="BZ68" s="631"/>
    </row>
    <row r="69" spans="2:78" hidden="1" outlineLevel="1">
      <c r="B69" s="629"/>
      <c r="C69" s="316" t="s">
        <v>314</v>
      </c>
      <c r="D69" s="291" t="s">
        <v>262</v>
      </c>
      <c r="E69" s="314"/>
      <c r="F69" s="314"/>
      <c r="G69" s="314"/>
      <c r="H69" s="314"/>
      <c r="I69" s="314"/>
      <c r="J69" s="314"/>
      <c r="K69" s="314"/>
      <c r="L69" s="314"/>
      <c r="M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H69" s="314"/>
      <c r="AI69" s="314"/>
      <c r="AJ69" s="314"/>
      <c r="AK69" s="314"/>
      <c r="AL69" s="314"/>
      <c r="AM69" s="314"/>
      <c r="AN69" s="314"/>
      <c r="AO69" s="314"/>
      <c r="AP69" s="314"/>
      <c r="AQ69" s="314"/>
      <c r="AR69" s="314"/>
      <c r="AS69" s="314"/>
      <c r="AT69" s="314"/>
      <c r="AU69" s="314"/>
      <c r="AV69" s="314"/>
      <c r="AW69" s="314"/>
      <c r="AX69" s="314"/>
      <c r="AY69" s="314"/>
      <c r="AZ69" s="314"/>
      <c r="BA69" s="314"/>
      <c r="BB69" s="314"/>
      <c r="BC69" s="314"/>
      <c r="BD69" s="314"/>
      <c r="BE69" s="314"/>
      <c r="BF69" s="314"/>
      <c r="BG69" s="314"/>
      <c r="BH69" s="314"/>
      <c r="BI69" s="314"/>
      <c r="BJ69" s="314"/>
      <c r="BK69" s="314"/>
      <c r="BL69" s="314"/>
      <c r="BM69" s="314"/>
      <c r="BN69" s="314"/>
      <c r="BO69" s="314"/>
      <c r="BP69" s="314"/>
      <c r="BQ69" s="314"/>
      <c r="BR69" s="314"/>
      <c r="BS69" s="314"/>
      <c r="BT69" s="314"/>
      <c r="BU69" s="314"/>
      <c r="BV69" s="314"/>
      <c r="BW69" s="314"/>
      <c r="BX69" s="314"/>
      <c r="BY69" s="315">
        <f t="shared" si="22"/>
        <v>0</v>
      </c>
      <c r="BZ69" s="631"/>
    </row>
    <row r="70" spans="2:78" hidden="1" outlineLevel="1">
      <c r="B70" s="629"/>
      <c r="C70" s="316" t="s">
        <v>315</v>
      </c>
      <c r="D70" s="291" t="s">
        <v>262</v>
      </c>
      <c r="E70" s="314"/>
      <c r="F70" s="314"/>
      <c r="G70" s="314"/>
      <c r="H70" s="314"/>
      <c r="I70" s="314"/>
      <c r="J70" s="314"/>
      <c r="K70" s="314"/>
      <c r="L70" s="314"/>
      <c r="M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H70" s="314"/>
      <c r="AI70" s="314"/>
      <c r="AJ70" s="314"/>
      <c r="AK70" s="314"/>
      <c r="AL70" s="314"/>
      <c r="AM70" s="314"/>
      <c r="AN70" s="314"/>
      <c r="AO70" s="314"/>
      <c r="AP70" s="314"/>
      <c r="AQ70" s="314"/>
      <c r="AR70" s="314"/>
      <c r="AS70" s="314"/>
      <c r="AT70" s="314"/>
      <c r="AU70" s="314"/>
      <c r="AV70" s="314"/>
      <c r="AW70" s="314"/>
      <c r="AX70" s="314"/>
      <c r="AY70" s="314"/>
      <c r="AZ70" s="314"/>
      <c r="BA70" s="314"/>
      <c r="BB70" s="314"/>
      <c r="BC70" s="314"/>
      <c r="BD70" s="314"/>
      <c r="BE70" s="314"/>
      <c r="BF70" s="314"/>
      <c r="BG70" s="314"/>
      <c r="BH70" s="314"/>
      <c r="BI70" s="314"/>
      <c r="BJ70" s="314"/>
      <c r="BK70" s="314"/>
      <c r="BL70" s="314"/>
      <c r="BM70" s="314"/>
      <c r="BN70" s="314"/>
      <c r="BO70" s="314"/>
      <c r="BP70" s="314"/>
      <c r="BQ70" s="314"/>
      <c r="BR70" s="314"/>
      <c r="BS70" s="314"/>
      <c r="BT70" s="314"/>
      <c r="BU70" s="314"/>
      <c r="BV70" s="314"/>
      <c r="BW70" s="314"/>
      <c r="BX70" s="314"/>
      <c r="BY70" s="315">
        <f t="shared" si="22"/>
        <v>0</v>
      </c>
      <c r="BZ70" s="631"/>
    </row>
    <row r="71" spans="2:78" hidden="1" outlineLevel="1">
      <c r="B71" s="629"/>
      <c r="C71" s="316" t="s">
        <v>316</v>
      </c>
      <c r="D71" s="291" t="s">
        <v>262</v>
      </c>
      <c r="E71" s="314"/>
      <c r="F71" s="314"/>
      <c r="G71" s="314"/>
      <c r="H71" s="314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T71" s="314"/>
      <c r="U71" s="314"/>
      <c r="V71" s="314"/>
      <c r="W71" s="314"/>
      <c r="X71" s="314"/>
      <c r="Y71" s="314"/>
      <c r="Z71" s="314"/>
      <c r="AA71" s="314"/>
      <c r="AB71" s="314"/>
      <c r="AC71" s="314"/>
      <c r="AD71" s="314"/>
      <c r="AE71" s="314"/>
      <c r="AF71" s="314"/>
      <c r="AG71" s="314"/>
      <c r="AH71" s="314"/>
      <c r="AI71" s="314"/>
      <c r="AJ71" s="314"/>
      <c r="AK71" s="314"/>
      <c r="AL71" s="314"/>
      <c r="AM71" s="314"/>
      <c r="AN71" s="314"/>
      <c r="AO71" s="314"/>
      <c r="AP71" s="314"/>
      <c r="AQ71" s="314"/>
      <c r="AR71" s="314"/>
      <c r="AS71" s="314"/>
      <c r="AT71" s="314"/>
      <c r="AU71" s="314"/>
      <c r="AV71" s="314"/>
      <c r="AW71" s="314"/>
      <c r="AX71" s="314"/>
      <c r="AY71" s="314"/>
      <c r="AZ71" s="314"/>
      <c r="BA71" s="314"/>
      <c r="BB71" s="314"/>
      <c r="BC71" s="314"/>
      <c r="BD71" s="314"/>
      <c r="BE71" s="314"/>
      <c r="BF71" s="314"/>
      <c r="BG71" s="314"/>
      <c r="BH71" s="314"/>
      <c r="BI71" s="314"/>
      <c r="BJ71" s="314"/>
      <c r="BK71" s="314"/>
      <c r="BL71" s="314"/>
      <c r="BM71" s="314"/>
      <c r="BN71" s="314"/>
      <c r="BO71" s="314"/>
      <c r="BP71" s="314"/>
      <c r="BQ71" s="314"/>
      <c r="BR71" s="314"/>
      <c r="BS71" s="314"/>
      <c r="BT71" s="314"/>
      <c r="BU71" s="314"/>
      <c r="BV71" s="314"/>
      <c r="BW71" s="314"/>
      <c r="BX71" s="314"/>
      <c r="BY71" s="315">
        <f t="shared" si="22"/>
        <v>0</v>
      </c>
      <c r="BZ71" s="631"/>
    </row>
    <row r="72" spans="2:78" hidden="1" outlineLevel="1">
      <c r="B72" s="629"/>
      <c r="C72" s="316" t="s">
        <v>317</v>
      </c>
      <c r="D72" s="291" t="s">
        <v>262</v>
      </c>
      <c r="E72" s="314"/>
      <c r="F72" s="314"/>
      <c r="G72" s="314"/>
      <c r="H72" s="314"/>
      <c r="I72" s="314"/>
      <c r="J72" s="314"/>
      <c r="K72" s="314"/>
      <c r="L72" s="314"/>
      <c r="M72" s="314"/>
      <c r="N72" s="314"/>
      <c r="O72" s="314"/>
      <c r="P72" s="314"/>
      <c r="Q72" s="314"/>
      <c r="R72" s="314"/>
      <c r="S72" s="314"/>
      <c r="T72" s="314"/>
      <c r="U72" s="314"/>
      <c r="V72" s="314"/>
      <c r="W72" s="314"/>
      <c r="X72" s="314"/>
      <c r="Y72" s="314"/>
      <c r="Z72" s="314"/>
      <c r="AA72" s="314"/>
      <c r="AB72" s="314"/>
      <c r="AC72" s="314"/>
      <c r="AD72" s="314"/>
      <c r="AE72" s="314"/>
      <c r="AF72" s="314"/>
      <c r="AG72" s="314"/>
      <c r="AH72" s="314"/>
      <c r="AI72" s="314"/>
      <c r="AJ72" s="314"/>
      <c r="AK72" s="314"/>
      <c r="AL72" s="314"/>
      <c r="AM72" s="314"/>
      <c r="AN72" s="314"/>
      <c r="AO72" s="314"/>
      <c r="AP72" s="314"/>
      <c r="AQ72" s="314"/>
      <c r="AR72" s="314"/>
      <c r="AS72" s="314"/>
      <c r="AT72" s="314"/>
      <c r="AU72" s="314"/>
      <c r="AV72" s="314"/>
      <c r="AW72" s="314"/>
      <c r="AX72" s="314"/>
      <c r="AY72" s="314"/>
      <c r="AZ72" s="314"/>
      <c r="BA72" s="314"/>
      <c r="BB72" s="314"/>
      <c r="BC72" s="314"/>
      <c r="BD72" s="314"/>
      <c r="BE72" s="314"/>
      <c r="BF72" s="314"/>
      <c r="BG72" s="314"/>
      <c r="BH72" s="314"/>
      <c r="BI72" s="314"/>
      <c r="BJ72" s="314"/>
      <c r="BK72" s="314"/>
      <c r="BL72" s="314"/>
      <c r="BM72" s="314"/>
      <c r="BN72" s="314"/>
      <c r="BO72" s="314"/>
      <c r="BP72" s="314"/>
      <c r="BQ72" s="314"/>
      <c r="BR72" s="314"/>
      <c r="BS72" s="314"/>
      <c r="BT72" s="314"/>
      <c r="BU72" s="314"/>
      <c r="BV72" s="314"/>
      <c r="BW72" s="314"/>
      <c r="BX72" s="314"/>
      <c r="BY72" s="315">
        <f t="shared" si="22"/>
        <v>0</v>
      </c>
      <c r="BZ72" s="631"/>
    </row>
    <row r="73" spans="2:78" hidden="1" outlineLevel="1">
      <c r="B73" s="629"/>
      <c r="C73" s="316" t="s">
        <v>318</v>
      </c>
      <c r="D73" s="291" t="s">
        <v>262</v>
      </c>
      <c r="E73" s="314"/>
      <c r="F73" s="314"/>
      <c r="G73" s="314"/>
      <c r="H73" s="314"/>
      <c r="I73" s="314"/>
      <c r="J73" s="314"/>
      <c r="K73" s="314"/>
      <c r="L73" s="314"/>
      <c r="M73" s="314"/>
      <c r="N73" s="314"/>
      <c r="O73" s="314"/>
      <c r="P73" s="314"/>
      <c r="Q73" s="314"/>
      <c r="R73" s="314"/>
      <c r="S73" s="314"/>
      <c r="T73" s="314"/>
      <c r="U73" s="314"/>
      <c r="V73" s="314"/>
      <c r="W73" s="314"/>
      <c r="X73" s="314"/>
      <c r="Y73" s="314"/>
      <c r="Z73" s="314"/>
      <c r="AA73" s="314"/>
      <c r="AB73" s="314"/>
      <c r="AC73" s="314"/>
      <c r="AD73" s="314"/>
      <c r="AE73" s="314"/>
      <c r="AF73" s="314"/>
      <c r="AG73" s="314"/>
      <c r="AH73" s="314"/>
      <c r="AI73" s="314"/>
      <c r="AJ73" s="314"/>
      <c r="AK73" s="314"/>
      <c r="AL73" s="314"/>
      <c r="AM73" s="314"/>
      <c r="AN73" s="314"/>
      <c r="AO73" s="314"/>
      <c r="AP73" s="314"/>
      <c r="AQ73" s="314"/>
      <c r="AR73" s="314"/>
      <c r="AS73" s="314"/>
      <c r="AT73" s="314"/>
      <c r="AU73" s="314"/>
      <c r="AV73" s="314"/>
      <c r="AW73" s="314"/>
      <c r="AX73" s="314"/>
      <c r="AY73" s="314"/>
      <c r="AZ73" s="314"/>
      <c r="BA73" s="314"/>
      <c r="BB73" s="314"/>
      <c r="BC73" s="314"/>
      <c r="BD73" s="314"/>
      <c r="BE73" s="314"/>
      <c r="BF73" s="314"/>
      <c r="BG73" s="314"/>
      <c r="BH73" s="314"/>
      <c r="BI73" s="314"/>
      <c r="BJ73" s="314"/>
      <c r="BK73" s="314"/>
      <c r="BL73" s="314"/>
      <c r="BM73" s="314"/>
      <c r="BN73" s="314"/>
      <c r="BO73" s="314"/>
      <c r="BP73" s="314"/>
      <c r="BQ73" s="314"/>
      <c r="BR73" s="314"/>
      <c r="BS73" s="314"/>
      <c r="BT73" s="314"/>
      <c r="BU73" s="314"/>
      <c r="BV73" s="314"/>
      <c r="BW73" s="314"/>
      <c r="BX73" s="314"/>
      <c r="BY73" s="315">
        <f t="shared" si="22"/>
        <v>0</v>
      </c>
      <c r="BZ73" s="631"/>
    </row>
    <row r="74" spans="2:78" hidden="1" outlineLevel="1">
      <c r="B74" s="629"/>
      <c r="C74" s="316" t="s">
        <v>319</v>
      </c>
      <c r="D74" s="291" t="s">
        <v>262</v>
      </c>
      <c r="E74" s="314"/>
      <c r="F74" s="314"/>
      <c r="G74" s="314"/>
      <c r="H74" s="314"/>
      <c r="I74" s="314"/>
      <c r="J74" s="314"/>
      <c r="K74" s="314"/>
      <c r="L74" s="314"/>
      <c r="M74" s="314"/>
      <c r="N74" s="314"/>
      <c r="O74" s="314"/>
      <c r="P74" s="314"/>
      <c r="Q74" s="314"/>
      <c r="R74" s="314"/>
      <c r="S74" s="314"/>
      <c r="T74" s="314"/>
      <c r="U74" s="314"/>
      <c r="V74" s="314"/>
      <c r="W74" s="314"/>
      <c r="X74" s="314"/>
      <c r="Y74" s="314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  <c r="AX74" s="314"/>
      <c r="AY74" s="314"/>
      <c r="AZ74" s="314"/>
      <c r="BA74" s="314"/>
      <c r="BB74" s="314"/>
      <c r="BC74" s="314"/>
      <c r="BD74" s="314"/>
      <c r="BE74" s="314"/>
      <c r="BF74" s="314"/>
      <c r="BG74" s="314"/>
      <c r="BH74" s="314"/>
      <c r="BI74" s="314"/>
      <c r="BJ74" s="314"/>
      <c r="BK74" s="314"/>
      <c r="BL74" s="314"/>
      <c r="BM74" s="314"/>
      <c r="BN74" s="314"/>
      <c r="BO74" s="314"/>
      <c r="BP74" s="314"/>
      <c r="BQ74" s="314"/>
      <c r="BR74" s="314"/>
      <c r="BS74" s="314"/>
      <c r="BT74" s="314"/>
      <c r="BU74" s="314"/>
      <c r="BV74" s="314"/>
      <c r="BW74" s="314"/>
      <c r="BX74" s="314"/>
      <c r="BY74" s="315">
        <f t="shared" si="22"/>
        <v>0</v>
      </c>
      <c r="BZ74" s="631"/>
    </row>
    <row r="75" spans="2:78" hidden="1" outlineLevel="1">
      <c r="B75" s="629"/>
      <c r="C75" s="316" t="s">
        <v>320</v>
      </c>
      <c r="D75" s="291" t="s">
        <v>262</v>
      </c>
      <c r="E75" s="314"/>
      <c r="F75" s="314"/>
      <c r="G75" s="314"/>
      <c r="H75" s="314"/>
      <c r="I75" s="314"/>
      <c r="J75" s="314"/>
      <c r="K75" s="314"/>
      <c r="L75" s="314"/>
      <c r="M75" s="314"/>
      <c r="N75" s="314"/>
      <c r="O75" s="314"/>
      <c r="P75" s="314"/>
      <c r="Q75" s="314"/>
      <c r="R75" s="314"/>
      <c r="S75" s="314"/>
      <c r="T75" s="314"/>
      <c r="U75" s="314"/>
      <c r="V75" s="314"/>
      <c r="W75" s="314"/>
      <c r="X75" s="314"/>
      <c r="Y75" s="314"/>
      <c r="Z75" s="314"/>
      <c r="AA75" s="314"/>
      <c r="AB75" s="314"/>
      <c r="AC75" s="314"/>
      <c r="AD75" s="314"/>
      <c r="AE75" s="314"/>
      <c r="AF75" s="314"/>
      <c r="AG75" s="314"/>
      <c r="AH75" s="314"/>
      <c r="AI75" s="314"/>
      <c r="AJ75" s="314"/>
      <c r="AK75" s="314"/>
      <c r="AL75" s="314"/>
      <c r="AM75" s="314"/>
      <c r="AN75" s="314"/>
      <c r="AO75" s="314"/>
      <c r="AP75" s="314"/>
      <c r="AQ75" s="314"/>
      <c r="AR75" s="314"/>
      <c r="AS75" s="314"/>
      <c r="AT75" s="314"/>
      <c r="AU75" s="314"/>
      <c r="AV75" s="314"/>
      <c r="AW75" s="314"/>
      <c r="AX75" s="314"/>
      <c r="AY75" s="314"/>
      <c r="AZ75" s="314"/>
      <c r="BA75" s="314"/>
      <c r="BB75" s="314"/>
      <c r="BC75" s="314"/>
      <c r="BD75" s="314"/>
      <c r="BE75" s="314"/>
      <c r="BF75" s="314"/>
      <c r="BG75" s="314"/>
      <c r="BH75" s="314"/>
      <c r="BI75" s="314"/>
      <c r="BJ75" s="314"/>
      <c r="BK75" s="314"/>
      <c r="BL75" s="314"/>
      <c r="BM75" s="314"/>
      <c r="BN75" s="314"/>
      <c r="BO75" s="314"/>
      <c r="BP75" s="314"/>
      <c r="BQ75" s="314"/>
      <c r="BR75" s="314"/>
      <c r="BS75" s="314"/>
      <c r="BT75" s="314"/>
      <c r="BU75" s="314"/>
      <c r="BV75" s="314"/>
      <c r="BW75" s="314"/>
      <c r="BX75" s="314"/>
      <c r="BY75" s="315">
        <f t="shared" si="22"/>
        <v>0</v>
      </c>
      <c r="BZ75" s="631"/>
    </row>
    <row r="76" spans="2:78" hidden="1" outlineLevel="1">
      <c r="B76" s="629"/>
      <c r="C76" s="316" t="s">
        <v>321</v>
      </c>
      <c r="D76" s="291" t="s">
        <v>262</v>
      </c>
      <c r="E76" s="314"/>
      <c r="F76" s="314"/>
      <c r="G76" s="314"/>
      <c r="H76" s="314"/>
      <c r="I76" s="314"/>
      <c r="J76" s="314"/>
      <c r="K76" s="314"/>
      <c r="L76" s="314"/>
      <c r="M76" s="314"/>
      <c r="N76" s="314"/>
      <c r="O76" s="314"/>
      <c r="P76" s="314"/>
      <c r="Q76" s="314"/>
      <c r="R76" s="314"/>
      <c r="S76" s="314"/>
      <c r="T76" s="314"/>
      <c r="U76" s="314"/>
      <c r="V76" s="314"/>
      <c r="W76" s="314"/>
      <c r="X76" s="314"/>
      <c r="Y76" s="314"/>
      <c r="Z76" s="314"/>
      <c r="AA76" s="314"/>
      <c r="AB76" s="314"/>
      <c r="AC76" s="314"/>
      <c r="AD76" s="314"/>
      <c r="AE76" s="314"/>
      <c r="AF76" s="314"/>
      <c r="AG76" s="314"/>
      <c r="AH76" s="314"/>
      <c r="AI76" s="314"/>
      <c r="AJ76" s="314"/>
      <c r="AK76" s="314"/>
      <c r="AL76" s="314"/>
      <c r="AM76" s="314"/>
      <c r="AN76" s="314"/>
      <c r="AO76" s="314"/>
      <c r="AP76" s="314"/>
      <c r="AQ76" s="314"/>
      <c r="AR76" s="314"/>
      <c r="AS76" s="314"/>
      <c r="AT76" s="314"/>
      <c r="AU76" s="314"/>
      <c r="AV76" s="314"/>
      <c r="AW76" s="314"/>
      <c r="AX76" s="314"/>
      <c r="AY76" s="314"/>
      <c r="AZ76" s="314"/>
      <c r="BA76" s="314"/>
      <c r="BB76" s="314"/>
      <c r="BC76" s="314"/>
      <c r="BD76" s="314"/>
      <c r="BE76" s="314"/>
      <c r="BF76" s="314"/>
      <c r="BG76" s="314"/>
      <c r="BH76" s="314"/>
      <c r="BI76" s="314"/>
      <c r="BJ76" s="314"/>
      <c r="BK76" s="314"/>
      <c r="BL76" s="314"/>
      <c r="BM76" s="314"/>
      <c r="BN76" s="314"/>
      <c r="BO76" s="314"/>
      <c r="BP76" s="314"/>
      <c r="BQ76" s="314"/>
      <c r="BR76" s="314"/>
      <c r="BS76" s="314"/>
      <c r="BT76" s="314"/>
      <c r="BU76" s="314"/>
      <c r="BV76" s="314"/>
      <c r="BW76" s="314"/>
      <c r="BX76" s="314"/>
      <c r="BY76" s="315">
        <f t="shared" si="22"/>
        <v>0</v>
      </c>
      <c r="BZ76" s="631"/>
    </row>
    <row r="77" spans="2:78" hidden="1" outlineLevel="1">
      <c r="B77" s="629"/>
      <c r="C77" s="316" t="s">
        <v>322</v>
      </c>
      <c r="D77" s="291" t="s">
        <v>262</v>
      </c>
      <c r="E77" s="314"/>
      <c r="F77" s="314"/>
      <c r="G77" s="314"/>
      <c r="H77" s="314"/>
      <c r="I77" s="314"/>
      <c r="J77" s="314"/>
      <c r="K77" s="314"/>
      <c r="L77" s="314"/>
      <c r="M77" s="314"/>
      <c r="N77" s="314"/>
      <c r="O77" s="314"/>
      <c r="P77" s="314"/>
      <c r="Q77" s="314"/>
      <c r="R77" s="314"/>
      <c r="S77" s="314"/>
      <c r="T77" s="314"/>
      <c r="U77" s="314"/>
      <c r="V77" s="314"/>
      <c r="W77" s="314"/>
      <c r="X77" s="314"/>
      <c r="Y77" s="314"/>
      <c r="Z77" s="314"/>
      <c r="AA77" s="314"/>
      <c r="AB77" s="314"/>
      <c r="AC77" s="314"/>
      <c r="AD77" s="314"/>
      <c r="AE77" s="314"/>
      <c r="AF77" s="314"/>
      <c r="AG77" s="314"/>
      <c r="AH77" s="314"/>
      <c r="AI77" s="314"/>
      <c r="AJ77" s="314"/>
      <c r="AK77" s="314"/>
      <c r="AL77" s="314"/>
      <c r="AM77" s="314"/>
      <c r="AN77" s="314"/>
      <c r="AO77" s="314"/>
      <c r="AP77" s="314"/>
      <c r="AQ77" s="314"/>
      <c r="AR77" s="314"/>
      <c r="AS77" s="314"/>
      <c r="AT77" s="314"/>
      <c r="AU77" s="314"/>
      <c r="AV77" s="314"/>
      <c r="AW77" s="314"/>
      <c r="AX77" s="314"/>
      <c r="AY77" s="314"/>
      <c r="AZ77" s="314"/>
      <c r="BA77" s="314"/>
      <c r="BB77" s="314"/>
      <c r="BC77" s="314"/>
      <c r="BD77" s="314"/>
      <c r="BE77" s="314"/>
      <c r="BF77" s="314"/>
      <c r="BG77" s="314"/>
      <c r="BH77" s="314"/>
      <c r="BI77" s="314"/>
      <c r="BJ77" s="314"/>
      <c r="BK77" s="314"/>
      <c r="BL77" s="314"/>
      <c r="BM77" s="314"/>
      <c r="BN77" s="314"/>
      <c r="BO77" s="314"/>
      <c r="BP77" s="314"/>
      <c r="BQ77" s="314"/>
      <c r="BR77" s="314"/>
      <c r="BS77" s="314"/>
      <c r="BT77" s="314"/>
      <c r="BU77" s="314"/>
      <c r="BV77" s="314"/>
      <c r="BW77" s="314"/>
      <c r="BX77" s="314"/>
      <c r="BY77" s="315">
        <f t="shared" si="22"/>
        <v>0</v>
      </c>
      <c r="BZ77" s="631"/>
    </row>
    <row r="78" spans="2:78" hidden="1" outlineLevel="1">
      <c r="B78" s="629"/>
      <c r="C78" s="316" t="s">
        <v>323</v>
      </c>
      <c r="D78" s="291" t="s">
        <v>262</v>
      </c>
      <c r="E78" s="314"/>
      <c r="F78" s="314"/>
      <c r="G78" s="314"/>
      <c r="H78" s="314"/>
      <c r="I78" s="314"/>
      <c r="J78" s="314"/>
      <c r="K78" s="314"/>
      <c r="L78" s="314"/>
      <c r="M78" s="314"/>
      <c r="N78" s="314"/>
      <c r="O78" s="314"/>
      <c r="P78" s="314"/>
      <c r="Q78" s="314"/>
      <c r="R78" s="314"/>
      <c r="S78" s="314"/>
      <c r="T78" s="314"/>
      <c r="U78" s="314"/>
      <c r="V78" s="314"/>
      <c r="W78" s="314"/>
      <c r="X78" s="314"/>
      <c r="Y78" s="314"/>
      <c r="Z78" s="314"/>
      <c r="AA78" s="314"/>
      <c r="AB78" s="314"/>
      <c r="AC78" s="314"/>
      <c r="AD78" s="314"/>
      <c r="AE78" s="314"/>
      <c r="AF78" s="314"/>
      <c r="AG78" s="314"/>
      <c r="AH78" s="314"/>
      <c r="AI78" s="314"/>
      <c r="AJ78" s="314"/>
      <c r="AK78" s="314"/>
      <c r="AL78" s="314"/>
      <c r="AM78" s="314"/>
      <c r="AN78" s="314"/>
      <c r="AO78" s="314"/>
      <c r="AP78" s="314"/>
      <c r="AQ78" s="314"/>
      <c r="AR78" s="314"/>
      <c r="AS78" s="314"/>
      <c r="AT78" s="314"/>
      <c r="AU78" s="314"/>
      <c r="AV78" s="314"/>
      <c r="AW78" s="314"/>
      <c r="AX78" s="314"/>
      <c r="AY78" s="314"/>
      <c r="AZ78" s="314"/>
      <c r="BA78" s="314"/>
      <c r="BB78" s="314"/>
      <c r="BC78" s="314"/>
      <c r="BD78" s="314"/>
      <c r="BE78" s="314"/>
      <c r="BF78" s="314"/>
      <c r="BG78" s="314"/>
      <c r="BH78" s="314"/>
      <c r="BI78" s="314"/>
      <c r="BJ78" s="314"/>
      <c r="BK78" s="314"/>
      <c r="BL78" s="314"/>
      <c r="BM78" s="314"/>
      <c r="BN78" s="314"/>
      <c r="BO78" s="314"/>
      <c r="BP78" s="314"/>
      <c r="BQ78" s="314"/>
      <c r="BR78" s="314"/>
      <c r="BS78" s="314"/>
      <c r="BT78" s="314"/>
      <c r="BU78" s="314"/>
      <c r="BV78" s="314"/>
      <c r="BW78" s="314"/>
      <c r="BX78" s="314"/>
      <c r="BY78" s="315">
        <f t="shared" si="22"/>
        <v>0</v>
      </c>
      <c r="BZ78" s="631"/>
    </row>
    <row r="79" spans="2:78" hidden="1" outlineLevel="1">
      <c r="B79" s="629"/>
      <c r="C79" s="316" t="s">
        <v>324</v>
      </c>
      <c r="D79" s="291" t="s">
        <v>262</v>
      </c>
      <c r="E79" s="314"/>
      <c r="F79" s="314"/>
      <c r="G79" s="314"/>
      <c r="H79" s="314"/>
      <c r="I79" s="314"/>
      <c r="J79" s="314"/>
      <c r="K79" s="314"/>
      <c r="L79" s="314"/>
      <c r="M79" s="314"/>
      <c r="N79" s="314"/>
      <c r="O79" s="314"/>
      <c r="P79" s="314"/>
      <c r="Q79" s="314"/>
      <c r="R79" s="314"/>
      <c r="S79" s="314"/>
      <c r="T79" s="314"/>
      <c r="U79" s="314"/>
      <c r="V79" s="314"/>
      <c r="W79" s="314"/>
      <c r="X79" s="314"/>
      <c r="Y79" s="314"/>
      <c r="Z79" s="314"/>
      <c r="AA79" s="314"/>
      <c r="AB79" s="314"/>
      <c r="AC79" s="314"/>
      <c r="AD79" s="314"/>
      <c r="AE79" s="314"/>
      <c r="AF79" s="314"/>
      <c r="AG79" s="314"/>
      <c r="AH79" s="314"/>
      <c r="AI79" s="314">
        <f>-Businessplan_prodej!$N$23/12</f>
        <v>-126434.56</v>
      </c>
      <c r="AJ79" s="314"/>
      <c r="AK79" s="314"/>
      <c r="AL79" s="314"/>
      <c r="AM79" s="314"/>
      <c r="AN79" s="314"/>
      <c r="AO79" s="314"/>
      <c r="AP79" s="314"/>
      <c r="AQ79" s="314"/>
      <c r="AR79" s="314"/>
      <c r="AS79" s="314"/>
      <c r="AT79" s="314"/>
      <c r="AU79" s="314"/>
      <c r="AV79" s="314"/>
      <c r="AW79" s="314"/>
      <c r="AX79" s="314"/>
      <c r="AY79" s="314"/>
      <c r="AZ79" s="314"/>
      <c r="BA79" s="314"/>
      <c r="BB79" s="314"/>
      <c r="BC79" s="314"/>
      <c r="BD79" s="314"/>
      <c r="BE79" s="314"/>
      <c r="BF79" s="314"/>
      <c r="BG79" s="314"/>
      <c r="BH79" s="314"/>
      <c r="BI79" s="314"/>
      <c r="BJ79" s="314"/>
      <c r="BK79" s="314"/>
      <c r="BL79" s="314"/>
      <c r="BM79" s="314"/>
      <c r="BN79" s="314"/>
      <c r="BO79" s="314"/>
      <c r="BP79" s="314"/>
      <c r="BQ79" s="314"/>
      <c r="BR79" s="314"/>
      <c r="BS79" s="314"/>
      <c r="BT79" s="314"/>
      <c r="BU79" s="314"/>
      <c r="BV79" s="314"/>
      <c r="BW79" s="314"/>
      <c r="BX79" s="314"/>
      <c r="BY79" s="315">
        <f t="shared" si="22"/>
        <v>-126434.56</v>
      </c>
      <c r="BZ79" s="631"/>
    </row>
    <row r="80" spans="2:78" hidden="1" outlineLevel="1">
      <c r="B80" s="629"/>
      <c r="C80" s="316" t="s">
        <v>326</v>
      </c>
      <c r="D80" s="291" t="s">
        <v>262</v>
      </c>
      <c r="E80" s="314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 s="314"/>
      <c r="R80" s="314"/>
      <c r="S80" s="314"/>
      <c r="T80" s="314"/>
      <c r="U80" s="314"/>
      <c r="V80" s="314"/>
      <c r="W80" s="314"/>
      <c r="X80" s="314"/>
      <c r="Y80" s="314"/>
      <c r="Z80" s="314"/>
      <c r="AA80" s="314"/>
      <c r="AB80" s="314"/>
      <c r="AC80" s="314"/>
      <c r="AD80" s="314"/>
      <c r="AE80" s="314"/>
      <c r="AF80" s="314"/>
      <c r="AG80" s="314"/>
      <c r="AH80" s="314"/>
      <c r="AI80" s="314"/>
      <c r="AJ80" s="314"/>
      <c r="AK80" s="314"/>
      <c r="AL80" s="314"/>
      <c r="AM80" s="314"/>
      <c r="AN80" s="314"/>
      <c r="AO80" s="314"/>
      <c r="AP80" s="314"/>
      <c r="AQ80" s="314"/>
      <c r="AR80" s="314"/>
      <c r="AS80" s="314"/>
      <c r="AT80" s="314"/>
      <c r="AU80" s="314"/>
      <c r="AV80" s="314"/>
      <c r="AW80" s="314"/>
      <c r="AX80" s="314"/>
      <c r="AY80" s="314"/>
      <c r="AZ80" s="314"/>
      <c r="BA80" s="314"/>
      <c r="BB80" s="314"/>
      <c r="BC80" s="314"/>
      <c r="BD80" s="314"/>
      <c r="BE80" s="314"/>
      <c r="BF80" s="314"/>
      <c r="BG80" s="314"/>
      <c r="BH80" s="314"/>
      <c r="BI80" s="314"/>
      <c r="BJ80" s="314"/>
      <c r="BK80" s="314"/>
      <c r="BL80" s="314"/>
      <c r="BM80" s="314"/>
      <c r="BN80" s="314"/>
      <c r="BO80" s="314"/>
      <c r="BP80" s="314"/>
      <c r="BQ80" s="314"/>
      <c r="BR80" s="314"/>
      <c r="BS80" s="314"/>
      <c r="BT80" s="314"/>
      <c r="BU80" s="314"/>
      <c r="BV80" s="314"/>
      <c r="BW80" s="314"/>
      <c r="BX80" s="314"/>
      <c r="BY80" s="315">
        <f t="shared" si="22"/>
        <v>0</v>
      </c>
      <c r="BZ80" s="631"/>
    </row>
    <row r="81" spans="2:78" hidden="1" outlineLevel="1">
      <c r="B81" s="629"/>
      <c r="C81" s="317" t="s">
        <v>290</v>
      </c>
      <c r="D81" s="291" t="s">
        <v>262</v>
      </c>
      <c r="E81" s="314"/>
      <c r="F81" s="292"/>
      <c r="G81" s="292"/>
      <c r="H81" s="292"/>
      <c r="I81" s="292"/>
      <c r="J81" s="292"/>
      <c r="K81" s="292"/>
      <c r="L81" s="292"/>
      <c r="M81" s="292"/>
      <c r="N81" s="292"/>
      <c r="O81" s="292"/>
      <c r="P81" s="292"/>
      <c r="Q81" s="292"/>
      <c r="R81" s="292"/>
      <c r="S81" s="292"/>
      <c r="T81" s="292"/>
      <c r="U81" s="292"/>
      <c r="V81" s="292"/>
      <c r="W81" s="292"/>
      <c r="X81" s="292"/>
      <c r="Y81" s="292"/>
      <c r="Z81" s="292"/>
      <c r="AA81" s="292"/>
      <c r="AB81" s="292"/>
      <c r="AC81" s="292"/>
      <c r="AD81" s="292"/>
      <c r="AE81" s="292"/>
      <c r="AF81" s="292"/>
      <c r="AG81" s="292"/>
      <c r="AH81" s="292"/>
      <c r="AI81" s="292"/>
      <c r="AJ81" s="292"/>
      <c r="AK81" s="292"/>
      <c r="AL81" s="292"/>
      <c r="AM81" s="292"/>
      <c r="AN81" s="292"/>
      <c r="AO81" s="292"/>
      <c r="AP81" s="292"/>
      <c r="AQ81" s="292"/>
      <c r="AR81" s="292"/>
      <c r="AS81" s="292"/>
      <c r="AT81" s="292"/>
      <c r="AU81" s="292"/>
      <c r="AV81" s="292"/>
      <c r="AW81" s="292"/>
      <c r="AX81" s="292"/>
      <c r="AY81" s="292"/>
      <c r="AZ81" s="292"/>
      <c r="BA81" s="292"/>
      <c r="BB81" s="292"/>
      <c r="BC81" s="292"/>
      <c r="BD81" s="292"/>
      <c r="BE81" s="292"/>
      <c r="BF81" s="292"/>
      <c r="BG81" s="292"/>
      <c r="BH81" s="292"/>
      <c r="BI81" s="292"/>
      <c r="BJ81" s="292"/>
      <c r="BK81" s="292"/>
      <c r="BL81" s="292"/>
      <c r="BM81" s="292"/>
      <c r="BN81" s="292"/>
      <c r="BO81" s="292"/>
      <c r="BP81" s="292"/>
      <c r="BQ81" s="292"/>
      <c r="BR81" s="292"/>
      <c r="BS81" s="292"/>
      <c r="BT81" s="292"/>
      <c r="BU81" s="292"/>
      <c r="BV81" s="292"/>
      <c r="BW81" s="292"/>
      <c r="BX81" s="292"/>
      <c r="BY81" s="315">
        <f t="shared" si="22"/>
        <v>0</v>
      </c>
      <c r="BZ81" s="631"/>
    </row>
    <row r="82" spans="2:78" hidden="1" outlineLevel="1">
      <c r="B82" s="629"/>
      <c r="C82" s="316" t="s">
        <v>291</v>
      </c>
      <c r="D82" s="291" t="s">
        <v>262</v>
      </c>
      <c r="E82" s="314"/>
      <c r="F82" s="292"/>
      <c r="G82" s="292"/>
      <c r="H82" s="292"/>
      <c r="I82" s="292"/>
      <c r="J82" s="292"/>
      <c r="K82" s="292"/>
      <c r="L82" s="292"/>
      <c r="M82" s="292"/>
      <c r="N82" s="292"/>
      <c r="O82" s="292"/>
      <c r="P82" s="292"/>
      <c r="Q82" s="292"/>
      <c r="R82" s="292"/>
      <c r="S82" s="292"/>
      <c r="T82" s="292"/>
      <c r="U82" s="292"/>
      <c r="V82" s="292"/>
      <c r="W82" s="292"/>
      <c r="X82" s="292"/>
      <c r="Y82" s="292"/>
      <c r="Z82" s="292"/>
      <c r="AA82" s="292"/>
      <c r="AB82" s="292"/>
      <c r="AC82" s="292"/>
      <c r="AD82" s="292"/>
      <c r="AE82" s="292"/>
      <c r="AF82" s="292"/>
      <c r="AG82" s="292"/>
      <c r="AH82" s="292"/>
      <c r="AI82" s="292"/>
      <c r="AJ82" s="292"/>
      <c r="AK82" s="292"/>
      <c r="AL82" s="292"/>
      <c r="AM82" s="292"/>
      <c r="AN82" s="292"/>
      <c r="AO82" s="292"/>
      <c r="AP82" s="292"/>
      <c r="AQ82" s="292"/>
      <c r="AR82" s="292"/>
      <c r="AS82" s="292"/>
      <c r="AT82" s="292"/>
      <c r="AU82" s="292"/>
      <c r="AV82" s="292"/>
      <c r="AW82" s="292"/>
      <c r="AX82" s="292"/>
      <c r="AY82" s="292"/>
      <c r="AZ82" s="292"/>
      <c r="BA82" s="292"/>
      <c r="BB82" s="292"/>
      <c r="BC82" s="292"/>
      <c r="BD82" s="292"/>
      <c r="BE82" s="292"/>
      <c r="BF82" s="292"/>
      <c r="BG82" s="292"/>
      <c r="BH82" s="292"/>
      <c r="BI82" s="292"/>
      <c r="BJ82" s="292"/>
      <c r="BK82" s="292"/>
      <c r="BL82" s="292"/>
      <c r="BM82" s="292"/>
      <c r="BN82" s="292"/>
      <c r="BO82" s="292"/>
      <c r="BP82" s="292"/>
      <c r="BQ82" s="292"/>
      <c r="BR82" s="292"/>
      <c r="BS82" s="292"/>
      <c r="BT82" s="292"/>
      <c r="BU82" s="292"/>
      <c r="BV82" s="292"/>
      <c r="BW82" s="292"/>
      <c r="BX82" s="292"/>
      <c r="BY82" s="315">
        <f t="shared" si="22"/>
        <v>0</v>
      </c>
      <c r="BZ82" s="631"/>
    </row>
    <row r="83" spans="2:78" hidden="1" outlineLevel="1">
      <c r="B83" s="629"/>
      <c r="C83" s="316" t="s">
        <v>297</v>
      </c>
      <c r="D83" s="291" t="s">
        <v>262</v>
      </c>
      <c r="E83" s="314"/>
      <c r="F83" s="292"/>
      <c r="G83" s="292"/>
      <c r="H83" s="292"/>
      <c r="I83" s="292"/>
      <c r="J83" s="292"/>
      <c r="K83" s="292"/>
      <c r="L83" s="292"/>
      <c r="M83" s="292"/>
      <c r="N83" s="292"/>
      <c r="O83" s="292"/>
      <c r="P83" s="292"/>
      <c r="Q83" s="292"/>
      <c r="R83" s="292"/>
      <c r="S83" s="292"/>
      <c r="T83" s="292"/>
      <c r="U83" s="292"/>
      <c r="V83" s="292"/>
      <c r="W83" s="292"/>
      <c r="X83" s="292"/>
      <c r="Y83" s="292"/>
      <c r="Z83" s="292"/>
      <c r="AA83" s="292"/>
      <c r="AB83" s="292"/>
      <c r="AC83" s="292"/>
      <c r="AD83" s="292"/>
      <c r="AE83" s="292"/>
      <c r="AF83" s="292"/>
      <c r="AG83" s="292"/>
      <c r="AH83" s="292"/>
      <c r="AI83" s="292"/>
      <c r="AJ83" s="292"/>
      <c r="AK83" s="292"/>
      <c r="AL83" s="292"/>
      <c r="AM83" s="292"/>
      <c r="AN83" s="292"/>
      <c r="AO83" s="292"/>
      <c r="AP83" s="292"/>
      <c r="AQ83" s="292"/>
      <c r="AR83" s="292"/>
      <c r="AS83" s="292"/>
      <c r="AT83" s="292"/>
      <c r="AU83" s="292"/>
      <c r="AV83" s="292"/>
      <c r="AW83" s="292"/>
      <c r="AX83" s="292"/>
      <c r="AY83" s="292"/>
      <c r="AZ83" s="292"/>
      <c r="BA83" s="292"/>
      <c r="BB83" s="292"/>
      <c r="BC83" s="292"/>
      <c r="BD83" s="292"/>
      <c r="BE83" s="292"/>
      <c r="BF83" s="292"/>
      <c r="BG83" s="292"/>
      <c r="BH83" s="292"/>
      <c r="BI83" s="292"/>
      <c r="BJ83" s="292"/>
      <c r="BK83" s="292"/>
      <c r="BL83" s="292"/>
      <c r="BM83" s="292"/>
      <c r="BN83" s="292"/>
      <c r="BO83" s="292"/>
      <c r="BP83" s="292"/>
      <c r="BQ83" s="292"/>
      <c r="BR83" s="292"/>
      <c r="BS83" s="292"/>
      <c r="BT83" s="292"/>
      <c r="BU83" s="292"/>
      <c r="BV83" s="292"/>
      <c r="BW83" s="292"/>
      <c r="BX83" s="292"/>
      <c r="BY83" s="315">
        <f t="shared" si="22"/>
        <v>0</v>
      </c>
      <c r="BZ83" s="631"/>
    </row>
    <row r="84" spans="2:78" hidden="1" outlineLevel="1">
      <c r="B84" s="629"/>
      <c r="C84" s="316" t="s">
        <v>298</v>
      </c>
      <c r="D84" s="291" t="s">
        <v>262</v>
      </c>
      <c r="E84" s="314"/>
      <c r="F84" s="292"/>
      <c r="G84" s="292"/>
      <c r="H84" s="292"/>
      <c r="I84" s="292"/>
      <c r="J84" s="292"/>
      <c r="K84" s="292"/>
      <c r="L84" s="292"/>
      <c r="M84" s="292"/>
      <c r="N84" s="292"/>
      <c r="O84" s="292"/>
      <c r="P84" s="292"/>
      <c r="Q84" s="292"/>
      <c r="R84" s="292"/>
      <c r="S84" s="292"/>
      <c r="T84" s="292"/>
      <c r="U84" s="292"/>
      <c r="V84" s="292"/>
      <c r="W84" s="292"/>
      <c r="X84" s="292"/>
      <c r="Y84" s="292"/>
      <c r="Z84" s="292"/>
      <c r="AA84" s="292"/>
      <c r="AB84" s="292"/>
      <c r="AC84" s="292"/>
      <c r="AD84" s="292"/>
      <c r="AE84" s="292"/>
      <c r="AF84" s="292"/>
      <c r="AG84" s="292"/>
      <c r="AH84" s="292"/>
      <c r="AI84" s="292"/>
      <c r="AJ84" s="292"/>
      <c r="AK84" s="292"/>
      <c r="AL84" s="292"/>
      <c r="AM84" s="292"/>
      <c r="AN84" s="292"/>
      <c r="AO84" s="292"/>
      <c r="AP84" s="292"/>
      <c r="AQ84" s="292"/>
      <c r="AR84" s="292"/>
      <c r="AS84" s="292"/>
      <c r="AT84" s="292"/>
      <c r="AU84" s="292"/>
      <c r="AV84" s="292"/>
      <c r="AW84" s="292"/>
      <c r="AX84" s="292"/>
      <c r="AY84" s="292"/>
      <c r="AZ84" s="292"/>
      <c r="BA84" s="292"/>
      <c r="BB84" s="292"/>
      <c r="BC84" s="292"/>
      <c r="BD84" s="292"/>
      <c r="BE84" s="292"/>
      <c r="BF84" s="292"/>
      <c r="BG84" s="292"/>
      <c r="BH84" s="292"/>
      <c r="BI84" s="292"/>
      <c r="BJ84" s="292"/>
      <c r="BK84" s="292"/>
      <c r="BL84" s="292"/>
      <c r="BM84" s="292"/>
      <c r="BN84" s="292"/>
      <c r="BO84" s="292"/>
      <c r="BP84" s="292"/>
      <c r="BQ84" s="292"/>
      <c r="BR84" s="292"/>
      <c r="BS84" s="292"/>
      <c r="BT84" s="292"/>
      <c r="BU84" s="292"/>
      <c r="BV84" s="292"/>
      <c r="BW84" s="292"/>
      <c r="BX84" s="292"/>
      <c r="BY84" s="315">
        <f t="shared" si="22"/>
        <v>0</v>
      </c>
      <c r="BZ84" s="631"/>
    </row>
    <row r="85" spans="2:78" hidden="1" outlineLevel="1">
      <c r="B85" s="629"/>
      <c r="C85" s="318" t="s">
        <v>327</v>
      </c>
      <c r="D85" s="294" t="s">
        <v>262</v>
      </c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19"/>
      <c r="AI85" s="319"/>
      <c r="AJ85" s="319"/>
      <c r="AK85" s="319"/>
      <c r="AL85" s="319"/>
      <c r="AM85" s="319"/>
      <c r="AN85" s="319"/>
      <c r="AO85" s="319"/>
      <c r="AP85" s="319"/>
      <c r="AQ85" s="319"/>
      <c r="AR85" s="319"/>
      <c r="AS85" s="319"/>
      <c r="AT85" s="319"/>
      <c r="AU85" s="319"/>
      <c r="AV85" s="319"/>
      <c r="AW85" s="319"/>
      <c r="AX85" s="319"/>
      <c r="AY85" s="319"/>
      <c r="AZ85" s="319"/>
      <c r="BA85" s="319"/>
      <c r="BB85" s="319"/>
      <c r="BC85" s="319"/>
      <c r="BD85" s="319"/>
      <c r="BE85" s="319"/>
      <c r="BF85" s="319"/>
      <c r="BG85" s="319"/>
      <c r="BH85" s="319"/>
      <c r="BI85" s="319"/>
      <c r="BJ85" s="319"/>
      <c r="BK85" s="319"/>
      <c r="BL85" s="319"/>
      <c r="BM85" s="319"/>
      <c r="BN85" s="319"/>
      <c r="BO85" s="319"/>
      <c r="BP85" s="319"/>
      <c r="BQ85" s="319"/>
      <c r="BR85" s="319"/>
      <c r="BS85" s="319"/>
      <c r="BT85" s="319"/>
      <c r="BU85" s="319"/>
      <c r="BV85" s="319"/>
      <c r="BW85" s="319"/>
      <c r="BX85" s="319"/>
      <c r="BY85" s="315">
        <f t="shared" si="22"/>
        <v>0</v>
      </c>
      <c r="BZ85" s="631"/>
    </row>
    <row r="86" spans="2:78" ht="16" collapsed="1">
      <c r="B86" s="629"/>
      <c r="C86" s="285" t="s">
        <v>328</v>
      </c>
      <c r="D86" s="286"/>
      <c r="E86" s="287">
        <f t="shared" ref="E86:BY86" si="23">SUM(E87:E88)</f>
        <v>0</v>
      </c>
      <c r="F86" s="287">
        <f t="shared" si="23"/>
        <v>0</v>
      </c>
      <c r="G86" s="287">
        <f t="shared" si="23"/>
        <v>0</v>
      </c>
      <c r="H86" s="287">
        <f t="shared" si="23"/>
        <v>0</v>
      </c>
      <c r="I86" s="287">
        <f t="shared" si="23"/>
        <v>0</v>
      </c>
      <c r="J86" s="287">
        <f t="shared" si="23"/>
        <v>0</v>
      </c>
      <c r="K86" s="287">
        <f t="shared" si="23"/>
        <v>0</v>
      </c>
      <c r="L86" s="287">
        <f t="shared" si="23"/>
        <v>0</v>
      </c>
      <c r="M86" s="287">
        <f t="shared" si="23"/>
        <v>0</v>
      </c>
      <c r="N86" s="287">
        <f t="shared" si="23"/>
        <v>0</v>
      </c>
      <c r="O86" s="287">
        <f t="shared" si="23"/>
        <v>0</v>
      </c>
      <c r="P86" s="287">
        <f t="shared" si="23"/>
        <v>0</v>
      </c>
      <c r="Q86" s="287">
        <f t="shared" si="23"/>
        <v>0</v>
      </c>
      <c r="R86" s="287">
        <f t="shared" si="23"/>
        <v>0</v>
      </c>
      <c r="S86" s="287">
        <f t="shared" si="23"/>
        <v>0</v>
      </c>
      <c r="T86" s="287">
        <f t="shared" si="23"/>
        <v>0</v>
      </c>
      <c r="U86" s="287">
        <f t="shared" si="23"/>
        <v>0</v>
      </c>
      <c r="V86" s="287">
        <f t="shared" si="23"/>
        <v>0</v>
      </c>
      <c r="W86" s="287">
        <f t="shared" si="23"/>
        <v>0</v>
      </c>
      <c r="X86" s="287">
        <f t="shared" si="23"/>
        <v>0</v>
      </c>
      <c r="Y86" s="287">
        <f t="shared" si="23"/>
        <v>0</v>
      </c>
      <c r="Z86" s="287">
        <f t="shared" si="23"/>
        <v>0</v>
      </c>
      <c r="AA86" s="287">
        <f t="shared" si="23"/>
        <v>0</v>
      </c>
      <c r="AB86" s="287">
        <f t="shared" si="23"/>
        <v>0</v>
      </c>
      <c r="AC86" s="287">
        <f t="shared" si="23"/>
        <v>0</v>
      </c>
      <c r="AD86" s="287">
        <f t="shared" si="23"/>
        <v>0</v>
      </c>
      <c r="AE86" s="287">
        <f t="shared" si="23"/>
        <v>0</v>
      </c>
      <c r="AF86" s="287">
        <f t="shared" si="23"/>
        <v>0</v>
      </c>
      <c r="AG86" s="287">
        <f t="shared" si="23"/>
        <v>0</v>
      </c>
      <c r="AH86" s="287">
        <f t="shared" si="23"/>
        <v>0</v>
      </c>
      <c r="AI86" s="287">
        <f t="shared" si="23"/>
        <v>0</v>
      </c>
      <c r="AJ86" s="287">
        <f t="shared" si="23"/>
        <v>0</v>
      </c>
      <c r="AK86" s="287">
        <f t="shared" si="23"/>
        <v>0</v>
      </c>
      <c r="AL86" s="287">
        <f t="shared" si="23"/>
        <v>0</v>
      </c>
      <c r="AM86" s="287">
        <f t="shared" si="23"/>
        <v>0</v>
      </c>
      <c r="AN86" s="287">
        <f t="shared" si="23"/>
        <v>0</v>
      </c>
      <c r="AO86" s="287">
        <f t="shared" si="23"/>
        <v>0</v>
      </c>
      <c r="AP86" s="287">
        <f t="shared" si="23"/>
        <v>0</v>
      </c>
      <c r="AQ86" s="287">
        <f t="shared" si="23"/>
        <v>0</v>
      </c>
      <c r="AR86" s="287">
        <f t="shared" si="23"/>
        <v>0</v>
      </c>
      <c r="AS86" s="287">
        <f t="shared" si="23"/>
        <v>0</v>
      </c>
      <c r="AT86" s="287">
        <f t="shared" si="23"/>
        <v>0</v>
      </c>
      <c r="AU86" s="287">
        <f t="shared" si="23"/>
        <v>0</v>
      </c>
      <c r="AV86" s="287">
        <f t="shared" si="23"/>
        <v>0</v>
      </c>
      <c r="AW86" s="287">
        <f t="shared" si="23"/>
        <v>0</v>
      </c>
      <c r="AX86" s="287">
        <f t="shared" si="23"/>
        <v>0</v>
      </c>
      <c r="AY86" s="287">
        <f t="shared" si="23"/>
        <v>0</v>
      </c>
      <c r="AZ86" s="287">
        <f t="shared" si="23"/>
        <v>0</v>
      </c>
      <c r="BA86" s="287">
        <f t="shared" si="23"/>
        <v>0</v>
      </c>
      <c r="BB86" s="287">
        <f t="shared" si="23"/>
        <v>0</v>
      </c>
      <c r="BC86" s="287">
        <f t="shared" si="23"/>
        <v>0</v>
      </c>
      <c r="BD86" s="287">
        <f t="shared" si="23"/>
        <v>0</v>
      </c>
      <c r="BE86" s="287">
        <f t="shared" si="23"/>
        <v>0</v>
      </c>
      <c r="BF86" s="287">
        <f t="shared" si="23"/>
        <v>0</v>
      </c>
      <c r="BG86" s="287">
        <f t="shared" si="23"/>
        <v>0</v>
      </c>
      <c r="BH86" s="287">
        <f t="shared" si="23"/>
        <v>0</v>
      </c>
      <c r="BI86" s="287">
        <f t="shared" si="23"/>
        <v>0</v>
      </c>
      <c r="BJ86" s="287">
        <f t="shared" si="23"/>
        <v>0</v>
      </c>
      <c r="BK86" s="287">
        <f t="shared" si="23"/>
        <v>0</v>
      </c>
      <c r="BL86" s="287">
        <f t="shared" si="23"/>
        <v>0</v>
      </c>
      <c r="BM86" s="287">
        <f t="shared" si="23"/>
        <v>0</v>
      </c>
      <c r="BN86" s="287">
        <f t="shared" si="23"/>
        <v>0</v>
      </c>
      <c r="BO86" s="287">
        <f t="shared" si="23"/>
        <v>0</v>
      </c>
      <c r="BP86" s="287">
        <f t="shared" si="23"/>
        <v>0</v>
      </c>
      <c r="BQ86" s="287">
        <f t="shared" si="23"/>
        <v>0</v>
      </c>
      <c r="BR86" s="287">
        <f t="shared" si="23"/>
        <v>0</v>
      </c>
      <c r="BS86" s="287">
        <f t="shared" si="23"/>
        <v>0</v>
      </c>
      <c r="BT86" s="287">
        <f t="shared" si="23"/>
        <v>0</v>
      </c>
      <c r="BU86" s="287">
        <f t="shared" si="23"/>
        <v>0</v>
      </c>
      <c r="BV86" s="287">
        <f t="shared" si="23"/>
        <v>0</v>
      </c>
      <c r="BW86" s="287">
        <f t="shared" si="23"/>
        <v>0</v>
      </c>
      <c r="BX86" s="287">
        <f t="shared" si="23"/>
        <v>0</v>
      </c>
      <c r="BY86" s="288">
        <f t="shared" si="23"/>
        <v>0</v>
      </c>
      <c r="BZ86" s="631"/>
    </row>
    <row r="87" spans="2:78" hidden="1" outlineLevel="1">
      <c r="B87" s="629"/>
      <c r="C87" s="313" t="s">
        <v>329</v>
      </c>
      <c r="D87" s="291" t="s">
        <v>262</v>
      </c>
      <c r="E87" s="320"/>
      <c r="F87" s="320"/>
      <c r="G87" s="320"/>
      <c r="H87" s="320"/>
      <c r="I87" s="320"/>
      <c r="J87" s="320"/>
      <c r="K87" s="320"/>
      <c r="L87" s="320"/>
      <c r="M87" s="320"/>
      <c r="N87" s="320"/>
      <c r="O87" s="320"/>
      <c r="P87" s="320"/>
      <c r="Q87" s="320"/>
      <c r="R87" s="320"/>
      <c r="S87" s="320"/>
      <c r="T87" s="320"/>
      <c r="U87" s="320"/>
      <c r="V87" s="320"/>
      <c r="W87" s="320"/>
      <c r="X87" s="320"/>
      <c r="Y87" s="320"/>
      <c r="Z87" s="320"/>
      <c r="AA87" s="320"/>
      <c r="AB87" s="320"/>
      <c r="AC87" s="320"/>
      <c r="AD87" s="320"/>
      <c r="AE87" s="320"/>
      <c r="AF87" s="320"/>
      <c r="AG87" s="320"/>
      <c r="AH87" s="320"/>
      <c r="AI87" s="320"/>
      <c r="AJ87" s="320"/>
      <c r="AK87" s="320"/>
      <c r="AL87" s="320"/>
      <c r="AM87" s="320"/>
      <c r="AN87" s="320"/>
      <c r="AO87" s="320"/>
      <c r="AP87" s="320"/>
      <c r="AQ87" s="320"/>
      <c r="AR87" s="320"/>
      <c r="AS87" s="320"/>
      <c r="AT87" s="320"/>
      <c r="AU87" s="320"/>
      <c r="AV87" s="320"/>
      <c r="AW87" s="320"/>
      <c r="AX87" s="320"/>
      <c r="AY87" s="320"/>
      <c r="AZ87" s="320"/>
      <c r="BA87" s="320"/>
      <c r="BB87" s="320"/>
      <c r="BC87" s="320"/>
      <c r="BD87" s="320"/>
      <c r="BE87" s="320"/>
      <c r="BF87" s="320"/>
      <c r="BG87" s="320"/>
      <c r="BH87" s="320"/>
      <c r="BI87" s="320"/>
      <c r="BJ87" s="320"/>
      <c r="BK87" s="320"/>
      <c r="BL87" s="320"/>
      <c r="BM87" s="320"/>
      <c r="BN87" s="320"/>
      <c r="BO87" s="320"/>
      <c r="BP87" s="320"/>
      <c r="BQ87" s="320"/>
      <c r="BR87" s="320"/>
      <c r="BS87" s="320"/>
      <c r="BT87" s="320"/>
      <c r="BU87" s="320"/>
      <c r="BV87" s="320"/>
      <c r="BW87" s="320"/>
      <c r="BX87" s="320"/>
      <c r="BY87" s="321">
        <f t="shared" ref="BY87:BY88" si="24">SUM(E87:BX87)</f>
        <v>0</v>
      </c>
      <c r="BZ87" s="631"/>
    </row>
    <row r="88" spans="2:78" hidden="1" outlineLevel="1">
      <c r="B88" s="629"/>
      <c r="C88" s="318" t="s">
        <v>330</v>
      </c>
      <c r="D88" s="294" t="s">
        <v>262</v>
      </c>
      <c r="E88" s="322"/>
      <c r="F88" s="311"/>
      <c r="G88" s="311"/>
      <c r="H88" s="311"/>
      <c r="I88" s="311"/>
      <c r="J88" s="311"/>
      <c r="K88" s="311"/>
      <c r="L88" s="311"/>
      <c r="M88" s="311"/>
      <c r="N88" s="311"/>
      <c r="O88" s="311"/>
      <c r="P88" s="311"/>
      <c r="Q88" s="311"/>
      <c r="R88" s="311"/>
      <c r="S88" s="311"/>
      <c r="T88" s="311"/>
      <c r="U88" s="311"/>
      <c r="V88" s="311"/>
      <c r="W88" s="311"/>
      <c r="X88" s="311"/>
      <c r="Y88" s="311"/>
      <c r="Z88" s="311"/>
      <c r="AA88" s="311"/>
      <c r="AB88" s="311"/>
      <c r="AC88" s="311"/>
      <c r="AD88" s="311"/>
      <c r="AE88" s="311"/>
      <c r="AF88" s="311"/>
      <c r="AG88" s="311"/>
      <c r="AH88" s="311"/>
      <c r="AI88" s="311"/>
      <c r="AJ88" s="311"/>
      <c r="AK88" s="311"/>
      <c r="AL88" s="311"/>
      <c r="AM88" s="311"/>
      <c r="AN88" s="311"/>
      <c r="AO88" s="311"/>
      <c r="AP88" s="311"/>
      <c r="AQ88" s="311"/>
      <c r="AR88" s="311"/>
      <c r="AS88" s="311"/>
      <c r="AT88" s="311"/>
      <c r="AU88" s="311"/>
      <c r="AV88" s="311"/>
      <c r="AW88" s="311"/>
      <c r="AX88" s="311"/>
      <c r="AY88" s="311"/>
      <c r="AZ88" s="311"/>
      <c r="BA88" s="311"/>
      <c r="BB88" s="311"/>
      <c r="BC88" s="311"/>
      <c r="BD88" s="311"/>
      <c r="BE88" s="311"/>
      <c r="BF88" s="311"/>
      <c r="BG88" s="311"/>
      <c r="BH88" s="311"/>
      <c r="BI88" s="311"/>
      <c r="BJ88" s="311"/>
      <c r="BK88" s="311"/>
      <c r="BL88" s="311"/>
      <c r="BM88" s="311"/>
      <c r="BN88" s="311"/>
      <c r="BO88" s="311"/>
      <c r="BP88" s="311"/>
      <c r="BQ88" s="311"/>
      <c r="BR88" s="311"/>
      <c r="BS88" s="311"/>
      <c r="BT88" s="311"/>
      <c r="BU88" s="311"/>
      <c r="BV88" s="311"/>
      <c r="BW88" s="311"/>
      <c r="BX88" s="311"/>
      <c r="BY88" s="323">
        <f t="shared" si="24"/>
        <v>0</v>
      </c>
      <c r="BZ88" s="618"/>
    </row>
    <row r="89" spans="2:78">
      <c r="B89" s="629"/>
      <c r="C89" s="285" t="s">
        <v>331</v>
      </c>
      <c r="D89" s="286"/>
      <c r="E89" s="287">
        <f t="shared" ref="E89:BX89" si="25">SUM(E90:E96)</f>
        <v>0</v>
      </c>
      <c r="F89" s="287">
        <f t="shared" si="25"/>
        <v>0</v>
      </c>
      <c r="G89" s="287">
        <f t="shared" si="25"/>
        <v>0</v>
      </c>
      <c r="H89" s="287">
        <f t="shared" si="25"/>
        <v>0</v>
      </c>
      <c r="I89" s="287">
        <f t="shared" si="25"/>
        <v>0</v>
      </c>
      <c r="J89" s="287">
        <f t="shared" si="25"/>
        <v>0</v>
      </c>
      <c r="K89" s="287">
        <f t="shared" si="25"/>
        <v>0</v>
      </c>
      <c r="L89" s="287">
        <f t="shared" si="25"/>
        <v>0</v>
      </c>
      <c r="M89" s="287">
        <f t="shared" si="25"/>
        <v>0</v>
      </c>
      <c r="N89" s="287">
        <f t="shared" si="25"/>
        <v>0</v>
      </c>
      <c r="O89" s="287">
        <f t="shared" si="25"/>
        <v>0</v>
      </c>
      <c r="P89" s="287">
        <f t="shared" si="25"/>
        <v>0</v>
      </c>
      <c r="Q89" s="287">
        <f t="shared" si="25"/>
        <v>0</v>
      </c>
      <c r="R89" s="287">
        <f t="shared" si="25"/>
        <v>0</v>
      </c>
      <c r="S89" s="287">
        <f t="shared" si="25"/>
        <v>0</v>
      </c>
      <c r="T89" s="287">
        <f t="shared" si="25"/>
        <v>0</v>
      </c>
      <c r="U89" s="287">
        <f t="shared" si="25"/>
        <v>0</v>
      </c>
      <c r="V89" s="287">
        <f t="shared" si="25"/>
        <v>0</v>
      </c>
      <c r="W89" s="287">
        <f t="shared" si="25"/>
        <v>-611050</v>
      </c>
      <c r="X89" s="287">
        <f t="shared" si="25"/>
        <v>0</v>
      </c>
      <c r="Y89" s="287">
        <f t="shared" si="25"/>
        <v>0</v>
      </c>
      <c r="Z89" s="287">
        <f t="shared" si="25"/>
        <v>0</v>
      </c>
      <c r="AA89" s="287">
        <f t="shared" si="25"/>
        <v>0</v>
      </c>
      <c r="AB89" s="287">
        <f t="shared" si="25"/>
        <v>0</v>
      </c>
      <c r="AC89" s="287">
        <f t="shared" si="25"/>
        <v>0</v>
      </c>
      <c r="AD89" s="287">
        <f t="shared" si="25"/>
        <v>0</v>
      </c>
      <c r="AE89" s="287">
        <f t="shared" si="25"/>
        <v>0</v>
      </c>
      <c r="AF89" s="287">
        <f t="shared" si="25"/>
        <v>0</v>
      </c>
      <c r="AG89" s="287">
        <f t="shared" si="25"/>
        <v>0</v>
      </c>
      <c r="AH89" s="287">
        <f t="shared" si="25"/>
        <v>0</v>
      </c>
      <c r="AI89" s="287">
        <f t="shared" si="25"/>
        <v>-144754935.29916751</v>
      </c>
      <c r="AJ89" s="287">
        <f t="shared" si="25"/>
        <v>0</v>
      </c>
      <c r="AK89" s="287">
        <f t="shared" si="25"/>
        <v>0</v>
      </c>
      <c r="AL89" s="287">
        <f t="shared" si="25"/>
        <v>0</v>
      </c>
      <c r="AM89" s="287">
        <f t="shared" si="25"/>
        <v>0</v>
      </c>
      <c r="AN89" s="287">
        <f t="shared" si="25"/>
        <v>0</v>
      </c>
      <c r="AO89" s="287">
        <f t="shared" si="25"/>
        <v>0</v>
      </c>
      <c r="AP89" s="287">
        <f t="shared" si="25"/>
        <v>0</v>
      </c>
      <c r="AQ89" s="287">
        <f t="shared" si="25"/>
        <v>0</v>
      </c>
      <c r="AR89" s="287">
        <f t="shared" si="25"/>
        <v>0</v>
      </c>
      <c r="AS89" s="287">
        <f t="shared" si="25"/>
        <v>0</v>
      </c>
      <c r="AT89" s="287">
        <f t="shared" si="25"/>
        <v>0</v>
      </c>
      <c r="AU89" s="287">
        <f t="shared" si="25"/>
        <v>0</v>
      </c>
      <c r="AV89" s="287">
        <f t="shared" si="25"/>
        <v>0</v>
      </c>
      <c r="AW89" s="287">
        <f t="shared" si="25"/>
        <v>0</v>
      </c>
      <c r="AX89" s="287">
        <f t="shared" si="25"/>
        <v>0</v>
      </c>
      <c r="AY89" s="287">
        <f t="shared" si="25"/>
        <v>0</v>
      </c>
      <c r="AZ89" s="287">
        <f t="shared" si="25"/>
        <v>0</v>
      </c>
      <c r="BA89" s="287">
        <f t="shared" si="25"/>
        <v>0</v>
      </c>
      <c r="BB89" s="287">
        <f t="shared" si="25"/>
        <v>0</v>
      </c>
      <c r="BC89" s="287">
        <f t="shared" si="25"/>
        <v>0</v>
      </c>
      <c r="BD89" s="287">
        <f t="shared" si="25"/>
        <v>0</v>
      </c>
      <c r="BE89" s="287">
        <f t="shared" si="25"/>
        <v>0</v>
      </c>
      <c r="BF89" s="287">
        <f t="shared" si="25"/>
        <v>0</v>
      </c>
      <c r="BG89" s="287">
        <f t="shared" si="25"/>
        <v>0</v>
      </c>
      <c r="BH89" s="287">
        <f t="shared" si="25"/>
        <v>0</v>
      </c>
      <c r="BI89" s="287">
        <f t="shared" si="25"/>
        <v>0</v>
      </c>
      <c r="BJ89" s="287">
        <f t="shared" si="25"/>
        <v>0</v>
      </c>
      <c r="BK89" s="287">
        <f t="shared" si="25"/>
        <v>0</v>
      </c>
      <c r="BL89" s="287">
        <f t="shared" si="25"/>
        <v>0</v>
      </c>
      <c r="BM89" s="287">
        <f t="shared" si="25"/>
        <v>0</v>
      </c>
      <c r="BN89" s="287">
        <f t="shared" si="25"/>
        <v>0</v>
      </c>
      <c r="BO89" s="287">
        <f t="shared" si="25"/>
        <v>0</v>
      </c>
      <c r="BP89" s="287">
        <f t="shared" si="25"/>
        <v>0</v>
      </c>
      <c r="BQ89" s="287">
        <f t="shared" si="25"/>
        <v>0</v>
      </c>
      <c r="BR89" s="287">
        <f t="shared" si="25"/>
        <v>0</v>
      </c>
      <c r="BS89" s="287">
        <f t="shared" si="25"/>
        <v>0</v>
      </c>
      <c r="BT89" s="287">
        <f t="shared" si="25"/>
        <v>0</v>
      </c>
      <c r="BU89" s="287">
        <f t="shared" si="25"/>
        <v>0</v>
      </c>
      <c r="BV89" s="287">
        <f t="shared" si="25"/>
        <v>0</v>
      </c>
      <c r="BW89" s="287">
        <f t="shared" si="25"/>
        <v>0</v>
      </c>
      <c r="BX89" s="287">
        <f t="shared" si="25"/>
        <v>0</v>
      </c>
      <c r="BY89" s="637">
        <f>SUM(BZ18:BZ61)</f>
        <v>-151976345.89159194</v>
      </c>
      <c r="BZ89" s="624"/>
    </row>
    <row r="90" spans="2:78" outlineLevel="1">
      <c r="B90" s="629"/>
      <c r="C90" s="290" t="s">
        <v>332</v>
      </c>
      <c r="D90" s="291" t="s">
        <v>262</v>
      </c>
      <c r="E90" s="292"/>
      <c r="F90" s="292"/>
      <c r="G90" s="292"/>
      <c r="H90" s="292"/>
      <c r="I90" s="292"/>
      <c r="J90" s="292"/>
      <c r="K90" s="292"/>
      <c r="L90" s="292"/>
      <c r="M90" s="292"/>
      <c r="N90" s="292"/>
      <c r="O90" s="292"/>
      <c r="P90" s="292"/>
      <c r="Q90" s="292"/>
      <c r="R90" s="292"/>
      <c r="S90" s="292"/>
      <c r="T90" s="292"/>
      <c r="U90" s="292"/>
      <c r="V90" s="292"/>
      <c r="W90" s="292"/>
      <c r="X90" s="292"/>
      <c r="Y90" s="292"/>
      <c r="Z90" s="292"/>
      <c r="AA90" s="292"/>
      <c r="AB90" s="292"/>
      <c r="AC90" s="292"/>
      <c r="AD90" s="292"/>
      <c r="AE90" s="292"/>
      <c r="AF90" s="292"/>
      <c r="AG90" s="292"/>
      <c r="AH90" s="292"/>
      <c r="AI90" s="292"/>
      <c r="AJ90" s="292"/>
      <c r="AK90" s="292"/>
      <c r="AL90" s="292"/>
      <c r="AM90" s="292"/>
      <c r="AN90" s="292"/>
      <c r="AO90" s="292"/>
      <c r="AP90" s="292"/>
      <c r="AQ90" s="292"/>
      <c r="AR90" s="292"/>
      <c r="AS90" s="292"/>
      <c r="AT90" s="292"/>
      <c r="AU90" s="292"/>
      <c r="AV90" s="292"/>
      <c r="AW90" s="292"/>
      <c r="AX90" s="292"/>
      <c r="AY90" s="292"/>
      <c r="AZ90" s="292"/>
      <c r="BA90" s="292"/>
      <c r="BB90" s="292"/>
      <c r="BC90" s="314"/>
      <c r="BD90" s="292"/>
      <c r="BE90" s="292"/>
      <c r="BF90" s="292"/>
      <c r="BG90" s="292"/>
      <c r="BH90" s="292"/>
      <c r="BI90" s="292"/>
      <c r="BJ90" s="292"/>
      <c r="BK90" s="292"/>
      <c r="BL90" s="292"/>
      <c r="BM90" s="292"/>
      <c r="BN90" s="292"/>
      <c r="BO90" s="292"/>
      <c r="BP90" s="292"/>
      <c r="BQ90" s="292"/>
      <c r="BR90" s="292"/>
      <c r="BS90" s="292"/>
      <c r="BT90" s="292"/>
      <c r="BU90" s="292"/>
      <c r="BV90" s="292"/>
      <c r="BW90" s="292"/>
      <c r="BX90" s="297"/>
      <c r="BY90" s="321">
        <f t="shared" ref="BY90:BY96" si="26">SUM(E90:BX90)</f>
        <v>0</v>
      </c>
      <c r="BZ90" s="638">
        <f>SUM(BY90:BY96)</f>
        <v>-145365985.29916751</v>
      </c>
    </row>
    <row r="91" spans="2:78" outlineLevel="1">
      <c r="B91" s="629"/>
      <c r="C91" s="290" t="s">
        <v>333</v>
      </c>
      <c r="D91" s="291" t="s">
        <v>262</v>
      </c>
      <c r="E91" s="292"/>
      <c r="F91" s="292"/>
      <c r="G91" s="292"/>
      <c r="H91" s="292"/>
      <c r="I91" s="292"/>
      <c r="J91" s="292"/>
      <c r="K91" s="292"/>
      <c r="L91" s="292"/>
      <c r="M91" s="292"/>
      <c r="N91" s="292"/>
      <c r="O91" s="292"/>
      <c r="P91" s="292"/>
      <c r="Q91" s="292"/>
      <c r="R91" s="292"/>
      <c r="S91" s="292"/>
      <c r="T91" s="292"/>
      <c r="U91" s="292"/>
      <c r="V91" s="292"/>
      <c r="W91" s="292">
        <f>-611050</f>
        <v>-611050</v>
      </c>
      <c r="X91" s="292"/>
      <c r="Y91" s="292"/>
      <c r="Z91" s="292"/>
      <c r="AA91" s="292"/>
      <c r="AB91" s="292"/>
      <c r="AC91" s="292"/>
      <c r="AD91" s="292"/>
      <c r="AE91" s="292"/>
      <c r="AF91" s="292"/>
      <c r="AG91" s="292"/>
      <c r="AH91" s="292"/>
      <c r="AI91" s="292">
        <f>-$BY$6-SUM(E91:AH91)</f>
        <v>-50450830</v>
      </c>
      <c r="AJ91" s="292"/>
      <c r="AK91" s="292"/>
      <c r="AL91" s="292"/>
      <c r="AM91" s="292"/>
      <c r="AN91" s="292"/>
      <c r="AO91" s="292"/>
      <c r="AP91" s="292"/>
      <c r="AQ91" s="292"/>
      <c r="AR91" s="292"/>
      <c r="AS91" s="292"/>
      <c r="AT91" s="292"/>
      <c r="AU91" s="292"/>
      <c r="AV91" s="292"/>
      <c r="AW91" s="292"/>
      <c r="AX91" s="292"/>
      <c r="AY91" s="292"/>
      <c r="AZ91" s="292"/>
      <c r="BA91" s="292"/>
      <c r="BB91" s="292"/>
      <c r="BC91" s="292"/>
      <c r="BD91" s="292"/>
      <c r="BE91" s="292"/>
      <c r="BF91" s="292"/>
      <c r="BG91" s="292"/>
      <c r="BH91" s="292"/>
      <c r="BI91" s="292"/>
      <c r="BJ91" s="292"/>
      <c r="BK91" s="292"/>
      <c r="BL91" s="292"/>
      <c r="BM91" s="292"/>
      <c r="BN91" s="292"/>
      <c r="BO91" s="292"/>
      <c r="BP91" s="292"/>
      <c r="BQ91" s="292"/>
      <c r="BR91" s="292"/>
      <c r="BS91" s="292"/>
      <c r="BT91" s="292"/>
      <c r="BU91" s="292"/>
      <c r="BV91" s="292"/>
      <c r="BW91" s="292"/>
      <c r="BX91" s="297"/>
      <c r="BY91" s="315">
        <f t="shared" si="26"/>
        <v>-51061880</v>
      </c>
      <c r="BZ91" s="631"/>
    </row>
    <row r="92" spans="2:78" outlineLevel="1">
      <c r="B92" s="629"/>
      <c r="C92" s="290" t="s">
        <v>334</v>
      </c>
      <c r="D92" s="291" t="s">
        <v>262</v>
      </c>
      <c r="E92" s="292"/>
      <c r="F92" s="292"/>
      <c r="G92" s="292"/>
      <c r="H92" s="292"/>
      <c r="I92" s="292"/>
      <c r="J92" s="292"/>
      <c r="K92" s="292"/>
      <c r="L92" s="292"/>
      <c r="M92" s="292"/>
      <c r="N92" s="292"/>
      <c r="O92" s="292"/>
      <c r="P92" s="292"/>
      <c r="Q92" s="292"/>
      <c r="R92" s="292"/>
      <c r="S92" s="292"/>
      <c r="T92" s="292"/>
      <c r="U92" s="292"/>
      <c r="V92" s="292"/>
      <c r="W92" s="292"/>
      <c r="X92" s="292"/>
      <c r="Y92" s="292"/>
      <c r="Z92" s="292"/>
      <c r="AA92" s="292"/>
      <c r="AB92" s="292"/>
      <c r="AC92" s="292"/>
      <c r="AD92" s="292"/>
      <c r="AE92" s="292"/>
      <c r="AF92" s="292"/>
      <c r="AG92" s="292"/>
      <c r="AH92" s="292"/>
      <c r="AI92" s="292"/>
      <c r="AJ92" s="292"/>
      <c r="AK92" s="292"/>
      <c r="AL92" s="292"/>
      <c r="AM92" s="292"/>
      <c r="AN92" s="292"/>
      <c r="AO92" s="292"/>
      <c r="AP92" s="292"/>
      <c r="AQ92" s="292"/>
      <c r="AR92" s="292"/>
      <c r="AS92" s="292"/>
      <c r="AT92" s="292"/>
      <c r="AU92" s="292"/>
      <c r="AV92" s="292"/>
      <c r="AW92" s="292"/>
      <c r="AX92" s="292"/>
      <c r="AY92" s="292"/>
      <c r="AZ92" s="292"/>
      <c r="BA92" s="292"/>
      <c r="BB92" s="292"/>
      <c r="BC92" s="292"/>
      <c r="BD92" s="292"/>
      <c r="BE92" s="292"/>
      <c r="BF92" s="292"/>
      <c r="BG92" s="292"/>
      <c r="BH92" s="292"/>
      <c r="BI92" s="292"/>
      <c r="BJ92" s="292"/>
      <c r="BK92" s="292"/>
      <c r="BL92" s="292"/>
      <c r="BM92" s="292"/>
      <c r="BN92" s="292"/>
      <c r="BO92" s="292"/>
      <c r="BP92" s="292"/>
      <c r="BQ92" s="292"/>
      <c r="BR92" s="292"/>
      <c r="BS92" s="292"/>
      <c r="BT92" s="292"/>
      <c r="BU92" s="292"/>
      <c r="BV92" s="292"/>
      <c r="BW92" s="292"/>
      <c r="BX92" s="297"/>
      <c r="BY92" s="315">
        <f t="shared" si="26"/>
        <v>0</v>
      </c>
      <c r="BZ92" s="631"/>
    </row>
    <row r="93" spans="2:78" outlineLevel="1">
      <c r="B93" s="629"/>
      <c r="C93" s="290" t="s">
        <v>335</v>
      </c>
      <c r="D93" s="291" t="s">
        <v>262</v>
      </c>
      <c r="E93" s="292"/>
      <c r="F93" s="292"/>
      <c r="G93" s="292"/>
      <c r="H93" s="292"/>
      <c r="I93" s="292"/>
      <c r="J93" s="292"/>
      <c r="K93" s="292"/>
      <c r="L93" s="292"/>
      <c r="M93" s="292"/>
      <c r="N93" s="292"/>
      <c r="O93" s="292"/>
      <c r="P93" s="292"/>
      <c r="Q93" s="292"/>
      <c r="R93" s="292"/>
      <c r="S93" s="292"/>
      <c r="T93" s="292"/>
      <c r="U93" s="292"/>
      <c r="V93" s="292"/>
      <c r="W93" s="292"/>
      <c r="X93" s="292"/>
      <c r="Y93" s="292"/>
      <c r="Z93" s="292"/>
      <c r="AA93" s="292"/>
      <c r="AB93" s="292"/>
      <c r="AC93" s="292"/>
      <c r="AD93" s="292"/>
      <c r="AE93" s="292"/>
      <c r="AF93" s="292"/>
      <c r="AG93" s="292"/>
      <c r="AH93" s="292"/>
      <c r="AI93" s="292"/>
      <c r="AJ93" s="292"/>
      <c r="AK93" s="292"/>
      <c r="AL93" s="292"/>
      <c r="AM93" s="292"/>
      <c r="AN93" s="292"/>
      <c r="AO93" s="292"/>
      <c r="AP93" s="292"/>
      <c r="AQ93" s="292"/>
      <c r="AR93" s="292"/>
      <c r="AS93" s="292"/>
      <c r="AT93" s="292"/>
      <c r="AU93" s="292"/>
      <c r="AV93" s="292"/>
      <c r="AW93" s="292"/>
      <c r="AX93" s="292"/>
      <c r="AY93" s="292"/>
      <c r="AZ93" s="292"/>
      <c r="BA93" s="292"/>
      <c r="BB93" s="292"/>
      <c r="BC93" s="292"/>
      <c r="BD93" s="292"/>
      <c r="BE93" s="292"/>
      <c r="BF93" s="292"/>
      <c r="BG93" s="292"/>
      <c r="BH93" s="292"/>
      <c r="BI93" s="292"/>
      <c r="BJ93" s="292"/>
      <c r="BK93" s="292"/>
      <c r="BL93" s="292"/>
      <c r="BM93" s="292"/>
      <c r="BN93" s="292"/>
      <c r="BO93" s="292"/>
      <c r="BP93" s="292"/>
      <c r="BQ93" s="292"/>
      <c r="BR93" s="292"/>
      <c r="BS93" s="292"/>
      <c r="BT93" s="292"/>
      <c r="BU93" s="292"/>
      <c r="BV93" s="292"/>
      <c r="BW93" s="292"/>
      <c r="BX93" s="297"/>
      <c r="BY93" s="315">
        <f t="shared" si="26"/>
        <v>0</v>
      </c>
      <c r="BZ93" s="631"/>
    </row>
    <row r="94" spans="2:78" outlineLevel="1">
      <c r="B94" s="629"/>
      <c r="C94" s="290" t="s">
        <v>336</v>
      </c>
      <c r="D94" s="291" t="s">
        <v>262</v>
      </c>
      <c r="E94" s="292"/>
      <c r="F94" s="292"/>
      <c r="G94" s="292"/>
      <c r="H94" s="292"/>
      <c r="I94" s="292"/>
      <c r="J94" s="292"/>
      <c r="K94" s="292"/>
      <c r="L94" s="292"/>
      <c r="M94" s="292"/>
      <c r="N94" s="292"/>
      <c r="O94" s="292"/>
      <c r="P94" s="292"/>
      <c r="Q94" s="292"/>
      <c r="R94" s="292"/>
      <c r="S94" s="292"/>
      <c r="T94" s="292"/>
      <c r="U94" s="292"/>
      <c r="V94" s="292"/>
      <c r="W94" s="292"/>
      <c r="X94" s="292"/>
      <c r="Y94" s="292"/>
      <c r="Z94" s="292"/>
      <c r="AA94" s="292"/>
      <c r="AB94" s="292"/>
      <c r="AC94" s="292"/>
      <c r="AD94" s="292"/>
      <c r="AE94" s="292"/>
      <c r="AF94" s="292"/>
      <c r="AG94" s="292"/>
      <c r="AH94" s="292"/>
      <c r="AI94" s="292"/>
      <c r="AJ94" s="292"/>
      <c r="AK94" s="292"/>
      <c r="AL94" s="292"/>
      <c r="AM94" s="292"/>
      <c r="AN94" s="292"/>
      <c r="AO94" s="292"/>
      <c r="AP94" s="292"/>
      <c r="AQ94" s="292"/>
      <c r="AR94" s="292"/>
      <c r="AS94" s="292"/>
      <c r="AT94" s="292"/>
      <c r="AU94" s="292"/>
      <c r="AV94" s="292"/>
      <c r="AW94" s="292"/>
      <c r="AX94" s="292"/>
      <c r="AY94" s="292"/>
      <c r="AZ94" s="292"/>
      <c r="BA94" s="292"/>
      <c r="BB94" s="292"/>
      <c r="BC94" s="314"/>
      <c r="BD94" s="292"/>
      <c r="BE94" s="292"/>
      <c r="BF94" s="292"/>
      <c r="BG94" s="292"/>
      <c r="BH94" s="292"/>
      <c r="BI94" s="292"/>
      <c r="BJ94" s="292"/>
      <c r="BK94" s="292"/>
      <c r="BL94" s="292"/>
      <c r="BM94" s="292"/>
      <c r="BN94" s="292"/>
      <c r="BO94" s="292"/>
      <c r="BP94" s="292"/>
      <c r="BQ94" s="292"/>
      <c r="BR94" s="292"/>
      <c r="BS94" s="292"/>
      <c r="BT94" s="292"/>
      <c r="BU94" s="292"/>
      <c r="BV94" s="292"/>
      <c r="BW94" s="292"/>
      <c r="BX94" s="297"/>
      <c r="BY94" s="315">
        <f t="shared" si="26"/>
        <v>0</v>
      </c>
      <c r="BZ94" s="631"/>
    </row>
    <row r="95" spans="2:78" outlineLevel="1">
      <c r="B95" s="629"/>
      <c r="C95" s="290" t="s">
        <v>337</v>
      </c>
      <c r="D95" s="291" t="s">
        <v>262</v>
      </c>
      <c r="E95" s="292"/>
      <c r="F95" s="292"/>
      <c r="G95" s="292"/>
      <c r="H95" s="292"/>
      <c r="I95" s="292"/>
      <c r="J95" s="292"/>
      <c r="K95" s="292"/>
      <c r="L95" s="292"/>
      <c r="M95" s="292"/>
      <c r="N95" s="292"/>
      <c r="O95" s="292"/>
      <c r="P95" s="292"/>
      <c r="Q95" s="292"/>
      <c r="R95" s="292"/>
      <c r="S95" s="292"/>
      <c r="T95" s="292"/>
      <c r="U95" s="292"/>
      <c r="V95" s="292"/>
      <c r="W95" s="292"/>
      <c r="X95" s="292"/>
      <c r="Y95" s="292"/>
      <c r="Z95" s="292"/>
      <c r="AA95" s="292"/>
      <c r="AB95" s="292"/>
      <c r="AC95" s="292"/>
      <c r="AD95" s="292"/>
      <c r="AE95" s="292"/>
      <c r="AF95" s="292"/>
      <c r="AG95" s="292"/>
      <c r="AH95" s="292"/>
      <c r="AI95" s="292"/>
      <c r="AJ95" s="292"/>
      <c r="AK95" s="292"/>
      <c r="AL95" s="292"/>
      <c r="AM95" s="292"/>
      <c r="AN95" s="292"/>
      <c r="AO95" s="292"/>
      <c r="AP95" s="292"/>
      <c r="AQ95" s="292"/>
      <c r="AR95" s="292"/>
      <c r="AS95" s="292"/>
      <c r="AT95" s="292"/>
      <c r="AU95" s="292"/>
      <c r="AV95" s="292"/>
      <c r="AW95" s="292"/>
      <c r="AX95" s="292"/>
      <c r="AY95" s="292"/>
      <c r="AZ95" s="292"/>
      <c r="BA95" s="292"/>
      <c r="BB95" s="292"/>
      <c r="BC95" s="314"/>
      <c r="BD95" s="292"/>
      <c r="BE95" s="292"/>
      <c r="BF95" s="292"/>
      <c r="BG95" s="292"/>
      <c r="BH95" s="292"/>
      <c r="BI95" s="292"/>
      <c r="BJ95" s="292"/>
      <c r="BK95" s="292"/>
      <c r="BL95" s="292"/>
      <c r="BM95" s="292"/>
      <c r="BN95" s="292"/>
      <c r="BO95" s="292"/>
      <c r="BP95" s="292"/>
      <c r="BQ95" s="292"/>
      <c r="BR95" s="292"/>
      <c r="BS95" s="292"/>
      <c r="BT95" s="292"/>
      <c r="BU95" s="292"/>
      <c r="BV95" s="292"/>
      <c r="BW95" s="292"/>
      <c r="BX95" s="297"/>
      <c r="BY95" s="324">
        <f t="shared" si="26"/>
        <v>0</v>
      </c>
      <c r="BZ95" s="631"/>
    </row>
    <row r="96" spans="2:78" outlineLevel="1">
      <c r="B96" s="627"/>
      <c r="C96" s="507" t="s">
        <v>338</v>
      </c>
      <c r="D96" s="509" t="s">
        <v>262</v>
      </c>
      <c r="E96" s="310"/>
      <c r="F96" s="310"/>
      <c r="G96" s="310"/>
      <c r="H96" s="310"/>
      <c r="I96" s="310"/>
      <c r="J96" s="310"/>
      <c r="K96" s="310"/>
      <c r="L96" s="310"/>
      <c r="M96" s="310"/>
      <c r="N96" s="310"/>
      <c r="O96" s="310"/>
      <c r="P96" s="310"/>
      <c r="Q96" s="310"/>
      <c r="R96" s="310"/>
      <c r="S96" s="310"/>
      <c r="T96" s="310"/>
      <c r="U96" s="310"/>
      <c r="V96" s="310"/>
      <c r="W96" s="310"/>
      <c r="X96" s="310"/>
      <c r="Y96" s="310"/>
      <c r="Z96" s="310"/>
      <c r="AA96" s="310"/>
      <c r="AB96" s="310"/>
      <c r="AC96" s="310"/>
      <c r="AD96" s="310"/>
      <c r="AE96" s="310"/>
      <c r="AF96" s="310"/>
      <c r="AG96" s="310"/>
      <c r="AH96" s="310"/>
      <c r="AI96" s="310">
        <f>-$BZ$9</f>
        <v>-94304105.299167499</v>
      </c>
      <c r="AJ96" s="310"/>
      <c r="AK96" s="310"/>
      <c r="AL96" s="310"/>
      <c r="AM96" s="310"/>
      <c r="AN96" s="310"/>
      <c r="AO96" s="310"/>
      <c r="AP96" s="310"/>
      <c r="AQ96" s="310"/>
      <c r="AR96" s="310"/>
      <c r="AS96" s="310"/>
      <c r="AT96" s="310"/>
      <c r="AU96" s="310"/>
      <c r="AV96" s="310"/>
      <c r="AW96" s="310"/>
      <c r="AX96" s="310"/>
      <c r="AY96" s="310"/>
      <c r="AZ96" s="310"/>
      <c r="BA96" s="310"/>
      <c r="BB96" s="310"/>
      <c r="BC96" s="310"/>
      <c r="BD96" s="310"/>
      <c r="BE96" s="310"/>
      <c r="BF96" s="310"/>
      <c r="BG96" s="310"/>
      <c r="BH96" s="310"/>
      <c r="BI96" s="310"/>
      <c r="BJ96" s="310"/>
      <c r="BK96" s="310"/>
      <c r="BL96" s="310"/>
      <c r="BM96" s="310"/>
      <c r="BN96" s="310"/>
      <c r="BO96" s="310"/>
      <c r="BP96" s="310"/>
      <c r="BQ96" s="310"/>
      <c r="BR96" s="310"/>
      <c r="BS96" s="310"/>
      <c r="BT96" s="310"/>
      <c r="BU96" s="310"/>
      <c r="BV96" s="310"/>
      <c r="BW96" s="310"/>
      <c r="BX96" s="311"/>
      <c r="BY96" s="301">
        <f t="shared" si="26"/>
        <v>-94304105.299167499</v>
      </c>
      <c r="BZ96" s="632"/>
    </row>
    <row r="97" spans="2:78" ht="16">
      <c r="B97" s="625" t="s">
        <v>339</v>
      </c>
      <c r="C97" s="618"/>
      <c r="D97" s="510" t="s">
        <v>262</v>
      </c>
      <c r="E97" s="325">
        <f t="shared" ref="E97:BP97" si="27">(E18+E25+E28+E36+E39+E48+E54+E62+E86+E89)</f>
        <v>0</v>
      </c>
      <c r="F97" s="325">
        <f t="shared" si="27"/>
        <v>0</v>
      </c>
      <c r="G97" s="325">
        <f t="shared" si="27"/>
        <v>0</v>
      </c>
      <c r="H97" s="325">
        <f t="shared" si="27"/>
        <v>0</v>
      </c>
      <c r="I97" s="325">
        <f t="shared" si="27"/>
        <v>0</v>
      </c>
      <c r="J97" s="325">
        <f t="shared" si="27"/>
        <v>0</v>
      </c>
      <c r="K97" s="325">
        <f t="shared" si="27"/>
        <v>0</v>
      </c>
      <c r="L97" s="325">
        <f t="shared" si="27"/>
        <v>0</v>
      </c>
      <c r="M97" s="325">
        <f t="shared" si="27"/>
        <v>0</v>
      </c>
      <c r="N97" s="325">
        <f t="shared" si="27"/>
        <v>0</v>
      </c>
      <c r="O97" s="325">
        <f t="shared" si="27"/>
        <v>0</v>
      </c>
      <c r="P97" s="325">
        <f t="shared" si="27"/>
        <v>0</v>
      </c>
      <c r="Q97" s="325">
        <f t="shared" si="27"/>
        <v>0</v>
      </c>
      <c r="R97" s="325">
        <f t="shared" si="27"/>
        <v>0</v>
      </c>
      <c r="S97" s="325">
        <f t="shared" si="27"/>
        <v>0</v>
      </c>
      <c r="T97" s="325">
        <f t="shared" si="27"/>
        <v>0</v>
      </c>
      <c r="U97" s="325">
        <f t="shared" si="27"/>
        <v>-19172867.768595044</v>
      </c>
      <c r="V97" s="325">
        <f t="shared" si="27"/>
        <v>-6321531.2314049564</v>
      </c>
      <c r="W97" s="325">
        <f t="shared" si="27"/>
        <v>-4421821.4297520667</v>
      </c>
      <c r="X97" s="325">
        <f t="shared" si="27"/>
        <v>-2829.727272727273</v>
      </c>
      <c r="Y97" s="325">
        <f t="shared" si="27"/>
        <v>-281910.77685950417</v>
      </c>
      <c r="Z97" s="325">
        <f t="shared" si="27"/>
        <v>-11540280.75</v>
      </c>
      <c r="AA97" s="325">
        <f t="shared" si="27"/>
        <v>-7289317</v>
      </c>
      <c r="AB97" s="325">
        <f>(AB18+AB25+AB28+AB36+AB39+AB48+AB54+AB62+AB86+AB89)</f>
        <v>-18281448.657884296</v>
      </c>
      <c r="AC97" s="325">
        <f t="shared" si="27"/>
        <v>-13299037.203390392</v>
      </c>
      <c r="AD97" s="325">
        <f t="shared" si="27"/>
        <v>-15348185.621995762</v>
      </c>
      <c r="AE97" s="325">
        <f t="shared" si="27"/>
        <v>-14776721.300935846</v>
      </c>
      <c r="AF97" s="325">
        <f t="shared" si="27"/>
        <v>-6100957.9762809919</v>
      </c>
      <c r="AG97" s="325">
        <f t="shared" si="27"/>
        <v>-3461234.9994980246</v>
      </c>
      <c r="AH97" s="325">
        <f t="shared" si="27"/>
        <v>-25711695.562819511</v>
      </c>
      <c r="AI97" s="325">
        <f t="shared" si="27"/>
        <v>-151332491.18407035</v>
      </c>
      <c r="AJ97" s="325">
        <f t="shared" si="27"/>
        <v>0</v>
      </c>
      <c r="AK97" s="325">
        <f t="shared" si="27"/>
        <v>0</v>
      </c>
      <c r="AL97" s="325">
        <f t="shared" si="27"/>
        <v>0</v>
      </c>
      <c r="AM97" s="325">
        <f t="shared" si="27"/>
        <v>0</v>
      </c>
      <c r="AN97" s="325">
        <f t="shared" si="27"/>
        <v>0</v>
      </c>
      <c r="AO97" s="325">
        <f t="shared" si="27"/>
        <v>0</v>
      </c>
      <c r="AP97" s="325">
        <f t="shared" si="27"/>
        <v>0</v>
      </c>
      <c r="AQ97" s="325">
        <f t="shared" si="27"/>
        <v>0</v>
      </c>
      <c r="AR97" s="325">
        <f t="shared" si="27"/>
        <v>0</v>
      </c>
      <c r="AS97" s="325">
        <f t="shared" si="27"/>
        <v>0</v>
      </c>
      <c r="AT97" s="325">
        <f t="shared" si="27"/>
        <v>0</v>
      </c>
      <c r="AU97" s="325">
        <f t="shared" si="27"/>
        <v>0</v>
      </c>
      <c r="AV97" s="325">
        <f t="shared" si="27"/>
        <v>0</v>
      </c>
      <c r="AW97" s="325">
        <f t="shared" si="27"/>
        <v>0</v>
      </c>
      <c r="AX97" s="325">
        <f t="shared" si="27"/>
        <v>0</v>
      </c>
      <c r="AY97" s="325">
        <f t="shared" si="27"/>
        <v>0</v>
      </c>
      <c r="AZ97" s="325">
        <f t="shared" si="27"/>
        <v>0</v>
      </c>
      <c r="BA97" s="325">
        <f t="shared" si="27"/>
        <v>0</v>
      </c>
      <c r="BB97" s="325">
        <f t="shared" si="27"/>
        <v>0</v>
      </c>
      <c r="BC97" s="325">
        <f t="shared" si="27"/>
        <v>0</v>
      </c>
      <c r="BD97" s="325">
        <f t="shared" si="27"/>
        <v>0</v>
      </c>
      <c r="BE97" s="325">
        <f t="shared" si="27"/>
        <v>0</v>
      </c>
      <c r="BF97" s="325">
        <f t="shared" si="27"/>
        <v>0</v>
      </c>
      <c r="BG97" s="325">
        <f t="shared" si="27"/>
        <v>0</v>
      </c>
      <c r="BH97" s="325">
        <f t="shared" si="27"/>
        <v>0</v>
      </c>
      <c r="BI97" s="325">
        <f t="shared" si="27"/>
        <v>0</v>
      </c>
      <c r="BJ97" s="325">
        <f t="shared" si="27"/>
        <v>0</v>
      </c>
      <c r="BK97" s="325">
        <f t="shared" si="27"/>
        <v>0</v>
      </c>
      <c r="BL97" s="325">
        <f t="shared" si="27"/>
        <v>0</v>
      </c>
      <c r="BM97" s="325">
        <f t="shared" si="27"/>
        <v>0</v>
      </c>
      <c r="BN97" s="325">
        <f t="shared" si="27"/>
        <v>0</v>
      </c>
      <c r="BO97" s="325">
        <f t="shared" si="27"/>
        <v>0</v>
      </c>
      <c r="BP97" s="325">
        <f t="shared" si="27"/>
        <v>0</v>
      </c>
      <c r="BQ97" s="325">
        <f t="shared" ref="BQ97:BX97" si="28">(BQ18+BQ25+BQ28+BQ36+BQ39+BQ48+BQ54+BQ62+BQ86+BQ89)</f>
        <v>0</v>
      </c>
      <c r="BR97" s="325">
        <f t="shared" si="28"/>
        <v>0</v>
      </c>
      <c r="BS97" s="325">
        <f t="shared" si="28"/>
        <v>0</v>
      </c>
      <c r="BT97" s="325">
        <f t="shared" si="28"/>
        <v>0</v>
      </c>
      <c r="BU97" s="325">
        <f t="shared" si="28"/>
        <v>0</v>
      </c>
      <c r="BV97" s="325">
        <f t="shared" si="28"/>
        <v>0</v>
      </c>
      <c r="BW97" s="325">
        <f t="shared" si="28"/>
        <v>0</v>
      </c>
      <c r="BX97" s="325">
        <f t="shared" si="28"/>
        <v>0</v>
      </c>
      <c r="BY97" s="626">
        <f>BZ90</f>
        <v>-145365985.29916751</v>
      </c>
      <c r="BZ97" s="627"/>
    </row>
    <row r="98" spans="2:78" ht="16">
      <c r="B98" s="617" t="s">
        <v>340</v>
      </c>
      <c r="C98" s="618"/>
      <c r="D98" s="326"/>
      <c r="E98" s="327">
        <f t="shared" ref="E98:BP98" si="29">E17+E97</f>
        <v>0</v>
      </c>
      <c r="F98" s="327">
        <f t="shared" si="29"/>
        <v>0</v>
      </c>
      <c r="G98" s="327">
        <f t="shared" si="29"/>
        <v>0</v>
      </c>
      <c r="H98" s="327">
        <f t="shared" si="29"/>
        <v>0</v>
      </c>
      <c r="I98" s="327">
        <f t="shared" si="29"/>
        <v>0</v>
      </c>
      <c r="J98" s="327">
        <f t="shared" si="29"/>
        <v>0</v>
      </c>
      <c r="K98" s="327">
        <f t="shared" si="29"/>
        <v>0</v>
      </c>
      <c r="L98" s="327">
        <f t="shared" si="29"/>
        <v>0</v>
      </c>
      <c r="M98" s="328">
        <f t="shared" si="29"/>
        <v>0</v>
      </c>
      <c r="N98" s="327">
        <f t="shared" si="29"/>
        <v>0</v>
      </c>
      <c r="O98" s="328">
        <f t="shared" si="29"/>
        <v>0</v>
      </c>
      <c r="P98" s="328">
        <f t="shared" si="29"/>
        <v>0</v>
      </c>
      <c r="Q98" s="328">
        <f t="shared" si="29"/>
        <v>0</v>
      </c>
      <c r="R98" s="328">
        <f t="shared" si="29"/>
        <v>0</v>
      </c>
      <c r="S98" s="328">
        <f t="shared" si="29"/>
        <v>0</v>
      </c>
      <c r="T98" s="328">
        <f t="shared" si="29"/>
        <v>0</v>
      </c>
      <c r="U98" s="327">
        <f t="shared" si="29"/>
        <v>1800829.9999999963</v>
      </c>
      <c r="V98" s="327">
        <f t="shared" si="29"/>
        <v>2877249.4414049629</v>
      </c>
      <c r="W98" s="327">
        <f t="shared" si="29"/>
        <v>-4381444.6790909097</v>
      </c>
      <c r="X98" s="328">
        <f t="shared" si="29"/>
        <v>-3265</v>
      </c>
      <c r="Y98" s="328">
        <f t="shared" si="29"/>
        <v>-120944.25000000006</v>
      </c>
      <c r="Z98" s="328">
        <f t="shared" si="29"/>
        <v>285485.65000000037</v>
      </c>
      <c r="AA98" s="328">
        <f t="shared" si="29"/>
        <v>-240086.25</v>
      </c>
      <c r="AB98" s="328">
        <f t="shared" si="29"/>
        <v>-183266.57400000095</v>
      </c>
      <c r="AC98" s="327">
        <f t="shared" si="29"/>
        <v>78878.540909091011</v>
      </c>
      <c r="AD98" s="328">
        <f t="shared" si="29"/>
        <v>1281322.0209090933</v>
      </c>
      <c r="AE98" s="328">
        <f t="shared" si="29"/>
        <v>262255.29090909101</v>
      </c>
      <c r="AF98" s="328">
        <f t="shared" si="29"/>
        <v>-162063.0090909088</v>
      </c>
      <c r="AG98" s="328">
        <f t="shared" si="29"/>
        <v>-154144.97781225666</v>
      </c>
      <c r="AH98" s="328">
        <f t="shared" si="29"/>
        <v>-6014.9312282465398</v>
      </c>
      <c r="AI98" s="328">
        <f t="shared" si="29"/>
        <v>46143856.692226738</v>
      </c>
      <c r="AJ98" s="328">
        <f t="shared" si="29"/>
        <v>0</v>
      </c>
      <c r="AK98" s="328">
        <f t="shared" si="29"/>
        <v>0</v>
      </c>
      <c r="AL98" s="328">
        <f t="shared" si="29"/>
        <v>0</v>
      </c>
      <c r="AM98" s="328">
        <f t="shared" si="29"/>
        <v>0</v>
      </c>
      <c r="AN98" s="328">
        <f t="shared" si="29"/>
        <v>0</v>
      </c>
      <c r="AO98" s="327">
        <f t="shared" si="29"/>
        <v>0</v>
      </c>
      <c r="AP98" s="328">
        <f t="shared" si="29"/>
        <v>0</v>
      </c>
      <c r="AQ98" s="328">
        <f t="shared" si="29"/>
        <v>0</v>
      </c>
      <c r="AR98" s="328">
        <f t="shared" si="29"/>
        <v>0</v>
      </c>
      <c r="AS98" s="327">
        <f t="shared" si="29"/>
        <v>0</v>
      </c>
      <c r="AT98" s="327">
        <f t="shared" si="29"/>
        <v>0</v>
      </c>
      <c r="AU98" s="327">
        <f t="shared" si="29"/>
        <v>0</v>
      </c>
      <c r="AV98" s="327">
        <f t="shared" si="29"/>
        <v>0</v>
      </c>
      <c r="AW98" s="327">
        <f t="shared" si="29"/>
        <v>0</v>
      </c>
      <c r="AX98" s="327">
        <f t="shared" si="29"/>
        <v>0</v>
      </c>
      <c r="AY98" s="327">
        <f t="shared" si="29"/>
        <v>0</v>
      </c>
      <c r="AZ98" s="327">
        <f t="shared" si="29"/>
        <v>0</v>
      </c>
      <c r="BA98" s="327">
        <f t="shared" si="29"/>
        <v>0</v>
      </c>
      <c r="BB98" s="327">
        <f t="shared" si="29"/>
        <v>0</v>
      </c>
      <c r="BC98" s="327">
        <f t="shared" si="29"/>
        <v>0</v>
      </c>
      <c r="BD98" s="327">
        <f t="shared" si="29"/>
        <v>0</v>
      </c>
      <c r="BE98" s="327">
        <f t="shared" si="29"/>
        <v>0</v>
      </c>
      <c r="BF98" s="327">
        <f t="shared" si="29"/>
        <v>0</v>
      </c>
      <c r="BG98" s="327">
        <f t="shared" si="29"/>
        <v>0</v>
      </c>
      <c r="BH98" s="327">
        <f t="shared" si="29"/>
        <v>0</v>
      </c>
      <c r="BI98" s="327">
        <f t="shared" si="29"/>
        <v>0</v>
      </c>
      <c r="BJ98" s="327">
        <f t="shared" si="29"/>
        <v>0</v>
      </c>
      <c r="BK98" s="327">
        <f t="shared" si="29"/>
        <v>0</v>
      </c>
      <c r="BL98" s="329">
        <f t="shared" si="29"/>
        <v>0</v>
      </c>
      <c r="BM98" s="329">
        <f t="shared" si="29"/>
        <v>0</v>
      </c>
      <c r="BN98" s="329">
        <f t="shared" si="29"/>
        <v>0</v>
      </c>
      <c r="BO98" s="329">
        <f t="shared" si="29"/>
        <v>0</v>
      </c>
      <c r="BP98" s="329">
        <f t="shared" si="29"/>
        <v>0</v>
      </c>
      <c r="BQ98" s="329">
        <f t="shared" ref="BQ98:BX98" si="30">BQ17+BQ97</f>
        <v>0</v>
      </c>
      <c r="BR98" s="329">
        <f t="shared" si="30"/>
        <v>0</v>
      </c>
      <c r="BS98" s="329">
        <f t="shared" si="30"/>
        <v>0</v>
      </c>
      <c r="BT98" s="329">
        <f t="shared" si="30"/>
        <v>0</v>
      </c>
      <c r="BU98" s="329">
        <f t="shared" si="30"/>
        <v>0</v>
      </c>
      <c r="BV98" s="329">
        <f t="shared" si="30"/>
        <v>0</v>
      </c>
      <c r="BW98" s="329">
        <f t="shared" si="30"/>
        <v>0</v>
      </c>
      <c r="BX98" s="329">
        <f t="shared" si="30"/>
        <v>0</v>
      </c>
      <c r="BY98" s="619">
        <f>BY17+BY89+BY97</f>
        <v>47478647.965136677</v>
      </c>
      <c r="BZ98" s="620"/>
    </row>
    <row r="99" spans="2:78">
      <c r="B99" s="621" t="s">
        <v>341</v>
      </c>
      <c r="C99" s="618"/>
      <c r="D99" s="330"/>
      <c r="E99" s="331">
        <f>E98</f>
        <v>0</v>
      </c>
      <c r="F99" s="331">
        <f t="shared" ref="F99:BQ99" si="31">F98+E99</f>
        <v>0</v>
      </c>
      <c r="G99" s="331">
        <f t="shared" si="31"/>
        <v>0</v>
      </c>
      <c r="H99" s="331">
        <f t="shared" si="31"/>
        <v>0</v>
      </c>
      <c r="I99" s="331">
        <f t="shared" si="31"/>
        <v>0</v>
      </c>
      <c r="J99" s="331">
        <f t="shared" si="31"/>
        <v>0</v>
      </c>
      <c r="K99" s="331">
        <f t="shared" si="31"/>
        <v>0</v>
      </c>
      <c r="L99" s="331">
        <f t="shared" si="31"/>
        <v>0</v>
      </c>
      <c r="M99" s="331">
        <f t="shared" si="31"/>
        <v>0</v>
      </c>
      <c r="N99" s="331">
        <f t="shared" si="31"/>
        <v>0</v>
      </c>
      <c r="O99" s="331">
        <f t="shared" si="31"/>
        <v>0</v>
      </c>
      <c r="P99" s="331">
        <f t="shared" si="31"/>
        <v>0</v>
      </c>
      <c r="Q99" s="331">
        <f t="shared" si="31"/>
        <v>0</v>
      </c>
      <c r="R99" s="331">
        <f t="shared" si="31"/>
        <v>0</v>
      </c>
      <c r="S99" s="331">
        <f t="shared" si="31"/>
        <v>0</v>
      </c>
      <c r="T99" s="331">
        <f t="shared" si="31"/>
        <v>0</v>
      </c>
      <c r="U99" s="331">
        <f t="shared" si="31"/>
        <v>1800829.9999999963</v>
      </c>
      <c r="V99" s="587">
        <f t="shared" si="31"/>
        <v>4678079.4414049592</v>
      </c>
      <c r="W99" s="587">
        <f t="shared" si="31"/>
        <v>296634.76231404953</v>
      </c>
      <c r="X99" s="587">
        <f>X98+W100</f>
        <v>326122</v>
      </c>
      <c r="Y99" s="587">
        <f t="shared" si="31"/>
        <v>205177.74999999994</v>
      </c>
      <c r="Z99" s="587">
        <f t="shared" si="31"/>
        <v>490663.40000000031</v>
      </c>
      <c r="AA99" s="587">
        <f t="shared" si="31"/>
        <v>250577.15000000031</v>
      </c>
      <c r="AB99" s="587">
        <f t="shared" si="31"/>
        <v>67310.575999999361</v>
      </c>
      <c r="AC99" s="587">
        <f t="shared" si="31"/>
        <v>146189.11690909037</v>
      </c>
      <c r="AD99" s="587">
        <f t="shared" si="31"/>
        <v>1427511.1378181837</v>
      </c>
      <c r="AE99" s="587">
        <f t="shared" si="31"/>
        <v>1689766.4287272748</v>
      </c>
      <c r="AF99" s="587">
        <f t="shared" si="31"/>
        <v>1527703.419636366</v>
      </c>
      <c r="AG99" s="587">
        <f t="shared" si="31"/>
        <v>1373558.4418241093</v>
      </c>
      <c r="AH99" s="587">
        <f t="shared" si="31"/>
        <v>1367543.5105958628</v>
      </c>
      <c r="AI99" s="587">
        <f t="shared" si="31"/>
        <v>47511400.202822603</v>
      </c>
      <c r="AJ99" s="331">
        <f t="shared" si="31"/>
        <v>47511400.202822603</v>
      </c>
      <c r="AK99" s="331">
        <f t="shared" si="31"/>
        <v>47511400.202822603</v>
      </c>
      <c r="AL99" s="331">
        <f t="shared" si="31"/>
        <v>47511400.202822603</v>
      </c>
      <c r="AM99" s="331">
        <f t="shared" si="31"/>
        <v>47511400.202822603</v>
      </c>
      <c r="AN99" s="331">
        <f t="shared" si="31"/>
        <v>47511400.202822603</v>
      </c>
      <c r="AO99" s="331">
        <f t="shared" si="31"/>
        <v>47511400.202822603</v>
      </c>
      <c r="AP99" s="331">
        <f t="shared" si="31"/>
        <v>47511400.202822603</v>
      </c>
      <c r="AQ99" s="331">
        <f t="shared" si="31"/>
        <v>47511400.202822603</v>
      </c>
      <c r="AR99" s="331">
        <f t="shared" si="31"/>
        <v>47511400.202822603</v>
      </c>
      <c r="AS99" s="331">
        <f t="shared" si="31"/>
        <v>47511400.202822603</v>
      </c>
      <c r="AT99" s="331">
        <f t="shared" si="31"/>
        <v>47511400.202822603</v>
      </c>
      <c r="AU99" s="331">
        <f t="shared" si="31"/>
        <v>47511400.202822603</v>
      </c>
      <c r="AV99" s="331">
        <f t="shared" si="31"/>
        <v>47511400.202822603</v>
      </c>
      <c r="AW99" s="331">
        <f t="shared" si="31"/>
        <v>47511400.202822603</v>
      </c>
      <c r="AX99" s="331">
        <f t="shared" si="31"/>
        <v>47511400.202822603</v>
      </c>
      <c r="AY99" s="331">
        <f t="shared" si="31"/>
        <v>47511400.202822603</v>
      </c>
      <c r="AZ99" s="331">
        <f t="shared" si="31"/>
        <v>47511400.202822603</v>
      </c>
      <c r="BA99" s="331">
        <f t="shared" si="31"/>
        <v>47511400.202822603</v>
      </c>
      <c r="BB99" s="331">
        <f t="shared" si="31"/>
        <v>47511400.202822603</v>
      </c>
      <c r="BC99" s="331">
        <f t="shared" si="31"/>
        <v>47511400.202822603</v>
      </c>
      <c r="BD99" s="331">
        <f t="shared" si="31"/>
        <v>47511400.202822603</v>
      </c>
      <c r="BE99" s="331">
        <f t="shared" si="31"/>
        <v>47511400.202822603</v>
      </c>
      <c r="BF99" s="331">
        <f t="shared" si="31"/>
        <v>47511400.202822603</v>
      </c>
      <c r="BG99" s="331">
        <f t="shared" si="31"/>
        <v>47511400.202822603</v>
      </c>
      <c r="BH99" s="331">
        <f t="shared" si="31"/>
        <v>47511400.202822603</v>
      </c>
      <c r="BI99" s="331">
        <f t="shared" si="31"/>
        <v>47511400.202822603</v>
      </c>
      <c r="BJ99" s="331">
        <f t="shared" si="31"/>
        <v>47511400.202822603</v>
      </c>
      <c r="BK99" s="331">
        <f t="shared" si="31"/>
        <v>47511400.202822603</v>
      </c>
      <c r="BL99" s="331">
        <f t="shared" si="31"/>
        <v>47511400.202822603</v>
      </c>
      <c r="BM99" s="331">
        <f t="shared" si="31"/>
        <v>47511400.202822603</v>
      </c>
      <c r="BN99" s="331">
        <f t="shared" si="31"/>
        <v>47511400.202822603</v>
      </c>
      <c r="BO99" s="331">
        <f t="shared" si="31"/>
        <v>47511400.202822603</v>
      </c>
      <c r="BP99" s="331">
        <f t="shared" si="31"/>
        <v>47511400.202822603</v>
      </c>
      <c r="BQ99" s="331">
        <f t="shared" si="31"/>
        <v>47511400.202822603</v>
      </c>
      <c r="BR99" s="331">
        <f t="shared" ref="BR99:BX99" si="32">BR98+BQ99</f>
        <v>47511400.202822603</v>
      </c>
      <c r="BS99" s="331">
        <f t="shared" si="32"/>
        <v>47511400.202822603</v>
      </c>
      <c r="BT99" s="331">
        <f t="shared" si="32"/>
        <v>47511400.202822603</v>
      </c>
      <c r="BU99" s="331">
        <f t="shared" si="32"/>
        <v>47511400.202822603</v>
      </c>
      <c r="BV99" s="331">
        <f t="shared" si="32"/>
        <v>47511400.202822603</v>
      </c>
      <c r="BW99" s="331">
        <f t="shared" si="32"/>
        <v>47511400.202822603</v>
      </c>
      <c r="BX99" s="331">
        <f t="shared" si="32"/>
        <v>47511400.202822603</v>
      </c>
      <c r="BY99" s="265"/>
      <c r="BZ99" s="265"/>
    </row>
    <row r="100" spans="2:78">
      <c r="B100" s="265"/>
      <c r="C100" s="265"/>
      <c r="D100" s="265"/>
      <c r="E100" s="265"/>
      <c r="F100" s="265"/>
      <c r="G100" s="265"/>
      <c r="H100" s="265"/>
      <c r="I100" s="265"/>
      <c r="J100" s="265"/>
      <c r="K100" s="265"/>
      <c r="L100" s="265"/>
      <c r="M100" s="265"/>
      <c r="N100" s="265"/>
      <c r="O100" s="265"/>
      <c r="P100" s="265"/>
      <c r="Q100" s="265"/>
      <c r="R100" s="265"/>
      <c r="S100" s="265"/>
      <c r="T100" s="265"/>
      <c r="U100" s="586"/>
      <c r="V100" s="588" t="s">
        <v>342</v>
      </c>
      <c r="W100" s="589">
        <v>329387</v>
      </c>
      <c r="X100" s="589">
        <v>326122</v>
      </c>
      <c r="Y100" s="589">
        <v>205178</v>
      </c>
      <c r="Z100" s="589">
        <v>437582</v>
      </c>
      <c r="AA100" s="589">
        <v>91770</v>
      </c>
      <c r="AB100" s="589"/>
      <c r="AC100" s="589"/>
      <c r="AD100" s="589"/>
      <c r="AE100" s="589"/>
      <c r="AF100" s="589"/>
      <c r="AG100" s="589"/>
      <c r="AH100" s="589"/>
      <c r="AI100" s="590"/>
      <c r="AJ100" s="586"/>
      <c r="AK100" s="265"/>
      <c r="AL100" s="265"/>
      <c r="AM100" s="265"/>
      <c r="AN100" s="265"/>
      <c r="AO100" s="265"/>
      <c r="AP100" s="265"/>
      <c r="AQ100" s="265"/>
      <c r="AR100" s="265"/>
      <c r="AS100" s="265"/>
      <c r="AT100" s="265"/>
      <c r="AU100" s="265"/>
      <c r="AV100" s="265"/>
      <c r="AW100" s="265"/>
      <c r="AX100" s="265"/>
      <c r="AY100" s="265"/>
      <c r="AZ100" s="265"/>
      <c r="BA100" s="265"/>
      <c r="BB100" s="265"/>
      <c r="BC100" s="265"/>
      <c r="BD100" s="265"/>
      <c r="BE100" s="265"/>
      <c r="BF100" s="265"/>
      <c r="BG100" s="265"/>
      <c r="BH100" s="265"/>
      <c r="BI100" s="265"/>
      <c r="BJ100" s="265"/>
      <c r="BK100" s="265"/>
      <c r="BL100" s="265"/>
      <c r="BM100" s="265"/>
      <c r="BN100" s="265"/>
      <c r="BO100" s="265"/>
      <c r="BP100" s="265"/>
      <c r="BQ100" s="265"/>
      <c r="BR100" s="265"/>
      <c r="BS100" s="265"/>
      <c r="BT100" s="265"/>
      <c r="BU100" s="265"/>
      <c r="BV100" s="265"/>
      <c r="BW100" s="265"/>
      <c r="BX100" s="265"/>
      <c r="BY100" s="332"/>
      <c r="BZ100" s="265"/>
    </row>
    <row r="101" spans="2:78">
      <c r="B101" s="265"/>
      <c r="C101" s="265"/>
      <c r="D101" s="265"/>
      <c r="E101" s="265"/>
      <c r="F101" s="265"/>
      <c r="G101" s="265"/>
      <c r="H101" s="265"/>
      <c r="I101" s="265"/>
      <c r="J101" s="265"/>
      <c r="K101" s="265"/>
      <c r="L101" s="265"/>
      <c r="M101" s="265"/>
      <c r="N101" s="265"/>
      <c r="O101" s="265"/>
      <c r="P101" s="265"/>
      <c r="Q101" s="265"/>
      <c r="R101" s="265"/>
      <c r="S101" s="265"/>
      <c r="T101" s="265"/>
      <c r="U101" s="586"/>
      <c r="V101" s="591" t="s">
        <v>343</v>
      </c>
      <c r="W101" s="585">
        <v>223930</v>
      </c>
      <c r="X101" s="585">
        <v>229918</v>
      </c>
      <c r="Y101" s="585">
        <v>839069</v>
      </c>
      <c r="Z101" s="585">
        <v>62148</v>
      </c>
      <c r="AA101" s="585">
        <v>62148</v>
      </c>
      <c r="AB101" s="585">
        <v>101563</v>
      </c>
      <c r="AC101" s="585"/>
      <c r="AD101" s="585"/>
      <c r="AE101" s="585"/>
      <c r="AF101" s="585"/>
      <c r="AG101" s="585"/>
      <c r="AH101" s="585"/>
      <c r="AI101" s="592"/>
      <c r="AJ101" s="586"/>
      <c r="AK101" s="265"/>
      <c r="AL101" s="265"/>
      <c r="AM101" s="265"/>
      <c r="AN101" s="265"/>
      <c r="AO101" s="265"/>
      <c r="AP101" s="265"/>
      <c r="AQ101" s="265"/>
      <c r="AR101" s="265"/>
      <c r="AS101" s="265"/>
      <c r="AT101" s="265"/>
      <c r="AU101" s="265"/>
      <c r="AV101" s="265"/>
      <c r="AW101" s="265"/>
      <c r="AX101" s="265"/>
      <c r="AY101" s="265"/>
      <c r="AZ101" s="265"/>
      <c r="BA101" s="265"/>
      <c r="BB101" s="265"/>
      <c r="BC101" s="265"/>
      <c r="BD101" s="265"/>
      <c r="BE101" s="265"/>
      <c r="BF101" s="265"/>
      <c r="BG101" s="265"/>
      <c r="BH101" s="265"/>
      <c r="BI101" s="265"/>
      <c r="BJ101" s="265"/>
      <c r="BK101" s="265"/>
      <c r="BL101" s="265"/>
      <c r="BM101" s="265"/>
      <c r="BN101" s="265"/>
      <c r="BO101" s="265"/>
      <c r="BP101" s="265"/>
      <c r="BQ101" s="265"/>
      <c r="BR101" s="265"/>
      <c r="BS101" s="265"/>
      <c r="BT101" s="265"/>
      <c r="BU101" s="265"/>
      <c r="BV101" s="265"/>
      <c r="BW101" s="265"/>
      <c r="BX101" s="265"/>
      <c r="BY101" s="332"/>
      <c r="BZ101" s="265"/>
    </row>
    <row r="102" spans="2:78">
      <c r="B102" s="265"/>
      <c r="C102" s="265"/>
      <c r="D102" s="265"/>
      <c r="E102" s="265"/>
      <c r="F102" s="265"/>
      <c r="G102" s="265"/>
      <c r="H102" s="265"/>
      <c r="I102" s="265"/>
      <c r="J102" s="265"/>
      <c r="K102" s="265"/>
      <c r="L102" s="265"/>
      <c r="M102" s="265"/>
      <c r="N102" s="265"/>
      <c r="O102" s="265"/>
      <c r="P102" s="265"/>
      <c r="Q102" s="265"/>
      <c r="R102" s="265"/>
      <c r="S102" s="265"/>
      <c r="T102" s="265"/>
      <c r="U102" s="586"/>
      <c r="V102" s="591" t="s">
        <v>344</v>
      </c>
      <c r="W102" s="585"/>
      <c r="X102" s="585"/>
      <c r="Y102" s="585"/>
      <c r="Z102" s="585"/>
      <c r="AA102" s="585">
        <v>105726</v>
      </c>
      <c r="AB102" s="585">
        <f>956.65*24.8</f>
        <v>23724.920000000002</v>
      </c>
      <c r="AC102" s="585"/>
      <c r="AD102" s="585"/>
      <c r="AE102" s="585"/>
      <c r="AF102" s="585"/>
      <c r="AG102" s="585"/>
      <c r="AH102" s="585"/>
      <c r="AI102" s="592"/>
      <c r="AJ102" s="586"/>
      <c r="AK102" s="265"/>
      <c r="AL102" s="265"/>
      <c r="AM102" s="265"/>
      <c r="AN102" s="265"/>
      <c r="AO102" s="265"/>
      <c r="AP102" s="265"/>
      <c r="AQ102" s="265"/>
      <c r="AR102" s="265"/>
      <c r="AS102" s="265"/>
      <c r="AT102" s="265"/>
      <c r="AU102" s="265"/>
      <c r="AV102" s="265"/>
      <c r="AW102" s="265"/>
      <c r="AX102" s="265"/>
      <c r="AY102" s="265"/>
      <c r="AZ102" s="265"/>
      <c r="BA102" s="265"/>
      <c r="BB102" s="265"/>
      <c r="BC102" s="265"/>
      <c r="BD102" s="265"/>
      <c r="BE102" s="265"/>
      <c r="BF102" s="265"/>
      <c r="BG102" s="265"/>
      <c r="BH102" s="265"/>
      <c r="BI102" s="265"/>
      <c r="BJ102" s="265"/>
      <c r="BK102" s="265"/>
      <c r="BL102" s="265"/>
      <c r="BM102" s="265"/>
      <c r="BN102" s="265"/>
      <c r="BO102" s="265"/>
      <c r="BP102" s="265"/>
      <c r="BQ102" s="265"/>
      <c r="BR102" s="265"/>
      <c r="BS102" s="265"/>
      <c r="BT102" s="265"/>
      <c r="BU102" s="265"/>
      <c r="BV102" s="265"/>
      <c r="BW102" s="265"/>
      <c r="BX102" s="265"/>
      <c r="BY102" s="332"/>
      <c r="BZ102" s="265"/>
    </row>
    <row r="103" spans="2:78">
      <c r="B103" s="265"/>
      <c r="C103" s="265"/>
      <c r="D103" s="265"/>
      <c r="E103" s="265"/>
      <c r="F103" s="265"/>
      <c r="G103" s="265"/>
      <c r="H103" s="265"/>
      <c r="I103" s="265"/>
      <c r="J103" s="265"/>
      <c r="K103" s="265"/>
      <c r="L103" s="265"/>
      <c r="M103" s="265"/>
      <c r="N103" s="265"/>
      <c r="O103" s="265"/>
      <c r="P103" s="265"/>
      <c r="Q103" s="265"/>
      <c r="R103" s="265"/>
      <c r="S103" s="265"/>
      <c r="T103" s="265"/>
      <c r="U103" s="586"/>
      <c r="V103" s="593"/>
      <c r="W103" s="594"/>
      <c r="X103" s="594"/>
      <c r="Y103" s="594"/>
      <c r="Z103" s="595">
        <f t="shared" ref="Z103:AI103" si="33">SUM(Z100:Z102)</f>
        <v>499730</v>
      </c>
      <c r="AA103" s="595">
        <f t="shared" si="33"/>
        <v>259644</v>
      </c>
      <c r="AB103" s="595">
        <f t="shared" si="33"/>
        <v>125287.92</v>
      </c>
      <c r="AC103" s="595">
        <f t="shared" si="33"/>
        <v>0</v>
      </c>
      <c r="AD103" s="595">
        <f t="shared" si="33"/>
        <v>0</v>
      </c>
      <c r="AE103" s="595">
        <f t="shared" si="33"/>
        <v>0</v>
      </c>
      <c r="AF103" s="595">
        <f t="shared" si="33"/>
        <v>0</v>
      </c>
      <c r="AG103" s="595">
        <f t="shared" si="33"/>
        <v>0</v>
      </c>
      <c r="AH103" s="595">
        <f t="shared" si="33"/>
        <v>0</v>
      </c>
      <c r="AI103" s="596">
        <f t="shared" si="33"/>
        <v>0</v>
      </c>
      <c r="AJ103" s="586"/>
      <c r="AK103" s="265"/>
      <c r="AL103" s="265"/>
      <c r="AM103" s="265"/>
      <c r="AN103" s="265"/>
      <c r="AO103" s="265"/>
      <c r="AP103" s="265"/>
      <c r="AQ103" s="265"/>
      <c r="AR103" s="265"/>
      <c r="AS103" s="265"/>
      <c r="AT103" s="265"/>
      <c r="AU103" s="265"/>
      <c r="AV103" s="265"/>
      <c r="AW103" s="265"/>
      <c r="AX103" s="265"/>
      <c r="AY103" s="265"/>
      <c r="AZ103" s="265"/>
      <c r="BA103" s="265"/>
      <c r="BB103" s="265"/>
      <c r="BC103" s="265"/>
      <c r="BD103" s="265"/>
      <c r="BE103" s="265"/>
      <c r="BF103" s="265"/>
      <c r="BG103" s="265"/>
      <c r="BH103" s="265"/>
      <c r="BI103" s="265"/>
      <c r="BJ103" s="265"/>
      <c r="BK103" s="265"/>
      <c r="BL103" s="265"/>
      <c r="BM103" s="265"/>
      <c r="BN103" s="265"/>
      <c r="BO103" s="265"/>
      <c r="BP103" s="265"/>
      <c r="BQ103" s="265"/>
      <c r="BR103" s="265"/>
      <c r="BS103" s="265"/>
      <c r="BT103" s="265"/>
      <c r="BU103" s="265"/>
      <c r="BV103" s="265"/>
      <c r="BW103" s="265"/>
      <c r="BX103" s="265"/>
      <c r="BY103" s="332"/>
      <c r="BZ103" s="265"/>
    </row>
    <row r="104" spans="2:78">
      <c r="B104" s="265"/>
      <c r="C104" s="265"/>
      <c r="D104" s="265"/>
      <c r="E104" s="265"/>
      <c r="F104" s="265"/>
      <c r="G104" s="265"/>
      <c r="H104" s="265"/>
      <c r="I104" s="265"/>
      <c r="J104" s="265"/>
      <c r="K104" s="265"/>
      <c r="L104" s="265"/>
      <c r="M104" s="265"/>
      <c r="N104" s="265"/>
      <c r="O104" s="265"/>
      <c r="P104" s="265"/>
      <c r="Q104" s="265"/>
      <c r="R104" s="265"/>
      <c r="S104" s="265"/>
      <c r="T104" s="265"/>
      <c r="U104" s="265"/>
      <c r="V104" s="586"/>
      <c r="W104" s="586"/>
      <c r="X104" s="586"/>
      <c r="Y104" s="586"/>
      <c r="Z104" s="586"/>
      <c r="AA104" s="586"/>
      <c r="AB104" s="586"/>
      <c r="AC104" s="586"/>
      <c r="AD104" s="586"/>
      <c r="AE104" s="586"/>
      <c r="AF104" s="586"/>
      <c r="AG104" s="586"/>
      <c r="AH104" s="586"/>
      <c r="AI104" s="586"/>
      <c r="AJ104" s="265"/>
      <c r="AK104" s="265"/>
      <c r="AL104" s="265"/>
      <c r="AM104" s="265"/>
      <c r="AN104" s="265"/>
      <c r="AO104" s="265"/>
      <c r="AP104" s="265"/>
      <c r="AQ104" s="265"/>
      <c r="AR104" s="265"/>
      <c r="AS104" s="265"/>
      <c r="AT104" s="265"/>
      <c r="AU104" s="265"/>
      <c r="AV104" s="265"/>
      <c r="AW104" s="265"/>
      <c r="AX104" s="265"/>
      <c r="AY104" s="265"/>
      <c r="AZ104" s="265"/>
      <c r="BA104" s="265"/>
      <c r="BB104" s="265"/>
      <c r="BC104" s="265"/>
      <c r="BD104" s="265"/>
      <c r="BE104" s="265"/>
      <c r="BF104" s="265"/>
      <c r="BG104" s="265"/>
      <c r="BH104" s="265"/>
      <c r="BI104" s="265"/>
      <c r="BJ104" s="265"/>
      <c r="BK104" s="265"/>
      <c r="BL104" s="265"/>
      <c r="BM104" s="265"/>
      <c r="BN104" s="265"/>
      <c r="BO104" s="265"/>
      <c r="BP104" s="265"/>
      <c r="BQ104" s="265"/>
      <c r="BR104" s="265"/>
      <c r="BS104" s="265"/>
      <c r="BT104" s="265"/>
      <c r="BU104" s="265"/>
      <c r="BV104" s="265"/>
      <c r="BW104" s="265"/>
      <c r="BX104" s="265"/>
      <c r="BY104" s="332"/>
      <c r="BZ104" s="265"/>
    </row>
    <row r="105" spans="2:78" ht="17" hidden="1">
      <c r="B105" s="265"/>
      <c r="C105" s="335" t="s">
        <v>345</v>
      </c>
      <c r="D105" s="622"/>
      <c r="E105" s="623"/>
      <c r="F105" s="623"/>
      <c r="G105" s="623"/>
      <c r="H105" s="623"/>
      <c r="I105" s="623"/>
      <c r="J105" s="623"/>
      <c r="K105" s="623"/>
      <c r="L105" s="623"/>
      <c r="M105" s="623"/>
      <c r="N105" s="623"/>
      <c r="O105" s="623"/>
      <c r="P105" s="623"/>
      <c r="Q105" s="623"/>
      <c r="R105" s="623"/>
      <c r="S105" s="623"/>
      <c r="T105" s="623"/>
      <c r="U105" s="623"/>
      <c r="V105" s="623"/>
      <c r="W105" s="623"/>
      <c r="X105" s="623"/>
      <c r="Y105" s="623"/>
      <c r="Z105" s="623"/>
      <c r="AA105" s="623"/>
      <c r="AB105" s="623"/>
      <c r="AC105" s="623"/>
      <c r="AD105" s="623"/>
      <c r="AE105" s="623"/>
      <c r="AF105" s="623"/>
      <c r="AG105" s="623"/>
      <c r="AH105" s="623"/>
      <c r="AI105" s="623"/>
      <c r="AJ105" s="623"/>
      <c r="AK105" s="623"/>
      <c r="AL105" s="623"/>
      <c r="AM105" s="623"/>
      <c r="AN105" s="623"/>
      <c r="AO105" s="623"/>
      <c r="AP105" s="623"/>
      <c r="AQ105" s="623"/>
      <c r="AR105" s="623"/>
      <c r="AS105" s="623"/>
      <c r="AT105" s="623"/>
      <c r="AU105" s="623"/>
      <c r="AV105" s="623"/>
      <c r="AW105" s="623"/>
      <c r="AX105" s="623"/>
      <c r="AY105" s="623"/>
      <c r="AZ105" s="623"/>
      <c r="BA105" s="623"/>
      <c r="BB105" s="623"/>
      <c r="BC105" s="623"/>
      <c r="BD105" s="623"/>
      <c r="BE105" s="623"/>
      <c r="BF105" s="623"/>
      <c r="BG105" s="623"/>
      <c r="BH105" s="623"/>
      <c r="BI105" s="623"/>
      <c r="BJ105" s="623"/>
      <c r="BK105" s="623"/>
      <c r="BL105" s="623"/>
      <c r="BM105" s="623"/>
      <c r="BN105" s="623"/>
      <c r="BO105" s="623"/>
      <c r="BP105" s="623"/>
      <c r="BQ105" s="623"/>
      <c r="BR105" s="623"/>
      <c r="BS105" s="623"/>
      <c r="BT105" s="623"/>
      <c r="BU105" s="623"/>
      <c r="BV105" s="623"/>
      <c r="BW105" s="624"/>
      <c r="BX105" s="514">
        <f>BX99*C106</f>
        <v>9502280.0405645203</v>
      </c>
      <c r="BY105" s="332"/>
      <c r="BZ105" s="265"/>
    </row>
    <row r="106" spans="2:78" ht="19" hidden="1">
      <c r="B106" s="265"/>
      <c r="C106" s="515">
        <v>0.2</v>
      </c>
      <c r="D106" s="265"/>
      <c r="E106" s="265"/>
      <c r="F106" s="265"/>
      <c r="G106" s="265"/>
      <c r="H106" s="265"/>
      <c r="I106" s="265"/>
      <c r="J106" s="265"/>
      <c r="K106" s="265"/>
      <c r="L106" s="265"/>
      <c r="M106" s="265"/>
      <c r="N106" s="265"/>
      <c r="O106" s="265"/>
      <c r="P106" s="265"/>
      <c r="Q106" s="265"/>
      <c r="R106" s="265"/>
      <c r="S106" s="265"/>
      <c r="T106" s="265"/>
      <c r="U106" s="265"/>
      <c r="V106" s="265"/>
      <c r="W106" s="265"/>
      <c r="X106" s="265"/>
      <c r="Y106" s="265"/>
      <c r="Z106" s="265"/>
      <c r="AA106" s="265"/>
      <c r="AB106" s="265"/>
      <c r="AC106" s="265"/>
      <c r="AD106" s="265"/>
      <c r="AE106" s="265"/>
      <c r="AF106" s="265"/>
      <c r="AG106" s="265"/>
      <c r="AH106" s="265"/>
      <c r="AI106" s="265"/>
      <c r="AJ106" s="265"/>
      <c r="AK106" s="265"/>
      <c r="AL106" s="265"/>
      <c r="AM106" s="265"/>
      <c r="AN106" s="265"/>
      <c r="AO106" s="265"/>
      <c r="AP106" s="265"/>
      <c r="AQ106" s="265"/>
      <c r="AR106" s="265"/>
      <c r="AS106" s="265"/>
      <c r="AT106" s="265"/>
      <c r="AU106" s="265"/>
      <c r="AV106" s="265"/>
      <c r="AW106" s="265"/>
      <c r="AX106" s="265"/>
      <c r="AY106" s="265"/>
      <c r="AZ106" s="265"/>
      <c r="BA106" s="265"/>
      <c r="BB106" s="265"/>
      <c r="BC106" s="265"/>
      <c r="BD106" s="265"/>
      <c r="BE106" s="265"/>
      <c r="BF106" s="265"/>
      <c r="BG106" s="265"/>
      <c r="BH106" s="265"/>
      <c r="BI106" s="265"/>
      <c r="BJ106" s="265"/>
      <c r="BK106" s="265"/>
      <c r="BL106" s="265"/>
      <c r="BM106" s="265"/>
      <c r="BN106" s="265"/>
      <c r="BO106" s="265"/>
      <c r="BP106" s="265"/>
      <c r="BQ106" s="265"/>
      <c r="BR106" s="265"/>
      <c r="BS106" s="265"/>
      <c r="BT106" s="265"/>
      <c r="BU106" s="265"/>
      <c r="BV106" s="265"/>
      <c r="BW106" s="265"/>
      <c r="BX106" s="265"/>
      <c r="BY106" s="332"/>
      <c r="BZ106" s="265"/>
    </row>
    <row r="107" spans="2:78" hidden="1">
      <c r="B107" s="265"/>
      <c r="C107" s="265"/>
      <c r="D107" s="265"/>
      <c r="E107" s="265"/>
      <c r="F107" s="265"/>
      <c r="G107" s="265"/>
      <c r="H107" s="265"/>
      <c r="I107" s="265"/>
      <c r="J107" s="265"/>
      <c r="K107" s="265"/>
      <c r="L107" s="265"/>
      <c r="M107" s="265"/>
      <c r="N107" s="265"/>
      <c r="O107" s="265"/>
      <c r="P107" s="265"/>
      <c r="Q107" s="265"/>
      <c r="R107" s="265"/>
      <c r="S107" s="265"/>
      <c r="T107" s="265"/>
      <c r="U107" s="265"/>
      <c r="V107" s="265"/>
      <c r="W107" s="265"/>
      <c r="X107" s="265"/>
      <c r="Y107" s="265"/>
      <c r="Z107" s="265"/>
      <c r="AA107" s="265"/>
      <c r="AB107" s="265"/>
      <c r="AC107" s="265"/>
      <c r="AD107" s="265"/>
      <c r="AE107" s="265"/>
      <c r="AF107" s="265"/>
      <c r="AG107" s="265"/>
      <c r="AH107" s="265"/>
      <c r="AI107" s="265"/>
      <c r="AJ107" s="265"/>
      <c r="AK107" s="265"/>
      <c r="AL107" s="265"/>
      <c r="AM107" s="265"/>
      <c r="AN107" s="265"/>
      <c r="AO107" s="265"/>
      <c r="AP107" s="265"/>
      <c r="AQ107" s="265"/>
      <c r="AR107" s="265"/>
      <c r="AS107" s="265"/>
      <c r="AT107" s="265"/>
      <c r="AU107" s="265"/>
      <c r="AV107" s="265"/>
      <c r="AW107" s="265"/>
      <c r="AX107" s="265"/>
      <c r="AY107" s="265"/>
      <c r="AZ107" s="265"/>
      <c r="BA107" s="265"/>
      <c r="BB107" s="265"/>
      <c r="BC107" s="265"/>
      <c r="BD107" s="265"/>
      <c r="BE107" s="265"/>
      <c r="BF107" s="265"/>
      <c r="BG107" s="265"/>
      <c r="BH107" s="265"/>
      <c r="BI107" s="265"/>
      <c r="BJ107" s="265"/>
      <c r="BK107" s="265"/>
      <c r="BL107" s="265"/>
      <c r="BM107" s="265"/>
      <c r="BN107" s="265"/>
      <c r="BO107" s="265"/>
      <c r="BP107" s="265"/>
      <c r="BQ107" s="265"/>
      <c r="BR107" s="265"/>
      <c r="BS107" s="265"/>
      <c r="BT107" s="265"/>
      <c r="BU107" s="265"/>
      <c r="BV107" s="265"/>
      <c r="BW107" s="265"/>
      <c r="BX107" s="265"/>
      <c r="BY107" s="332"/>
      <c r="BZ107" s="265"/>
    </row>
    <row r="108" spans="2:78" hidden="1">
      <c r="B108" s="265"/>
      <c r="C108" s="337"/>
      <c r="D108" s="337"/>
      <c r="E108" s="337"/>
      <c r="F108" s="337"/>
      <c r="G108" s="337"/>
      <c r="H108" s="337"/>
      <c r="I108" s="337"/>
      <c r="J108" s="337"/>
      <c r="K108" s="337"/>
      <c r="L108" s="337"/>
      <c r="M108" s="337"/>
      <c r="N108" s="337"/>
      <c r="O108" s="337"/>
      <c r="P108" s="337"/>
      <c r="Q108" s="337"/>
      <c r="R108" s="337"/>
      <c r="S108" s="337"/>
      <c r="T108" s="337"/>
      <c r="U108" s="337"/>
      <c r="V108" s="337"/>
      <c r="W108" s="337"/>
      <c r="X108" s="337"/>
      <c r="Y108" s="337"/>
      <c r="Z108" s="337"/>
      <c r="AA108" s="337"/>
      <c r="AB108" s="337"/>
      <c r="AC108" s="337"/>
      <c r="AD108" s="337"/>
      <c r="AE108" s="337"/>
      <c r="AF108" s="337"/>
      <c r="AG108" s="337"/>
      <c r="AH108" s="337"/>
      <c r="AI108" s="337"/>
      <c r="AJ108" s="337"/>
      <c r="AK108" s="337"/>
      <c r="AL108" s="337"/>
      <c r="AM108" s="337"/>
      <c r="AN108" s="337"/>
      <c r="AO108" s="337"/>
      <c r="AP108" s="337"/>
      <c r="AQ108" s="337"/>
      <c r="AR108" s="337"/>
      <c r="AS108" s="337"/>
      <c r="AT108" s="337"/>
      <c r="AU108" s="337"/>
      <c r="AV108" s="337"/>
      <c r="AW108" s="337"/>
      <c r="AX108" s="337"/>
      <c r="AY108" s="337"/>
      <c r="AZ108" s="337"/>
      <c r="BA108" s="337"/>
      <c r="BB108" s="337"/>
      <c r="BC108" s="337"/>
      <c r="BD108" s="337"/>
      <c r="BE108" s="337"/>
      <c r="BF108" s="337"/>
      <c r="BG108" s="337"/>
      <c r="BH108" s="337"/>
      <c r="BI108" s="337"/>
      <c r="BJ108" s="337"/>
      <c r="BK108" s="337"/>
      <c r="BL108" s="337"/>
      <c r="BM108" s="265"/>
      <c r="BN108" s="265"/>
      <c r="BO108" s="265"/>
      <c r="BP108" s="265"/>
      <c r="BQ108" s="265"/>
      <c r="BR108" s="265"/>
      <c r="BS108" s="265"/>
      <c r="BT108" s="265"/>
      <c r="BU108" s="265"/>
      <c r="BV108" s="265"/>
      <c r="BW108" s="265"/>
      <c r="BX108" s="265"/>
      <c r="BY108" s="265"/>
      <c r="BZ108" s="265"/>
    </row>
    <row r="109" spans="2:78" hidden="1">
      <c r="B109" s="338"/>
      <c r="C109" s="335" t="s">
        <v>346</v>
      </c>
      <c r="D109" s="511"/>
      <c r="E109" s="512">
        <f t="shared" ref="E109:O109" si="34">-(E5+E90)</f>
        <v>0</v>
      </c>
      <c r="F109" s="512">
        <f t="shared" si="34"/>
        <v>0</v>
      </c>
      <c r="G109" s="512">
        <f t="shared" si="34"/>
        <v>0</v>
      </c>
      <c r="H109" s="512">
        <f t="shared" si="34"/>
        <v>0</v>
      </c>
      <c r="I109" s="512">
        <f t="shared" si="34"/>
        <v>0</v>
      </c>
      <c r="J109" s="512">
        <f t="shared" si="34"/>
        <v>0</v>
      </c>
      <c r="K109" s="512">
        <f t="shared" si="34"/>
        <v>0</v>
      </c>
      <c r="L109" s="512">
        <f t="shared" si="34"/>
        <v>0</v>
      </c>
      <c r="M109" s="512">
        <f t="shared" si="34"/>
        <v>0</v>
      </c>
      <c r="N109" s="512">
        <f t="shared" si="34"/>
        <v>0</v>
      </c>
      <c r="O109" s="512">
        <f t="shared" si="34"/>
        <v>0</v>
      </c>
      <c r="P109" s="512">
        <f>-(P5+P6+P90+P91)</f>
        <v>0</v>
      </c>
      <c r="Q109" s="512">
        <f t="shared" ref="Q109:BX109" si="35">-(Q5+Q90)</f>
        <v>0</v>
      </c>
      <c r="R109" s="512">
        <f t="shared" si="35"/>
        <v>0</v>
      </c>
      <c r="S109" s="512">
        <f t="shared" si="35"/>
        <v>0</v>
      </c>
      <c r="T109" s="512">
        <f t="shared" si="35"/>
        <v>0</v>
      </c>
      <c r="U109" s="512">
        <f t="shared" si="35"/>
        <v>0</v>
      </c>
      <c r="V109" s="512">
        <f t="shared" si="35"/>
        <v>0</v>
      </c>
      <c r="W109" s="512">
        <f t="shared" si="35"/>
        <v>0</v>
      </c>
      <c r="X109" s="512">
        <f t="shared" si="35"/>
        <v>0</v>
      </c>
      <c r="Y109" s="512">
        <f t="shared" si="35"/>
        <v>0</v>
      </c>
      <c r="Z109" s="512">
        <f t="shared" si="35"/>
        <v>0</v>
      </c>
      <c r="AA109" s="512">
        <f t="shared" si="35"/>
        <v>0</v>
      </c>
      <c r="AB109" s="512">
        <f t="shared" si="35"/>
        <v>0</v>
      </c>
      <c r="AC109" s="512">
        <f t="shared" si="35"/>
        <v>0</v>
      </c>
      <c r="AD109" s="512">
        <f t="shared" si="35"/>
        <v>0</v>
      </c>
      <c r="AE109" s="512">
        <f t="shared" si="35"/>
        <v>0</v>
      </c>
      <c r="AF109" s="512">
        <f t="shared" si="35"/>
        <v>0</v>
      </c>
      <c r="AG109" s="512">
        <f t="shared" si="35"/>
        <v>0</v>
      </c>
      <c r="AH109" s="512">
        <f t="shared" si="35"/>
        <v>0</v>
      </c>
      <c r="AI109" s="512">
        <f t="shared" si="35"/>
        <v>0</v>
      </c>
      <c r="AJ109" s="512">
        <f t="shared" si="35"/>
        <v>0</v>
      </c>
      <c r="AK109" s="512">
        <f t="shared" si="35"/>
        <v>0</v>
      </c>
      <c r="AL109" s="512">
        <f t="shared" si="35"/>
        <v>0</v>
      </c>
      <c r="AM109" s="512">
        <f t="shared" si="35"/>
        <v>0</v>
      </c>
      <c r="AN109" s="512">
        <f t="shared" si="35"/>
        <v>0</v>
      </c>
      <c r="AO109" s="512">
        <f t="shared" si="35"/>
        <v>0</v>
      </c>
      <c r="AP109" s="512">
        <f t="shared" si="35"/>
        <v>0</v>
      </c>
      <c r="AQ109" s="512">
        <f t="shared" si="35"/>
        <v>0</v>
      </c>
      <c r="AR109" s="512">
        <f t="shared" si="35"/>
        <v>0</v>
      </c>
      <c r="AS109" s="512">
        <f t="shared" si="35"/>
        <v>0</v>
      </c>
      <c r="AT109" s="512">
        <f t="shared" si="35"/>
        <v>0</v>
      </c>
      <c r="AU109" s="512">
        <f t="shared" si="35"/>
        <v>0</v>
      </c>
      <c r="AV109" s="512">
        <f t="shared" si="35"/>
        <v>0</v>
      </c>
      <c r="AW109" s="512">
        <f t="shared" si="35"/>
        <v>0</v>
      </c>
      <c r="AX109" s="512">
        <f t="shared" si="35"/>
        <v>0</v>
      </c>
      <c r="AY109" s="512">
        <f t="shared" si="35"/>
        <v>0</v>
      </c>
      <c r="AZ109" s="512">
        <f t="shared" si="35"/>
        <v>0</v>
      </c>
      <c r="BA109" s="512">
        <f t="shared" si="35"/>
        <v>0</v>
      </c>
      <c r="BB109" s="512">
        <f t="shared" si="35"/>
        <v>0</v>
      </c>
      <c r="BC109" s="512">
        <f t="shared" si="35"/>
        <v>0</v>
      </c>
      <c r="BD109" s="512">
        <f t="shared" si="35"/>
        <v>0</v>
      </c>
      <c r="BE109" s="512">
        <f t="shared" si="35"/>
        <v>0</v>
      </c>
      <c r="BF109" s="512">
        <f t="shared" si="35"/>
        <v>0</v>
      </c>
      <c r="BG109" s="512">
        <f t="shared" si="35"/>
        <v>0</v>
      </c>
      <c r="BH109" s="512">
        <f t="shared" si="35"/>
        <v>0</v>
      </c>
      <c r="BI109" s="512">
        <f t="shared" si="35"/>
        <v>0</v>
      </c>
      <c r="BJ109" s="512">
        <f t="shared" si="35"/>
        <v>0</v>
      </c>
      <c r="BK109" s="512">
        <f t="shared" si="35"/>
        <v>0</v>
      </c>
      <c r="BL109" s="512">
        <f t="shared" si="35"/>
        <v>0</v>
      </c>
      <c r="BM109" s="512">
        <f t="shared" si="35"/>
        <v>0</v>
      </c>
      <c r="BN109" s="512">
        <f t="shared" si="35"/>
        <v>0</v>
      </c>
      <c r="BO109" s="512">
        <f t="shared" si="35"/>
        <v>0</v>
      </c>
      <c r="BP109" s="512">
        <f t="shared" si="35"/>
        <v>0</v>
      </c>
      <c r="BQ109" s="512">
        <f t="shared" si="35"/>
        <v>0</v>
      </c>
      <c r="BR109" s="512">
        <f t="shared" si="35"/>
        <v>0</v>
      </c>
      <c r="BS109" s="512">
        <f t="shared" si="35"/>
        <v>0</v>
      </c>
      <c r="BT109" s="512">
        <f t="shared" si="35"/>
        <v>0</v>
      </c>
      <c r="BU109" s="512">
        <f t="shared" si="35"/>
        <v>0</v>
      </c>
      <c r="BV109" s="512">
        <f t="shared" si="35"/>
        <v>0</v>
      </c>
      <c r="BW109" s="512">
        <f t="shared" si="35"/>
        <v>0</v>
      </c>
      <c r="BX109" s="512">
        <f t="shared" si="35"/>
        <v>0</v>
      </c>
      <c r="BY109" s="265"/>
      <c r="BZ109" s="265"/>
    </row>
    <row r="110" spans="2:78" hidden="1">
      <c r="B110" s="338"/>
      <c r="C110" s="335" t="s">
        <v>347</v>
      </c>
      <c r="D110" s="516"/>
      <c r="E110" s="511"/>
      <c r="F110" s="511"/>
      <c r="G110" s="511"/>
      <c r="H110" s="511"/>
      <c r="I110" s="511"/>
      <c r="J110" s="511"/>
      <c r="K110" s="511"/>
      <c r="L110" s="511"/>
      <c r="M110" s="511"/>
      <c r="N110" s="511"/>
      <c r="O110" s="511"/>
      <c r="P110" s="511"/>
      <c r="Q110" s="511"/>
      <c r="R110" s="511"/>
      <c r="S110" s="511"/>
      <c r="T110" s="511"/>
      <c r="U110" s="511"/>
      <c r="V110" s="511"/>
      <c r="W110" s="511"/>
      <c r="X110" s="511"/>
      <c r="Y110" s="511"/>
      <c r="Z110" s="511"/>
      <c r="AA110" s="511"/>
      <c r="AB110" s="511"/>
      <c r="AC110" s="511"/>
      <c r="AD110" s="511"/>
      <c r="AE110" s="511"/>
      <c r="AF110" s="511"/>
      <c r="AG110" s="511"/>
      <c r="AH110" s="511"/>
      <c r="AI110" s="511"/>
      <c r="AJ110" s="511"/>
      <c r="AK110" s="511"/>
      <c r="AL110" s="511"/>
      <c r="AM110" s="511"/>
      <c r="AN110" s="511"/>
      <c r="AO110" s="511"/>
      <c r="AP110" s="511"/>
      <c r="AQ110" s="511"/>
      <c r="AR110" s="511"/>
      <c r="AS110" s="511"/>
      <c r="AT110" s="511"/>
      <c r="AU110" s="511"/>
      <c r="AV110" s="511"/>
      <c r="AW110" s="511"/>
      <c r="AX110" s="511"/>
      <c r="AY110" s="511"/>
      <c r="AZ110" s="511"/>
      <c r="BA110" s="511"/>
      <c r="BB110" s="511"/>
      <c r="BC110" s="511"/>
      <c r="BD110" s="511"/>
      <c r="BE110" s="511"/>
      <c r="BF110" s="511"/>
      <c r="BG110" s="511"/>
      <c r="BH110" s="511"/>
      <c r="BI110" s="511"/>
      <c r="BJ110" s="511"/>
      <c r="BK110" s="511"/>
      <c r="BL110" s="511"/>
      <c r="BM110" s="511"/>
      <c r="BN110" s="511"/>
      <c r="BO110" s="511"/>
      <c r="BP110" s="511"/>
      <c r="BQ110" s="511"/>
      <c r="BR110" s="511"/>
      <c r="BS110" s="511"/>
      <c r="BT110" s="511"/>
      <c r="BU110" s="511"/>
      <c r="BV110" s="511"/>
      <c r="BW110" s="511"/>
      <c r="BX110" s="511"/>
      <c r="BY110" s="265"/>
      <c r="BZ110" s="265"/>
    </row>
    <row r="111" spans="2:78" hidden="1">
      <c r="B111" s="338"/>
      <c r="C111" s="335" t="s">
        <v>348</v>
      </c>
      <c r="D111" s="516"/>
      <c r="E111" s="511">
        <f t="shared" ref="E111:BX111" si="36">-E55</f>
        <v>0</v>
      </c>
      <c r="F111" s="511">
        <f t="shared" si="36"/>
        <v>0</v>
      </c>
      <c r="G111" s="511">
        <f t="shared" si="36"/>
        <v>0</v>
      </c>
      <c r="H111" s="511">
        <f t="shared" si="36"/>
        <v>0</v>
      </c>
      <c r="I111" s="511">
        <f t="shared" si="36"/>
        <v>0</v>
      </c>
      <c r="J111" s="511">
        <f t="shared" si="36"/>
        <v>0</v>
      </c>
      <c r="K111" s="511">
        <f t="shared" si="36"/>
        <v>0</v>
      </c>
      <c r="L111" s="511">
        <f t="shared" si="36"/>
        <v>0</v>
      </c>
      <c r="M111" s="511">
        <f t="shared" si="36"/>
        <v>0</v>
      </c>
      <c r="N111" s="511">
        <f t="shared" si="36"/>
        <v>0</v>
      </c>
      <c r="O111" s="511">
        <f t="shared" si="36"/>
        <v>0</v>
      </c>
      <c r="P111" s="511">
        <f t="shared" si="36"/>
        <v>0</v>
      </c>
      <c r="Q111" s="511">
        <f t="shared" si="36"/>
        <v>0</v>
      </c>
      <c r="R111" s="511">
        <f t="shared" si="36"/>
        <v>0</v>
      </c>
      <c r="S111" s="511">
        <f t="shared" si="36"/>
        <v>0</v>
      </c>
      <c r="T111" s="511">
        <f t="shared" si="36"/>
        <v>0</v>
      </c>
      <c r="U111" s="511">
        <f t="shared" si="36"/>
        <v>0</v>
      </c>
      <c r="V111" s="511">
        <f t="shared" si="36"/>
        <v>0</v>
      </c>
      <c r="W111" s="511">
        <f t="shared" si="36"/>
        <v>0</v>
      </c>
      <c r="X111" s="511">
        <f t="shared" si="36"/>
        <v>0</v>
      </c>
      <c r="Y111" s="511">
        <f t="shared" si="36"/>
        <v>0</v>
      </c>
      <c r="Z111" s="511">
        <f t="shared" si="36"/>
        <v>0</v>
      </c>
      <c r="AA111" s="511">
        <f t="shared" si="36"/>
        <v>0</v>
      </c>
      <c r="AB111" s="511">
        <f t="shared" si="36"/>
        <v>0</v>
      </c>
      <c r="AC111" s="511">
        <f t="shared" si="36"/>
        <v>0</v>
      </c>
      <c r="AD111" s="511">
        <f t="shared" si="36"/>
        <v>0</v>
      </c>
      <c r="AE111" s="511">
        <f t="shared" si="36"/>
        <v>0</v>
      </c>
      <c r="AF111" s="511">
        <f t="shared" si="36"/>
        <v>0</v>
      </c>
      <c r="AG111" s="511">
        <f t="shared" si="36"/>
        <v>0</v>
      </c>
      <c r="AH111" s="511">
        <f t="shared" si="36"/>
        <v>0</v>
      </c>
      <c r="AI111" s="511">
        <f t="shared" si="36"/>
        <v>0</v>
      </c>
      <c r="AJ111" s="511">
        <f t="shared" si="36"/>
        <v>0</v>
      </c>
      <c r="AK111" s="511">
        <f t="shared" si="36"/>
        <v>0</v>
      </c>
      <c r="AL111" s="511">
        <f t="shared" si="36"/>
        <v>0</v>
      </c>
      <c r="AM111" s="511">
        <f t="shared" si="36"/>
        <v>0</v>
      </c>
      <c r="AN111" s="511">
        <f t="shared" si="36"/>
        <v>0</v>
      </c>
      <c r="AO111" s="511">
        <f t="shared" si="36"/>
        <v>0</v>
      </c>
      <c r="AP111" s="511">
        <f t="shared" si="36"/>
        <v>0</v>
      </c>
      <c r="AQ111" s="511">
        <f t="shared" si="36"/>
        <v>0</v>
      </c>
      <c r="AR111" s="511">
        <f t="shared" si="36"/>
        <v>0</v>
      </c>
      <c r="AS111" s="511">
        <f t="shared" si="36"/>
        <v>0</v>
      </c>
      <c r="AT111" s="511">
        <f t="shared" si="36"/>
        <v>0</v>
      </c>
      <c r="AU111" s="511">
        <f t="shared" si="36"/>
        <v>0</v>
      </c>
      <c r="AV111" s="511">
        <f t="shared" si="36"/>
        <v>0</v>
      </c>
      <c r="AW111" s="511">
        <f t="shared" si="36"/>
        <v>0</v>
      </c>
      <c r="AX111" s="511">
        <f t="shared" si="36"/>
        <v>0</v>
      </c>
      <c r="AY111" s="511">
        <f t="shared" si="36"/>
        <v>0</v>
      </c>
      <c r="AZ111" s="511">
        <f t="shared" si="36"/>
        <v>0</v>
      </c>
      <c r="BA111" s="511">
        <f t="shared" si="36"/>
        <v>0</v>
      </c>
      <c r="BB111" s="511">
        <f t="shared" si="36"/>
        <v>0</v>
      </c>
      <c r="BC111" s="511">
        <f t="shared" si="36"/>
        <v>0</v>
      </c>
      <c r="BD111" s="511">
        <f t="shared" si="36"/>
        <v>0</v>
      </c>
      <c r="BE111" s="511">
        <f t="shared" si="36"/>
        <v>0</v>
      </c>
      <c r="BF111" s="511">
        <f t="shared" si="36"/>
        <v>0</v>
      </c>
      <c r="BG111" s="511">
        <f t="shared" si="36"/>
        <v>0</v>
      </c>
      <c r="BH111" s="511">
        <f t="shared" si="36"/>
        <v>0</v>
      </c>
      <c r="BI111" s="511">
        <f t="shared" si="36"/>
        <v>0</v>
      </c>
      <c r="BJ111" s="511">
        <f t="shared" si="36"/>
        <v>0</v>
      </c>
      <c r="BK111" s="511">
        <f t="shared" si="36"/>
        <v>0</v>
      </c>
      <c r="BL111" s="511">
        <f t="shared" si="36"/>
        <v>0</v>
      </c>
      <c r="BM111" s="511">
        <f t="shared" si="36"/>
        <v>0</v>
      </c>
      <c r="BN111" s="511">
        <f t="shared" si="36"/>
        <v>0</v>
      </c>
      <c r="BO111" s="511">
        <f t="shared" si="36"/>
        <v>0</v>
      </c>
      <c r="BP111" s="511">
        <f t="shared" si="36"/>
        <v>0</v>
      </c>
      <c r="BQ111" s="511">
        <f t="shared" si="36"/>
        <v>0</v>
      </c>
      <c r="BR111" s="511">
        <f t="shared" si="36"/>
        <v>0</v>
      </c>
      <c r="BS111" s="511">
        <f t="shared" si="36"/>
        <v>0</v>
      </c>
      <c r="BT111" s="511">
        <f t="shared" si="36"/>
        <v>0</v>
      </c>
      <c r="BU111" s="511">
        <f t="shared" si="36"/>
        <v>0</v>
      </c>
      <c r="BV111" s="511">
        <f t="shared" si="36"/>
        <v>0</v>
      </c>
      <c r="BW111" s="511">
        <f t="shared" si="36"/>
        <v>0</v>
      </c>
      <c r="BX111" s="511">
        <f t="shared" si="36"/>
        <v>0</v>
      </c>
      <c r="BY111" s="265"/>
      <c r="BZ111" s="265"/>
    </row>
    <row r="112" spans="2:78" hidden="1">
      <c r="B112" s="338"/>
      <c r="C112" s="335" t="s">
        <v>349</v>
      </c>
      <c r="D112" s="516"/>
      <c r="E112" s="511"/>
      <c r="F112" s="511"/>
      <c r="G112" s="511"/>
      <c r="H112" s="511"/>
      <c r="I112" s="511"/>
      <c r="J112" s="511"/>
      <c r="K112" s="511"/>
      <c r="L112" s="511"/>
      <c r="M112" s="511"/>
      <c r="N112" s="511"/>
      <c r="O112" s="511"/>
      <c r="P112" s="511"/>
      <c r="Q112" s="511"/>
      <c r="R112" s="511"/>
      <c r="S112" s="511"/>
      <c r="T112" s="511"/>
      <c r="U112" s="511"/>
      <c r="V112" s="511"/>
      <c r="W112" s="511"/>
      <c r="X112" s="511"/>
      <c r="Y112" s="511"/>
      <c r="Z112" s="511"/>
      <c r="AA112" s="511"/>
      <c r="AB112" s="511"/>
      <c r="AC112" s="511"/>
      <c r="AD112" s="511"/>
      <c r="AE112" s="511"/>
      <c r="AF112" s="511"/>
      <c r="AG112" s="511"/>
      <c r="AH112" s="511"/>
      <c r="AI112" s="511"/>
      <c r="AJ112" s="511"/>
      <c r="AK112" s="511"/>
      <c r="AL112" s="511"/>
      <c r="AM112" s="511"/>
      <c r="AN112" s="511"/>
      <c r="AO112" s="511"/>
      <c r="AP112" s="511"/>
      <c r="AQ112" s="511"/>
      <c r="AR112" s="511"/>
      <c r="AS112" s="511"/>
      <c r="AT112" s="511"/>
      <c r="AU112" s="511"/>
      <c r="AV112" s="511"/>
      <c r="AW112" s="511"/>
      <c r="AX112" s="511"/>
      <c r="AY112" s="511"/>
      <c r="AZ112" s="511"/>
      <c r="BA112" s="511"/>
      <c r="BB112" s="511"/>
      <c r="BC112" s="511"/>
      <c r="BD112" s="511"/>
      <c r="BE112" s="511"/>
      <c r="BF112" s="511"/>
      <c r="BG112" s="511"/>
      <c r="BH112" s="511"/>
      <c r="BI112" s="511"/>
      <c r="BJ112" s="511"/>
      <c r="BK112" s="511"/>
      <c r="BL112" s="511"/>
      <c r="BM112" s="511"/>
      <c r="BN112" s="511"/>
      <c r="BO112" s="511"/>
      <c r="BP112" s="511"/>
      <c r="BQ112" s="511"/>
      <c r="BR112" s="511"/>
      <c r="BS112" s="511"/>
      <c r="BT112" s="511"/>
      <c r="BU112" s="511"/>
      <c r="BV112" s="511"/>
      <c r="BW112" s="511"/>
      <c r="BX112" s="511" t="e">
        <f>IF(#REF!&gt;0.25,(BX99-BX105)*D114,BX99*D114)</f>
        <v>#REF!</v>
      </c>
      <c r="BY112" s="265"/>
      <c r="BZ112" s="265"/>
    </row>
    <row r="113" spans="3:76" hidden="1">
      <c r="C113" s="335" t="s">
        <v>345</v>
      </c>
      <c r="D113" s="516"/>
      <c r="E113" s="511"/>
      <c r="F113" s="511"/>
      <c r="G113" s="511"/>
      <c r="H113" s="511"/>
      <c r="I113" s="511"/>
      <c r="J113" s="511"/>
      <c r="K113" s="511"/>
      <c r="L113" s="511"/>
      <c r="M113" s="511"/>
      <c r="N113" s="511"/>
      <c r="O113" s="511"/>
      <c r="P113" s="511"/>
      <c r="Q113" s="511"/>
      <c r="R113" s="511"/>
      <c r="S113" s="511"/>
      <c r="T113" s="511"/>
      <c r="U113" s="511"/>
      <c r="V113" s="511"/>
      <c r="W113" s="511"/>
      <c r="X113" s="511"/>
      <c r="Y113" s="511"/>
      <c r="Z113" s="511"/>
      <c r="AA113" s="511"/>
      <c r="AB113" s="511"/>
      <c r="AC113" s="511"/>
      <c r="AD113" s="511"/>
      <c r="AE113" s="511"/>
      <c r="AF113" s="511"/>
      <c r="AG113" s="511"/>
      <c r="AH113" s="511"/>
      <c r="AI113" s="511"/>
      <c r="AJ113" s="511"/>
      <c r="AK113" s="511"/>
      <c r="AL113" s="511"/>
      <c r="AM113" s="511"/>
      <c r="AN113" s="511"/>
      <c r="AO113" s="511"/>
      <c r="AP113" s="511"/>
      <c r="AQ113" s="511"/>
      <c r="AR113" s="511"/>
      <c r="AS113" s="511"/>
      <c r="AT113" s="511"/>
      <c r="AU113" s="511"/>
      <c r="AV113" s="511"/>
      <c r="AW113" s="511"/>
      <c r="AX113" s="511"/>
      <c r="AY113" s="511"/>
      <c r="AZ113" s="511"/>
      <c r="BA113" s="511"/>
      <c r="BB113" s="511"/>
      <c r="BC113" s="511"/>
      <c r="BD113" s="511"/>
      <c r="BE113" s="511"/>
      <c r="BF113" s="511"/>
      <c r="BG113" s="511"/>
      <c r="BH113" s="511"/>
      <c r="BI113" s="511"/>
      <c r="BJ113" s="511"/>
      <c r="BK113" s="511"/>
      <c r="BL113" s="511"/>
      <c r="BM113" s="511"/>
      <c r="BN113" s="511"/>
      <c r="BO113" s="511"/>
      <c r="BP113" s="511"/>
      <c r="BQ113" s="511"/>
      <c r="BR113" s="511"/>
      <c r="BS113" s="511"/>
      <c r="BT113" s="511"/>
      <c r="BU113" s="511"/>
      <c r="BV113" s="511"/>
      <c r="BW113" s="511"/>
      <c r="BX113" s="511" t="e">
        <f>IF(#REF!&gt;0.25,BX105,0)</f>
        <v>#REF!</v>
      </c>
    </row>
    <row r="114" spans="3:76" hidden="1">
      <c r="C114" s="513" t="s">
        <v>350</v>
      </c>
      <c r="D114" s="516">
        <v>0</v>
      </c>
      <c r="E114" s="283"/>
      <c r="F114" s="283"/>
      <c r="G114" s="283"/>
      <c r="H114" s="283"/>
      <c r="I114" s="283"/>
      <c r="J114" s="283"/>
      <c r="K114" s="283"/>
      <c r="L114" s="283"/>
      <c r="M114" s="283"/>
      <c r="N114" s="283"/>
      <c r="O114" s="283"/>
      <c r="P114" s="283"/>
      <c r="Q114" s="283"/>
      <c r="R114" s="283"/>
      <c r="S114" s="283"/>
      <c r="T114" s="283"/>
      <c r="U114" s="283"/>
      <c r="V114" s="283"/>
      <c r="W114" s="283"/>
      <c r="X114" s="283"/>
      <c r="Y114" s="283"/>
      <c r="Z114" s="283"/>
      <c r="AA114" s="283"/>
      <c r="AB114" s="283"/>
      <c r="AC114" s="283"/>
      <c r="AD114" s="283"/>
      <c r="AE114" s="283"/>
      <c r="AF114" s="283"/>
      <c r="AG114" s="283"/>
      <c r="AH114" s="283"/>
      <c r="AI114" s="283"/>
      <c r="AJ114" s="283"/>
      <c r="AK114" s="283"/>
      <c r="AL114" s="283"/>
      <c r="AM114" s="283"/>
      <c r="AN114" s="283"/>
      <c r="AO114" s="283"/>
      <c r="AP114" s="283"/>
      <c r="AQ114" s="283"/>
      <c r="AR114" s="283"/>
      <c r="AS114" s="283"/>
      <c r="AT114" s="283"/>
      <c r="AU114" s="283"/>
      <c r="AV114" s="283"/>
      <c r="AW114" s="283"/>
      <c r="AX114" s="283"/>
      <c r="AY114" s="283"/>
      <c r="AZ114" s="283"/>
      <c r="BA114" s="283"/>
      <c r="BB114" s="283"/>
      <c r="BC114" s="339"/>
      <c r="BD114" s="283"/>
      <c r="BE114" s="283"/>
      <c r="BF114" s="283"/>
      <c r="BG114" s="283"/>
      <c r="BH114" s="283"/>
      <c r="BI114" s="283"/>
      <c r="BJ114" s="283"/>
      <c r="BK114" s="283"/>
      <c r="BL114" s="283"/>
      <c r="BM114" s="283"/>
      <c r="BN114" s="283"/>
      <c r="BO114" s="283"/>
      <c r="BP114" s="283"/>
      <c r="BQ114" s="283"/>
      <c r="BR114" s="283"/>
      <c r="BS114" s="283"/>
      <c r="BT114" s="283"/>
      <c r="BU114" s="283"/>
      <c r="BV114" s="283"/>
      <c r="BW114" s="283"/>
      <c r="BX114" s="283"/>
    </row>
    <row r="115" spans="3:76" hidden="1">
      <c r="C115" s="335" t="s">
        <v>351</v>
      </c>
      <c r="D115" s="336"/>
      <c r="E115" s="517">
        <f t="shared" ref="E115:BW115" si="37">E109+E110+E111+E112+E114</f>
        <v>0</v>
      </c>
      <c r="F115" s="517">
        <f t="shared" si="37"/>
        <v>0</v>
      </c>
      <c r="G115" s="517">
        <f t="shared" si="37"/>
        <v>0</v>
      </c>
      <c r="H115" s="517">
        <f t="shared" si="37"/>
        <v>0</v>
      </c>
      <c r="I115" s="517">
        <f t="shared" si="37"/>
        <v>0</v>
      </c>
      <c r="J115" s="517">
        <f t="shared" si="37"/>
        <v>0</v>
      </c>
      <c r="K115" s="517">
        <f t="shared" si="37"/>
        <v>0</v>
      </c>
      <c r="L115" s="517">
        <f t="shared" si="37"/>
        <v>0</v>
      </c>
      <c r="M115" s="517">
        <f t="shared" si="37"/>
        <v>0</v>
      </c>
      <c r="N115" s="517">
        <f t="shared" si="37"/>
        <v>0</v>
      </c>
      <c r="O115" s="517">
        <f t="shared" si="37"/>
        <v>0</v>
      </c>
      <c r="P115" s="517">
        <f t="shared" si="37"/>
        <v>0</v>
      </c>
      <c r="Q115" s="517">
        <f t="shared" si="37"/>
        <v>0</v>
      </c>
      <c r="R115" s="517">
        <f t="shared" si="37"/>
        <v>0</v>
      </c>
      <c r="S115" s="517">
        <f t="shared" si="37"/>
        <v>0</v>
      </c>
      <c r="T115" s="517">
        <f t="shared" si="37"/>
        <v>0</v>
      </c>
      <c r="U115" s="517">
        <f t="shared" si="37"/>
        <v>0</v>
      </c>
      <c r="V115" s="517">
        <f t="shared" si="37"/>
        <v>0</v>
      </c>
      <c r="W115" s="517">
        <f t="shared" si="37"/>
        <v>0</v>
      </c>
      <c r="X115" s="517">
        <f t="shared" si="37"/>
        <v>0</v>
      </c>
      <c r="Y115" s="517">
        <f t="shared" si="37"/>
        <v>0</v>
      </c>
      <c r="Z115" s="517">
        <f t="shared" si="37"/>
        <v>0</v>
      </c>
      <c r="AA115" s="517">
        <f t="shared" si="37"/>
        <v>0</v>
      </c>
      <c r="AB115" s="517">
        <f t="shared" si="37"/>
        <v>0</v>
      </c>
      <c r="AC115" s="517">
        <f t="shared" si="37"/>
        <v>0</v>
      </c>
      <c r="AD115" s="517">
        <f t="shared" si="37"/>
        <v>0</v>
      </c>
      <c r="AE115" s="517">
        <f t="shared" si="37"/>
        <v>0</v>
      </c>
      <c r="AF115" s="517">
        <f t="shared" si="37"/>
        <v>0</v>
      </c>
      <c r="AG115" s="517">
        <f t="shared" si="37"/>
        <v>0</v>
      </c>
      <c r="AH115" s="517">
        <f t="shared" si="37"/>
        <v>0</v>
      </c>
      <c r="AI115" s="517">
        <f t="shared" si="37"/>
        <v>0</v>
      </c>
      <c r="AJ115" s="517">
        <f t="shared" si="37"/>
        <v>0</v>
      </c>
      <c r="AK115" s="517">
        <f t="shared" si="37"/>
        <v>0</v>
      </c>
      <c r="AL115" s="517">
        <f t="shared" si="37"/>
        <v>0</v>
      </c>
      <c r="AM115" s="517">
        <f t="shared" si="37"/>
        <v>0</v>
      </c>
      <c r="AN115" s="517">
        <f t="shared" si="37"/>
        <v>0</v>
      </c>
      <c r="AO115" s="517">
        <f t="shared" si="37"/>
        <v>0</v>
      </c>
      <c r="AP115" s="517">
        <f t="shared" si="37"/>
        <v>0</v>
      </c>
      <c r="AQ115" s="517">
        <f t="shared" si="37"/>
        <v>0</v>
      </c>
      <c r="AR115" s="517">
        <f t="shared" si="37"/>
        <v>0</v>
      </c>
      <c r="AS115" s="517">
        <f t="shared" si="37"/>
        <v>0</v>
      </c>
      <c r="AT115" s="517">
        <f t="shared" si="37"/>
        <v>0</v>
      </c>
      <c r="AU115" s="517">
        <f t="shared" si="37"/>
        <v>0</v>
      </c>
      <c r="AV115" s="517">
        <f t="shared" si="37"/>
        <v>0</v>
      </c>
      <c r="AW115" s="517">
        <f t="shared" si="37"/>
        <v>0</v>
      </c>
      <c r="AX115" s="517">
        <f t="shared" si="37"/>
        <v>0</v>
      </c>
      <c r="AY115" s="517">
        <f t="shared" si="37"/>
        <v>0</v>
      </c>
      <c r="AZ115" s="517">
        <f t="shared" si="37"/>
        <v>0</v>
      </c>
      <c r="BA115" s="517">
        <f t="shared" si="37"/>
        <v>0</v>
      </c>
      <c r="BB115" s="517">
        <f t="shared" si="37"/>
        <v>0</v>
      </c>
      <c r="BC115" s="517">
        <f t="shared" si="37"/>
        <v>0</v>
      </c>
      <c r="BD115" s="517">
        <f t="shared" si="37"/>
        <v>0</v>
      </c>
      <c r="BE115" s="517">
        <f t="shared" si="37"/>
        <v>0</v>
      </c>
      <c r="BF115" s="517">
        <f t="shared" si="37"/>
        <v>0</v>
      </c>
      <c r="BG115" s="517">
        <f t="shared" si="37"/>
        <v>0</v>
      </c>
      <c r="BH115" s="517">
        <f t="shared" si="37"/>
        <v>0</v>
      </c>
      <c r="BI115" s="517">
        <f t="shared" si="37"/>
        <v>0</v>
      </c>
      <c r="BJ115" s="517">
        <f t="shared" si="37"/>
        <v>0</v>
      </c>
      <c r="BK115" s="517">
        <f t="shared" si="37"/>
        <v>0</v>
      </c>
      <c r="BL115" s="517">
        <f t="shared" si="37"/>
        <v>0</v>
      </c>
      <c r="BM115" s="517">
        <f t="shared" si="37"/>
        <v>0</v>
      </c>
      <c r="BN115" s="517">
        <f t="shared" si="37"/>
        <v>0</v>
      </c>
      <c r="BO115" s="517">
        <f t="shared" si="37"/>
        <v>0</v>
      </c>
      <c r="BP115" s="517">
        <f t="shared" si="37"/>
        <v>0</v>
      </c>
      <c r="BQ115" s="517">
        <f t="shared" si="37"/>
        <v>0</v>
      </c>
      <c r="BR115" s="517">
        <f t="shared" si="37"/>
        <v>0</v>
      </c>
      <c r="BS115" s="517">
        <f t="shared" si="37"/>
        <v>0</v>
      </c>
      <c r="BT115" s="517">
        <f t="shared" si="37"/>
        <v>0</v>
      </c>
      <c r="BU115" s="517">
        <f t="shared" si="37"/>
        <v>0</v>
      </c>
      <c r="BV115" s="517">
        <f t="shared" si="37"/>
        <v>0</v>
      </c>
      <c r="BW115" s="517">
        <f t="shared" si="37"/>
        <v>0</v>
      </c>
      <c r="BX115" s="517" t="e">
        <f>BX109+BX110+BX111+BX112+BX113+BX114</f>
        <v>#REF!</v>
      </c>
    </row>
    <row r="116" spans="3:76" hidden="1">
      <c r="C116" s="513" t="s">
        <v>352</v>
      </c>
      <c r="D116" s="518" t="e">
        <f>IRR(E115:BX115)*12</f>
        <v>#VALUE!</v>
      </c>
      <c r="E116" s="265"/>
      <c r="F116" s="265"/>
      <c r="G116" s="265"/>
      <c r="H116" s="265"/>
      <c r="I116" s="265"/>
      <c r="J116" s="265"/>
      <c r="K116" s="265"/>
      <c r="L116" s="265"/>
      <c r="M116" s="265"/>
      <c r="N116" s="265"/>
      <c r="O116" s="265"/>
      <c r="P116" s="265"/>
      <c r="Q116" s="265"/>
      <c r="R116" s="265"/>
      <c r="S116" s="265"/>
      <c r="T116" s="265"/>
      <c r="U116" s="265"/>
      <c r="V116" s="265"/>
      <c r="W116" s="265"/>
      <c r="X116" s="265"/>
      <c r="Y116" s="265"/>
      <c r="Z116" s="265"/>
      <c r="AA116" s="265"/>
      <c r="AB116" s="265"/>
      <c r="AC116" s="265"/>
      <c r="AD116" s="265"/>
      <c r="AE116" s="265"/>
      <c r="AF116" s="265"/>
      <c r="AG116" s="265"/>
      <c r="AH116" s="265"/>
      <c r="AI116" s="265"/>
      <c r="AJ116" s="265"/>
      <c r="AK116" s="265"/>
      <c r="AL116" s="265"/>
      <c r="AM116" s="265"/>
      <c r="AN116" s="265"/>
      <c r="AO116" s="265"/>
      <c r="AP116" s="265"/>
      <c r="AQ116" s="265"/>
      <c r="AR116" s="265"/>
      <c r="AS116" s="265"/>
      <c r="AT116" s="265"/>
      <c r="AU116" s="265"/>
      <c r="AV116" s="265"/>
      <c r="AW116" s="265"/>
      <c r="AX116" s="265"/>
      <c r="AY116" s="265"/>
      <c r="AZ116" s="265"/>
      <c r="BA116" s="265"/>
      <c r="BB116" s="265"/>
      <c r="BC116" s="265"/>
      <c r="BD116" s="265"/>
      <c r="BE116" s="265"/>
      <c r="BF116" s="265"/>
      <c r="BG116" s="265"/>
      <c r="BH116" s="265"/>
      <c r="BI116" s="265"/>
      <c r="BJ116" s="265"/>
      <c r="BK116" s="265"/>
      <c r="BL116" s="265"/>
      <c r="BM116" s="265"/>
      <c r="BN116" s="265"/>
      <c r="BO116" s="265"/>
      <c r="BP116" s="265"/>
      <c r="BQ116" s="265"/>
      <c r="BR116" s="265"/>
      <c r="BS116" s="265"/>
      <c r="BT116" s="265"/>
      <c r="BU116" s="265"/>
      <c r="BV116" s="265"/>
      <c r="BW116" s="265"/>
      <c r="BX116" s="265"/>
    </row>
    <row r="117" spans="3:76" hidden="1">
      <c r="C117" s="519" t="s">
        <v>353</v>
      </c>
      <c r="D117" s="520">
        <f>-MIN(E109:BL109)</f>
        <v>0</v>
      </c>
      <c r="E117" s="265"/>
      <c r="F117" s="265"/>
      <c r="G117" s="265"/>
      <c r="H117" s="265"/>
      <c r="I117" s="265"/>
      <c r="J117" s="265"/>
      <c r="K117" s="265"/>
      <c r="L117" s="265"/>
      <c r="M117" s="265"/>
      <c r="N117" s="265"/>
      <c r="O117" s="265"/>
      <c r="P117" s="265"/>
      <c r="Q117" s="265"/>
      <c r="R117" s="265"/>
      <c r="S117" s="265"/>
      <c r="T117" s="265"/>
      <c r="U117" s="265"/>
      <c r="V117" s="265"/>
      <c r="W117" s="265"/>
      <c r="X117" s="265"/>
      <c r="Y117" s="265"/>
      <c r="Z117" s="265"/>
      <c r="AA117" s="265"/>
      <c r="AB117" s="265"/>
      <c r="AC117" s="265"/>
      <c r="AD117" s="265"/>
      <c r="AE117" s="265"/>
      <c r="AF117" s="265"/>
      <c r="AG117" s="265"/>
      <c r="AH117" s="265"/>
      <c r="AI117" s="265"/>
      <c r="AJ117" s="265"/>
      <c r="AK117" s="265"/>
      <c r="AL117" s="265"/>
      <c r="AM117" s="265"/>
      <c r="AN117" s="265"/>
      <c r="AO117" s="265"/>
      <c r="AP117" s="265"/>
      <c r="AQ117" s="265"/>
      <c r="AR117" s="265"/>
      <c r="AS117" s="265"/>
      <c r="AT117" s="265"/>
      <c r="AU117" s="265"/>
      <c r="AV117" s="265"/>
      <c r="AW117" s="265"/>
      <c r="AX117" s="265"/>
      <c r="AY117" s="265"/>
      <c r="AZ117" s="265"/>
      <c r="BA117" s="265"/>
      <c r="BB117" s="265"/>
      <c r="BC117" s="265"/>
      <c r="BD117" s="265"/>
      <c r="BE117" s="265"/>
      <c r="BF117" s="265"/>
      <c r="BG117" s="265"/>
      <c r="BH117" s="265"/>
      <c r="BI117" s="265"/>
      <c r="BJ117" s="265"/>
      <c r="BK117" s="265"/>
      <c r="BL117" s="265"/>
      <c r="BM117" s="265"/>
      <c r="BN117" s="265"/>
      <c r="BO117" s="265"/>
      <c r="BP117" s="265"/>
      <c r="BQ117" s="265"/>
      <c r="BR117" s="265"/>
      <c r="BS117" s="265"/>
      <c r="BT117" s="265"/>
      <c r="BU117" s="265"/>
      <c r="BV117" s="265"/>
      <c r="BW117" s="265"/>
      <c r="BX117" s="265"/>
    </row>
    <row r="118" spans="3:76" hidden="1">
      <c r="C118" s="513" t="s">
        <v>354</v>
      </c>
      <c r="D118" s="521">
        <f>D117</f>
        <v>0</v>
      </c>
      <c r="E118" s="265"/>
      <c r="F118" s="265"/>
      <c r="G118" s="265"/>
      <c r="H118" s="265"/>
      <c r="I118" s="265"/>
      <c r="J118" s="265"/>
      <c r="K118" s="265"/>
      <c r="L118" s="265"/>
      <c r="M118" s="265"/>
      <c r="N118" s="265"/>
      <c r="O118" s="265"/>
      <c r="P118" s="265"/>
      <c r="Q118" s="265"/>
      <c r="R118" s="265"/>
      <c r="S118" s="265"/>
      <c r="T118" s="265"/>
      <c r="U118" s="265"/>
      <c r="V118" s="265"/>
      <c r="W118" s="265"/>
      <c r="X118" s="265"/>
      <c r="Y118" s="265"/>
      <c r="Z118" s="265"/>
      <c r="AA118" s="265"/>
      <c r="AB118" s="265"/>
      <c r="AC118" s="265"/>
      <c r="AD118" s="265"/>
      <c r="AE118" s="265"/>
      <c r="AF118" s="265"/>
      <c r="AG118" s="265"/>
      <c r="AH118" s="265"/>
      <c r="AI118" s="265"/>
      <c r="AJ118" s="265"/>
      <c r="AK118" s="265"/>
      <c r="AL118" s="265"/>
      <c r="AM118" s="265"/>
      <c r="AN118" s="265"/>
      <c r="AO118" s="265"/>
      <c r="AP118" s="265"/>
      <c r="AQ118" s="265"/>
      <c r="AR118" s="265"/>
      <c r="AS118" s="265"/>
      <c r="AT118" s="265"/>
      <c r="AU118" s="265"/>
      <c r="AV118" s="265"/>
      <c r="AW118" s="265"/>
      <c r="AX118" s="265"/>
      <c r="AY118" s="265"/>
      <c r="AZ118" s="265"/>
      <c r="BA118" s="265"/>
      <c r="BB118" s="265"/>
      <c r="BC118" s="265"/>
      <c r="BD118" s="265"/>
      <c r="BE118" s="265"/>
      <c r="BF118" s="265"/>
      <c r="BG118" s="265"/>
      <c r="BH118" s="265"/>
      <c r="BI118" s="265"/>
      <c r="BJ118" s="265"/>
      <c r="BK118" s="265"/>
      <c r="BL118" s="265"/>
      <c r="BM118" s="265"/>
      <c r="BN118" s="265"/>
      <c r="BO118" s="265"/>
      <c r="BP118" s="265"/>
      <c r="BQ118" s="265"/>
      <c r="BR118" s="265"/>
      <c r="BS118" s="265"/>
      <c r="BT118" s="265"/>
      <c r="BU118" s="265"/>
      <c r="BV118" s="265"/>
      <c r="BW118" s="265"/>
      <c r="BX118" s="265"/>
    </row>
    <row r="119" spans="3:76" hidden="1">
      <c r="C119" s="513" t="s">
        <v>355</v>
      </c>
      <c r="D119" s="521" t="e">
        <f>BX111+BX112+BX113</f>
        <v>#REF!</v>
      </c>
      <c r="E119" s="265"/>
      <c r="F119" s="265"/>
      <c r="G119" s="265"/>
      <c r="H119" s="265"/>
      <c r="I119" s="265"/>
      <c r="J119" s="265"/>
      <c r="K119" s="265"/>
      <c r="L119" s="265"/>
      <c r="M119" s="265"/>
      <c r="N119" s="265"/>
      <c r="O119" s="265"/>
      <c r="P119" s="265"/>
      <c r="Q119" s="265"/>
      <c r="R119" s="265"/>
      <c r="S119" s="265"/>
      <c r="T119" s="265"/>
      <c r="U119" s="265"/>
      <c r="V119" s="265"/>
      <c r="W119" s="265"/>
      <c r="X119" s="265"/>
      <c r="Y119" s="265"/>
      <c r="Z119" s="265"/>
      <c r="AA119" s="265"/>
      <c r="AB119" s="265"/>
      <c r="AC119" s="265"/>
      <c r="AD119" s="265"/>
      <c r="AE119" s="265"/>
      <c r="AF119" s="265"/>
      <c r="AG119" s="265"/>
      <c r="AH119" s="265"/>
      <c r="AI119" s="265"/>
      <c r="AJ119" s="265"/>
      <c r="AK119" s="265"/>
      <c r="AL119" s="265"/>
      <c r="AM119" s="265"/>
      <c r="AN119" s="265"/>
      <c r="AO119" s="265"/>
      <c r="AP119" s="265"/>
      <c r="AQ119" s="265"/>
      <c r="AR119" s="265"/>
      <c r="AS119" s="265"/>
      <c r="AT119" s="265"/>
      <c r="AU119" s="265"/>
      <c r="AV119" s="265"/>
      <c r="AW119" s="265"/>
      <c r="AX119" s="265"/>
      <c r="AY119" s="265"/>
      <c r="AZ119" s="265"/>
      <c r="BA119" s="265"/>
      <c r="BB119" s="265"/>
      <c r="BC119" s="265"/>
      <c r="BD119" s="265"/>
      <c r="BE119" s="265"/>
      <c r="BF119" s="265"/>
      <c r="BG119" s="265"/>
      <c r="BH119" s="265"/>
      <c r="BI119" s="265"/>
      <c r="BJ119" s="265"/>
      <c r="BK119" s="265"/>
      <c r="BL119" s="265"/>
      <c r="BM119" s="265"/>
      <c r="BN119" s="265"/>
      <c r="BO119" s="265"/>
      <c r="BP119" s="265"/>
      <c r="BQ119" s="265"/>
      <c r="BR119" s="265"/>
      <c r="BS119" s="265"/>
      <c r="BT119" s="265"/>
      <c r="BU119" s="265"/>
      <c r="BV119" s="265"/>
      <c r="BW119" s="265"/>
      <c r="BX119" s="265"/>
    </row>
    <row r="120" spans="3:76" hidden="1">
      <c r="C120" s="513" t="s">
        <v>356</v>
      </c>
      <c r="D120" s="518" t="e">
        <f>D119/D118</f>
        <v>#REF!</v>
      </c>
      <c r="E120" s="265"/>
      <c r="F120" s="265"/>
      <c r="G120" s="265"/>
      <c r="H120" s="265"/>
      <c r="I120" s="265"/>
      <c r="J120" s="265"/>
      <c r="K120" s="265"/>
      <c r="L120" s="265"/>
      <c r="M120" s="265"/>
      <c r="N120" s="265"/>
      <c r="O120" s="265"/>
      <c r="P120" s="265"/>
      <c r="Q120" s="265"/>
      <c r="R120" s="265"/>
      <c r="S120" s="265"/>
      <c r="T120" s="265"/>
      <c r="U120" s="265"/>
      <c r="V120" s="265"/>
      <c r="W120" s="265"/>
      <c r="X120" s="265"/>
      <c r="Y120" s="265"/>
      <c r="Z120" s="265"/>
      <c r="AA120" s="265"/>
      <c r="AB120" s="265"/>
      <c r="AC120" s="265"/>
      <c r="AD120" s="265"/>
      <c r="AE120" s="265"/>
      <c r="AF120" s="265"/>
      <c r="AG120" s="265"/>
      <c r="AH120" s="265"/>
      <c r="AI120" s="265"/>
      <c r="AJ120" s="265"/>
      <c r="AK120" s="265"/>
      <c r="AL120" s="265"/>
      <c r="AM120" s="265"/>
      <c r="AN120" s="265"/>
      <c r="AO120" s="265"/>
      <c r="AP120" s="265"/>
      <c r="AQ120" s="265"/>
      <c r="AR120" s="265"/>
      <c r="AS120" s="265"/>
      <c r="AT120" s="265"/>
      <c r="AU120" s="265"/>
      <c r="AV120" s="265"/>
      <c r="AW120" s="265"/>
      <c r="AX120" s="265"/>
      <c r="AY120" s="265"/>
      <c r="AZ120" s="265"/>
      <c r="BA120" s="265"/>
      <c r="BB120" s="265"/>
      <c r="BC120" s="265"/>
      <c r="BD120" s="265"/>
      <c r="BE120" s="265"/>
      <c r="BF120" s="265"/>
      <c r="BG120" s="265"/>
      <c r="BH120" s="265"/>
      <c r="BI120" s="265"/>
      <c r="BJ120" s="265"/>
      <c r="BK120" s="265"/>
      <c r="BL120" s="265"/>
      <c r="BM120" s="265"/>
      <c r="BN120" s="265"/>
      <c r="BO120" s="265"/>
      <c r="BP120" s="265"/>
      <c r="BQ120" s="265"/>
      <c r="BR120" s="265"/>
      <c r="BS120" s="265"/>
      <c r="BT120" s="265"/>
      <c r="BU120" s="265"/>
      <c r="BV120" s="265"/>
      <c r="BW120" s="265"/>
      <c r="BX120" s="265"/>
    </row>
    <row r="121" spans="3:76" hidden="1">
      <c r="E121" s="265"/>
      <c r="F121" s="265"/>
      <c r="G121" s="265"/>
      <c r="H121" s="265"/>
      <c r="I121" s="265"/>
      <c r="J121" s="265"/>
      <c r="K121" s="265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5"/>
      <c r="AA121" s="265"/>
      <c r="AB121" s="265"/>
      <c r="AC121" s="265"/>
      <c r="AD121" s="265"/>
      <c r="AE121" s="265"/>
      <c r="AF121" s="265"/>
      <c r="AG121" s="265"/>
      <c r="AH121" s="265"/>
      <c r="AI121" s="265"/>
      <c r="AJ121" s="265"/>
      <c r="AK121" s="265"/>
      <c r="AL121" s="265"/>
      <c r="AM121" s="265"/>
      <c r="AN121" s="265"/>
      <c r="AO121" s="265"/>
      <c r="AP121" s="265"/>
      <c r="AQ121" s="265"/>
      <c r="AR121" s="265"/>
      <c r="AS121" s="265"/>
      <c r="AT121" s="265"/>
      <c r="AU121" s="265"/>
      <c r="AV121" s="265"/>
      <c r="AW121" s="265"/>
      <c r="AX121" s="265"/>
      <c r="AY121" s="265"/>
      <c r="AZ121" s="265"/>
      <c r="BA121" s="265"/>
      <c r="BB121" s="265"/>
      <c r="BC121" s="265"/>
      <c r="BD121" s="265"/>
      <c r="BE121" s="265"/>
      <c r="BF121" s="265"/>
      <c r="BG121" s="265"/>
      <c r="BH121" s="265"/>
      <c r="BI121" s="265"/>
      <c r="BJ121" s="265"/>
      <c r="BK121" s="265"/>
      <c r="BL121" s="265"/>
      <c r="BM121" s="265"/>
      <c r="BN121" s="265"/>
      <c r="BO121" s="265"/>
      <c r="BP121" s="265"/>
      <c r="BQ121" s="265"/>
      <c r="BR121" s="265"/>
      <c r="BS121" s="265"/>
      <c r="BT121" s="265"/>
      <c r="BU121" s="265"/>
      <c r="BV121" s="265"/>
      <c r="BW121" s="265"/>
      <c r="BX121" s="265"/>
    </row>
    <row r="122" spans="3:76" hidden="1">
      <c r="E122" s="265"/>
      <c r="F122" s="265"/>
      <c r="G122" s="265"/>
      <c r="H122" s="265"/>
      <c r="I122" s="265"/>
      <c r="J122" s="265"/>
      <c r="K122" s="265"/>
      <c r="L122" s="265"/>
      <c r="M122" s="265"/>
      <c r="N122" s="265"/>
      <c r="O122" s="265"/>
      <c r="P122" s="265"/>
      <c r="Q122" s="265"/>
      <c r="R122" s="265"/>
      <c r="S122" s="265"/>
      <c r="T122" s="265"/>
      <c r="U122" s="265"/>
      <c r="V122" s="265"/>
      <c r="W122" s="265"/>
      <c r="X122" s="265"/>
      <c r="Y122" s="265"/>
      <c r="Z122" s="265"/>
      <c r="AA122" s="265"/>
      <c r="AB122" s="265"/>
      <c r="AC122" s="265"/>
      <c r="AD122" s="265"/>
      <c r="AE122" s="265"/>
      <c r="AF122" s="265"/>
      <c r="AG122" s="265"/>
      <c r="AH122" s="265"/>
      <c r="AI122" s="265"/>
      <c r="AJ122" s="265"/>
      <c r="AK122" s="265"/>
      <c r="AL122" s="265"/>
      <c r="AM122" s="265"/>
      <c r="AN122" s="265"/>
      <c r="AO122" s="265"/>
      <c r="AP122" s="265"/>
      <c r="AQ122" s="265"/>
      <c r="AR122" s="265"/>
      <c r="AS122" s="265"/>
      <c r="AT122" s="265"/>
      <c r="AU122" s="265"/>
      <c r="AV122" s="265"/>
      <c r="AW122" s="265"/>
      <c r="AX122" s="265"/>
      <c r="AY122" s="265"/>
      <c r="AZ122" s="265"/>
      <c r="BA122" s="265"/>
      <c r="BB122" s="265"/>
      <c r="BC122" s="265"/>
      <c r="BD122" s="265"/>
      <c r="BE122" s="265"/>
      <c r="BF122" s="265"/>
      <c r="BG122" s="265"/>
      <c r="BH122" s="265"/>
      <c r="BI122" s="265"/>
      <c r="BJ122" s="265"/>
      <c r="BK122" s="265"/>
      <c r="BL122" s="265"/>
      <c r="BM122" s="265"/>
      <c r="BN122" s="265"/>
      <c r="BO122" s="265"/>
      <c r="BP122" s="265"/>
      <c r="BQ122" s="265"/>
      <c r="BR122" s="265"/>
      <c r="BS122" s="265"/>
      <c r="BT122" s="265"/>
      <c r="BU122" s="265"/>
      <c r="BV122" s="265"/>
      <c r="BW122" s="265"/>
      <c r="BX122" s="265"/>
    </row>
    <row r="123" spans="3:76">
      <c r="E123" s="265"/>
      <c r="F123" s="265"/>
      <c r="G123" s="265"/>
      <c r="H123" s="265"/>
      <c r="I123" s="265"/>
      <c r="J123" s="265"/>
      <c r="K123" s="265"/>
      <c r="L123" s="265"/>
      <c r="M123" s="265"/>
      <c r="N123" s="265"/>
      <c r="O123" s="265"/>
      <c r="P123" s="265"/>
      <c r="Q123" s="265"/>
      <c r="R123" s="265"/>
      <c r="S123" s="265"/>
      <c r="T123" s="265"/>
      <c r="U123" s="265"/>
      <c r="V123" s="265"/>
      <c r="W123" s="265"/>
      <c r="X123" s="265"/>
      <c r="Y123" s="265"/>
      <c r="Z123" s="265"/>
      <c r="AA123" s="265"/>
      <c r="AB123" s="265"/>
      <c r="AC123" s="265"/>
      <c r="AD123" s="265"/>
      <c r="AE123" s="265"/>
      <c r="AF123" s="265"/>
      <c r="AG123" s="265"/>
      <c r="AH123" s="265"/>
      <c r="AI123" s="265"/>
      <c r="AJ123" s="265"/>
      <c r="AK123" s="265"/>
      <c r="AL123" s="265"/>
      <c r="AM123" s="265"/>
      <c r="AN123" s="265"/>
      <c r="AO123" s="265"/>
      <c r="AP123" s="265"/>
      <c r="AQ123" s="265"/>
      <c r="AR123" s="265"/>
      <c r="AS123" s="265"/>
      <c r="AT123" s="265"/>
      <c r="AU123" s="265"/>
      <c r="AV123" s="265"/>
      <c r="AW123" s="265"/>
      <c r="AX123" s="265"/>
      <c r="AY123" s="265"/>
      <c r="AZ123" s="265"/>
      <c r="BA123" s="265"/>
      <c r="BB123" s="265"/>
      <c r="BC123" s="265"/>
      <c r="BD123" s="265"/>
      <c r="BE123" s="265"/>
      <c r="BF123" s="265"/>
      <c r="BG123" s="265"/>
      <c r="BH123" s="265"/>
      <c r="BI123" s="265"/>
      <c r="BJ123" s="265"/>
      <c r="BK123" s="265"/>
      <c r="BL123" s="265"/>
      <c r="BM123" s="265"/>
      <c r="BN123" s="265"/>
      <c r="BO123" s="265"/>
      <c r="BP123" s="265"/>
      <c r="BQ123" s="265"/>
      <c r="BR123" s="265"/>
      <c r="BS123" s="265"/>
      <c r="BT123" s="265"/>
      <c r="BU123" s="265"/>
      <c r="BV123" s="265"/>
      <c r="BW123" s="265"/>
      <c r="BX123" s="265"/>
    </row>
    <row r="124" spans="3:76">
      <c r="C124" s="335" t="s">
        <v>357</v>
      </c>
      <c r="D124" s="511"/>
      <c r="E124" s="511">
        <f t="shared" ref="E124:BP124" si="38">-(E6+E91)</f>
        <v>0</v>
      </c>
      <c r="F124" s="511">
        <f t="shared" si="38"/>
        <v>0</v>
      </c>
      <c r="G124" s="511">
        <f t="shared" si="38"/>
        <v>0</v>
      </c>
      <c r="H124" s="511">
        <f t="shared" si="38"/>
        <v>0</v>
      </c>
      <c r="I124" s="511">
        <f t="shared" si="38"/>
        <v>0</v>
      </c>
      <c r="J124" s="511">
        <f t="shared" si="38"/>
        <v>0</v>
      </c>
      <c r="K124" s="511">
        <f t="shared" si="38"/>
        <v>0</v>
      </c>
      <c r="L124" s="511">
        <f t="shared" si="38"/>
        <v>0</v>
      </c>
      <c r="M124" s="511">
        <f t="shared" si="38"/>
        <v>0</v>
      </c>
      <c r="N124" s="511">
        <f t="shared" si="38"/>
        <v>0</v>
      </c>
      <c r="O124" s="511">
        <f t="shared" si="38"/>
        <v>0</v>
      </c>
      <c r="P124" s="511">
        <f t="shared" si="38"/>
        <v>0</v>
      </c>
      <c r="Q124" s="511">
        <f t="shared" si="38"/>
        <v>0</v>
      </c>
      <c r="R124" s="511">
        <f t="shared" si="38"/>
        <v>0</v>
      </c>
      <c r="S124" s="511">
        <f t="shared" si="38"/>
        <v>0</v>
      </c>
      <c r="T124" s="511">
        <f t="shared" si="38"/>
        <v>0</v>
      </c>
      <c r="U124" s="511">
        <f t="shared" si="38"/>
        <v>-25000000</v>
      </c>
      <c r="V124" s="511">
        <f t="shared" si="38"/>
        <v>-6500000</v>
      </c>
      <c r="W124" s="511">
        <f>-(W6+W91)</f>
        <v>-100830</v>
      </c>
      <c r="X124" s="511">
        <f t="shared" si="38"/>
        <v>0</v>
      </c>
      <c r="Y124" s="511">
        <f t="shared" si="38"/>
        <v>0</v>
      </c>
      <c r="Z124" s="511">
        <f t="shared" si="38"/>
        <v>-11000000</v>
      </c>
      <c r="AA124" s="511">
        <f t="shared" si="38"/>
        <v>-7000000</v>
      </c>
      <c r="AB124" s="511">
        <f t="shared" si="38"/>
        <v>-500000</v>
      </c>
      <c r="AC124" s="511">
        <f t="shared" si="38"/>
        <v>-150000</v>
      </c>
      <c r="AD124" s="511">
        <f t="shared" si="38"/>
        <v>-200000</v>
      </c>
      <c r="AE124" s="511">
        <f t="shared" si="38"/>
        <v>0</v>
      </c>
      <c r="AF124" s="511">
        <f t="shared" si="38"/>
        <v>0</v>
      </c>
      <c r="AG124" s="511">
        <f t="shared" si="38"/>
        <v>0</v>
      </c>
      <c r="AH124" s="511">
        <f t="shared" si="38"/>
        <v>0</v>
      </c>
      <c r="AI124" s="511">
        <f t="shared" si="38"/>
        <v>50450830</v>
      </c>
      <c r="AJ124" s="511">
        <f t="shared" si="38"/>
        <v>0</v>
      </c>
      <c r="AK124" s="511">
        <f t="shared" si="38"/>
        <v>0</v>
      </c>
      <c r="AL124" s="511">
        <f t="shared" si="38"/>
        <v>0</v>
      </c>
      <c r="AM124" s="511">
        <f t="shared" si="38"/>
        <v>0</v>
      </c>
      <c r="AN124" s="511">
        <f t="shared" si="38"/>
        <v>0</v>
      </c>
      <c r="AO124" s="511">
        <f t="shared" si="38"/>
        <v>0</v>
      </c>
      <c r="AP124" s="511">
        <f t="shared" si="38"/>
        <v>0</v>
      </c>
      <c r="AQ124" s="511">
        <f t="shared" si="38"/>
        <v>0</v>
      </c>
      <c r="AR124" s="511">
        <f t="shared" si="38"/>
        <v>0</v>
      </c>
      <c r="AS124" s="511">
        <f t="shared" si="38"/>
        <v>0</v>
      </c>
      <c r="AT124" s="511">
        <f t="shared" si="38"/>
        <v>0</v>
      </c>
      <c r="AU124" s="511">
        <f t="shared" si="38"/>
        <v>0</v>
      </c>
      <c r="AV124" s="511">
        <f t="shared" si="38"/>
        <v>0</v>
      </c>
      <c r="AW124" s="511">
        <f t="shared" si="38"/>
        <v>0</v>
      </c>
      <c r="AX124" s="511">
        <f t="shared" si="38"/>
        <v>0</v>
      </c>
      <c r="AY124" s="511">
        <f t="shared" si="38"/>
        <v>0</v>
      </c>
      <c r="AZ124" s="511">
        <f t="shared" si="38"/>
        <v>0</v>
      </c>
      <c r="BA124" s="511">
        <f t="shared" si="38"/>
        <v>0</v>
      </c>
      <c r="BB124" s="511">
        <f t="shared" si="38"/>
        <v>0</v>
      </c>
      <c r="BC124" s="511">
        <f t="shared" si="38"/>
        <v>0</v>
      </c>
      <c r="BD124" s="511">
        <f t="shared" si="38"/>
        <v>0</v>
      </c>
      <c r="BE124" s="511">
        <f t="shared" si="38"/>
        <v>0</v>
      </c>
      <c r="BF124" s="511">
        <f t="shared" si="38"/>
        <v>0</v>
      </c>
      <c r="BG124" s="511">
        <f t="shared" si="38"/>
        <v>0</v>
      </c>
      <c r="BH124" s="511">
        <f t="shared" si="38"/>
        <v>0</v>
      </c>
      <c r="BI124" s="511">
        <f t="shared" si="38"/>
        <v>0</v>
      </c>
      <c r="BJ124" s="511">
        <f t="shared" si="38"/>
        <v>0</v>
      </c>
      <c r="BK124" s="511">
        <f t="shared" si="38"/>
        <v>0</v>
      </c>
      <c r="BL124" s="511">
        <f t="shared" si="38"/>
        <v>0</v>
      </c>
      <c r="BM124" s="511">
        <f t="shared" si="38"/>
        <v>0</v>
      </c>
      <c r="BN124" s="511">
        <f t="shared" si="38"/>
        <v>0</v>
      </c>
      <c r="BO124" s="511">
        <f t="shared" si="38"/>
        <v>0</v>
      </c>
      <c r="BP124" s="511">
        <f t="shared" si="38"/>
        <v>0</v>
      </c>
      <c r="BQ124" s="511">
        <f t="shared" ref="BQ124:BX124" si="39">-(BQ6+BQ91)</f>
        <v>0</v>
      </c>
      <c r="BR124" s="511">
        <f t="shared" si="39"/>
        <v>0</v>
      </c>
      <c r="BS124" s="511">
        <f t="shared" si="39"/>
        <v>0</v>
      </c>
      <c r="BT124" s="511">
        <f t="shared" si="39"/>
        <v>0</v>
      </c>
      <c r="BU124" s="511">
        <f t="shared" si="39"/>
        <v>0</v>
      </c>
      <c r="BV124" s="511">
        <f t="shared" si="39"/>
        <v>0</v>
      </c>
      <c r="BW124" s="511">
        <f t="shared" si="39"/>
        <v>0</v>
      </c>
      <c r="BX124" s="511">
        <f t="shared" si="39"/>
        <v>0</v>
      </c>
    </row>
    <row r="125" spans="3:76">
      <c r="C125" s="335" t="s">
        <v>358</v>
      </c>
      <c r="D125" s="516"/>
      <c r="E125" s="511"/>
      <c r="F125" s="511"/>
      <c r="G125" s="511"/>
      <c r="H125" s="511"/>
      <c r="I125" s="511"/>
      <c r="J125" s="511"/>
      <c r="K125" s="511"/>
      <c r="L125" s="511"/>
      <c r="M125" s="511"/>
      <c r="N125" s="511"/>
      <c r="O125" s="511"/>
      <c r="P125" s="511"/>
      <c r="Q125" s="511"/>
      <c r="R125" s="511"/>
      <c r="S125" s="511"/>
      <c r="T125" s="511"/>
      <c r="U125" s="511"/>
      <c r="V125" s="511">
        <f>-Shares!D5-Businessplan_prodej!F13</f>
        <v>-13647457</v>
      </c>
      <c r="W125" s="511"/>
      <c r="X125" s="511"/>
      <c r="Y125" s="511"/>
      <c r="Z125" s="511"/>
      <c r="AA125" s="511"/>
      <c r="AB125" s="511"/>
      <c r="AC125" s="511"/>
      <c r="AD125" s="511"/>
      <c r="AE125" s="511"/>
      <c r="AF125" s="511"/>
      <c r="AG125" s="511"/>
      <c r="AH125" s="511"/>
      <c r="AI125" s="511">
        <f>-$V$125</f>
        <v>13647457</v>
      </c>
      <c r="AJ125" s="511"/>
      <c r="AK125" s="511"/>
      <c r="AL125" s="511"/>
      <c r="AM125" s="511"/>
      <c r="AN125" s="511"/>
      <c r="AO125" s="511"/>
      <c r="AP125" s="511"/>
      <c r="AQ125" s="511"/>
      <c r="AR125" s="511"/>
      <c r="AS125" s="511"/>
      <c r="AT125" s="511"/>
      <c r="AU125" s="511"/>
      <c r="AV125" s="511"/>
      <c r="AW125" s="511"/>
      <c r="AX125" s="511"/>
      <c r="AY125" s="511"/>
      <c r="AZ125" s="511"/>
      <c r="BA125" s="511"/>
      <c r="BB125" s="511"/>
      <c r="BC125" s="511"/>
      <c r="BD125" s="511"/>
      <c r="BE125" s="511"/>
      <c r="BF125" s="511"/>
      <c r="BG125" s="511"/>
      <c r="BH125" s="511"/>
      <c r="BI125" s="511"/>
      <c r="BJ125" s="511"/>
      <c r="BK125" s="511"/>
      <c r="BL125" s="511"/>
      <c r="BM125" s="511"/>
      <c r="BN125" s="511"/>
      <c r="BO125" s="511"/>
      <c r="BP125" s="511"/>
      <c r="BQ125" s="511"/>
      <c r="BR125" s="511"/>
      <c r="BS125" s="511"/>
      <c r="BT125" s="511"/>
      <c r="BU125" s="511"/>
      <c r="BV125" s="511"/>
      <c r="BW125" s="511"/>
      <c r="BX125" s="511"/>
    </row>
    <row r="126" spans="3:76">
      <c r="C126" s="335" t="s">
        <v>348</v>
      </c>
      <c r="D126" s="516"/>
      <c r="E126" s="511">
        <f t="shared" ref="E126:U126" si="40">-E56</f>
        <v>0</v>
      </c>
      <c r="F126" s="511">
        <f t="shared" si="40"/>
        <v>0</v>
      </c>
      <c r="G126" s="511">
        <f t="shared" si="40"/>
        <v>0</v>
      </c>
      <c r="H126" s="511">
        <f t="shared" si="40"/>
        <v>0</v>
      </c>
      <c r="I126" s="511">
        <f t="shared" si="40"/>
        <v>0</v>
      </c>
      <c r="J126" s="511">
        <f t="shared" si="40"/>
        <v>0</v>
      </c>
      <c r="K126" s="511">
        <f t="shared" si="40"/>
        <v>0</v>
      </c>
      <c r="L126" s="511">
        <f t="shared" si="40"/>
        <v>0</v>
      </c>
      <c r="M126" s="511">
        <f t="shared" si="40"/>
        <v>0</v>
      </c>
      <c r="N126" s="511">
        <f t="shared" si="40"/>
        <v>0</v>
      </c>
      <c r="O126" s="511">
        <f t="shared" si="40"/>
        <v>0</v>
      </c>
      <c r="P126" s="511">
        <f t="shared" si="40"/>
        <v>0</v>
      </c>
      <c r="Q126" s="511">
        <f t="shared" si="40"/>
        <v>0</v>
      </c>
      <c r="R126" s="511">
        <f t="shared" si="40"/>
        <v>0</v>
      </c>
      <c r="S126" s="511">
        <f t="shared" si="40"/>
        <v>0</v>
      </c>
      <c r="T126" s="511">
        <f t="shared" si="40"/>
        <v>0</v>
      </c>
      <c r="U126" s="511">
        <f t="shared" si="40"/>
        <v>0</v>
      </c>
      <c r="V126" s="511"/>
      <c r="W126" s="511">
        <f t="shared" ref="W126:BX126" si="41">-W56</f>
        <v>0</v>
      </c>
      <c r="X126" s="511">
        <f t="shared" si="41"/>
        <v>0</v>
      </c>
      <c r="Y126" s="511">
        <f t="shared" si="41"/>
        <v>0</v>
      </c>
      <c r="Z126" s="511">
        <f t="shared" si="41"/>
        <v>0</v>
      </c>
      <c r="AA126" s="511">
        <f t="shared" si="41"/>
        <v>0</v>
      </c>
      <c r="AB126" s="511">
        <f t="shared" si="41"/>
        <v>0</v>
      </c>
      <c r="AC126" s="511">
        <f t="shared" si="41"/>
        <v>0</v>
      </c>
      <c r="AD126" s="511">
        <f t="shared" si="41"/>
        <v>0</v>
      </c>
      <c r="AE126" s="511">
        <f t="shared" si="41"/>
        <v>0</v>
      </c>
      <c r="AF126" s="511">
        <f t="shared" si="41"/>
        <v>0</v>
      </c>
      <c r="AG126" s="511">
        <f t="shared" si="41"/>
        <v>0</v>
      </c>
      <c r="AH126" s="511">
        <f t="shared" si="41"/>
        <v>0</v>
      </c>
      <c r="AI126" s="511">
        <f>-AI56</f>
        <v>6118749.9999999991</v>
      </c>
      <c r="AJ126" s="511">
        <f>-AJ56</f>
        <v>0</v>
      </c>
      <c r="AK126" s="511">
        <f t="shared" si="41"/>
        <v>0</v>
      </c>
      <c r="AL126" s="511">
        <f t="shared" si="41"/>
        <v>0</v>
      </c>
      <c r="AM126" s="511">
        <f t="shared" si="41"/>
        <v>0</v>
      </c>
      <c r="AN126" s="511">
        <f t="shared" si="41"/>
        <v>0</v>
      </c>
      <c r="AO126" s="511">
        <f t="shared" si="41"/>
        <v>0</v>
      </c>
      <c r="AP126" s="511">
        <f t="shared" si="41"/>
        <v>0</v>
      </c>
      <c r="AQ126" s="511">
        <f t="shared" si="41"/>
        <v>0</v>
      </c>
      <c r="AR126" s="511">
        <f t="shared" si="41"/>
        <v>0</v>
      </c>
      <c r="AS126" s="511">
        <f t="shared" si="41"/>
        <v>0</v>
      </c>
      <c r="AT126" s="511">
        <f t="shared" si="41"/>
        <v>0</v>
      </c>
      <c r="AU126" s="511">
        <f t="shared" si="41"/>
        <v>0</v>
      </c>
      <c r="AV126" s="511">
        <f t="shared" si="41"/>
        <v>0</v>
      </c>
      <c r="AW126" s="511">
        <f t="shared" si="41"/>
        <v>0</v>
      </c>
      <c r="AX126" s="511">
        <f t="shared" si="41"/>
        <v>0</v>
      </c>
      <c r="AY126" s="511">
        <f t="shared" si="41"/>
        <v>0</v>
      </c>
      <c r="AZ126" s="511">
        <f t="shared" si="41"/>
        <v>0</v>
      </c>
      <c r="BA126" s="511">
        <f t="shared" si="41"/>
        <v>0</v>
      </c>
      <c r="BB126" s="511">
        <f t="shared" si="41"/>
        <v>0</v>
      </c>
      <c r="BC126" s="511">
        <f t="shared" si="41"/>
        <v>0</v>
      </c>
      <c r="BD126" s="511">
        <f t="shared" si="41"/>
        <v>0</v>
      </c>
      <c r="BE126" s="511">
        <f t="shared" si="41"/>
        <v>0</v>
      </c>
      <c r="BF126" s="511">
        <f t="shared" si="41"/>
        <v>0</v>
      </c>
      <c r="BG126" s="511">
        <f t="shared" si="41"/>
        <v>0</v>
      </c>
      <c r="BH126" s="511">
        <f t="shared" si="41"/>
        <v>0</v>
      </c>
      <c r="BI126" s="511">
        <f t="shared" si="41"/>
        <v>0</v>
      </c>
      <c r="BJ126" s="511">
        <f t="shared" si="41"/>
        <v>0</v>
      </c>
      <c r="BK126" s="511">
        <f t="shared" si="41"/>
        <v>0</v>
      </c>
      <c r="BL126" s="511">
        <f t="shared" si="41"/>
        <v>0</v>
      </c>
      <c r="BM126" s="511">
        <f t="shared" si="41"/>
        <v>0</v>
      </c>
      <c r="BN126" s="511">
        <f t="shared" si="41"/>
        <v>0</v>
      </c>
      <c r="BO126" s="511">
        <f t="shared" si="41"/>
        <v>0</v>
      </c>
      <c r="BP126" s="511">
        <f t="shared" si="41"/>
        <v>0</v>
      </c>
      <c r="BQ126" s="511">
        <f t="shared" si="41"/>
        <v>0</v>
      </c>
      <c r="BR126" s="511">
        <f t="shared" si="41"/>
        <v>0</v>
      </c>
      <c r="BS126" s="511">
        <f t="shared" si="41"/>
        <v>0</v>
      </c>
      <c r="BT126" s="511">
        <f t="shared" si="41"/>
        <v>0</v>
      </c>
      <c r="BU126" s="511">
        <f t="shared" si="41"/>
        <v>0</v>
      </c>
      <c r="BV126" s="511">
        <f t="shared" si="41"/>
        <v>0</v>
      </c>
      <c r="BW126" s="511">
        <f t="shared" si="41"/>
        <v>0</v>
      </c>
      <c r="BX126" s="511">
        <f t="shared" si="41"/>
        <v>0</v>
      </c>
    </row>
    <row r="127" spans="3:76">
      <c r="C127" s="335" t="s">
        <v>349</v>
      </c>
      <c r="D127" s="516"/>
      <c r="E127" s="511"/>
      <c r="F127" s="511"/>
      <c r="G127" s="511"/>
      <c r="H127" s="511"/>
      <c r="I127" s="511"/>
      <c r="J127" s="511"/>
      <c r="K127" s="511"/>
      <c r="L127" s="511"/>
      <c r="M127" s="511"/>
      <c r="N127" s="511"/>
      <c r="O127" s="511"/>
      <c r="P127" s="511"/>
      <c r="Q127" s="511"/>
      <c r="R127" s="511"/>
      <c r="S127" s="511"/>
      <c r="T127" s="511"/>
      <c r="U127" s="511"/>
      <c r="V127" s="511"/>
      <c r="W127" s="511"/>
      <c r="X127" s="511"/>
      <c r="Y127" s="511"/>
      <c r="Z127" s="511"/>
      <c r="AA127" s="511"/>
      <c r="AB127" s="511"/>
      <c r="AC127" s="511"/>
      <c r="AD127" s="511"/>
      <c r="AE127" s="511"/>
      <c r="AF127" s="511"/>
      <c r="AG127" s="511"/>
      <c r="AH127" s="511"/>
      <c r="AI127" s="511">
        <f>AI99-AI125</f>
        <v>33863943.202822603</v>
      </c>
      <c r="AJ127" s="511"/>
      <c r="AK127" s="511"/>
      <c r="AL127" s="511"/>
      <c r="AM127" s="511"/>
      <c r="AN127" s="511"/>
      <c r="AO127" s="511"/>
      <c r="AP127" s="511"/>
      <c r="AQ127" s="511"/>
      <c r="AR127" s="511"/>
      <c r="AS127" s="511"/>
      <c r="AT127" s="511"/>
      <c r="AU127" s="511"/>
      <c r="AV127" s="511"/>
      <c r="AW127" s="511"/>
      <c r="AX127" s="511"/>
      <c r="AY127" s="511"/>
      <c r="AZ127" s="511"/>
      <c r="BA127" s="511"/>
      <c r="BB127" s="511"/>
      <c r="BC127" s="511"/>
      <c r="BD127" s="511"/>
      <c r="BE127" s="511"/>
      <c r="BF127" s="511"/>
      <c r="BG127" s="511"/>
      <c r="BH127" s="511"/>
      <c r="BI127" s="511"/>
      <c r="BJ127" s="511"/>
      <c r="BK127" s="511"/>
      <c r="BL127" s="511"/>
      <c r="BM127" s="511"/>
      <c r="BN127" s="511"/>
      <c r="BO127" s="511"/>
      <c r="BP127" s="511"/>
      <c r="BQ127" s="511"/>
      <c r="BR127" s="511"/>
      <c r="BS127" s="511"/>
      <c r="BT127" s="511"/>
      <c r="BU127" s="511"/>
      <c r="BV127" s="511"/>
      <c r="BW127" s="511"/>
      <c r="BX127" s="511" t="e">
        <f>IF(#REF!&gt;0.25,(BX99-BX105)*D128,BX99*D128)</f>
        <v>#REF!</v>
      </c>
    </row>
    <row r="128" spans="3:76">
      <c r="C128" s="513" t="s">
        <v>350</v>
      </c>
      <c r="D128" s="516">
        <v>1</v>
      </c>
      <c r="E128" s="283"/>
      <c r="F128" s="283"/>
      <c r="G128" s="283"/>
      <c r="H128" s="283"/>
      <c r="I128" s="283"/>
      <c r="J128" s="283"/>
      <c r="K128" s="283"/>
      <c r="L128" s="283"/>
      <c r="M128" s="283"/>
      <c r="N128" s="283"/>
      <c r="O128" s="283"/>
      <c r="P128" s="283"/>
      <c r="Q128" s="283"/>
      <c r="R128" s="283"/>
      <c r="S128" s="283"/>
      <c r="T128" s="283"/>
      <c r="U128" s="283"/>
      <c r="V128" s="283"/>
      <c r="W128" s="283"/>
      <c r="X128" s="283"/>
      <c r="Y128" s="283"/>
      <c r="Z128" s="283"/>
      <c r="AA128" s="283"/>
      <c r="AB128" s="283"/>
      <c r="AC128" s="283"/>
      <c r="AD128" s="283"/>
      <c r="AE128" s="283"/>
      <c r="AF128" s="283"/>
      <c r="AG128" s="283"/>
      <c r="AH128" s="283"/>
      <c r="AI128" s="283"/>
      <c r="AJ128" s="283"/>
      <c r="AK128" s="283"/>
      <c r="AL128" s="283"/>
      <c r="AM128" s="283"/>
      <c r="AN128" s="283"/>
      <c r="AO128" s="283"/>
      <c r="AP128" s="283"/>
      <c r="AQ128" s="283"/>
      <c r="AR128" s="283"/>
      <c r="AS128" s="283"/>
      <c r="AT128" s="283"/>
      <c r="AU128" s="283"/>
      <c r="AV128" s="283"/>
      <c r="AW128" s="283"/>
      <c r="AX128" s="283"/>
      <c r="AY128" s="283"/>
      <c r="AZ128" s="283"/>
      <c r="BA128" s="283"/>
      <c r="BB128" s="283"/>
      <c r="BC128" s="283"/>
      <c r="BD128" s="283"/>
      <c r="BE128" s="283"/>
      <c r="BF128" s="283"/>
      <c r="BG128" s="283"/>
      <c r="BH128" s="283"/>
      <c r="BI128" s="283"/>
      <c r="BJ128" s="283"/>
      <c r="BK128" s="283"/>
      <c r="BL128" s="283"/>
      <c r="BM128" s="283"/>
      <c r="BN128" s="283"/>
      <c r="BO128" s="283"/>
      <c r="BP128" s="283"/>
      <c r="BQ128" s="283"/>
      <c r="BR128" s="283"/>
      <c r="BS128" s="283"/>
      <c r="BT128" s="283"/>
      <c r="BU128" s="283"/>
      <c r="BV128" s="283"/>
      <c r="BW128" s="283"/>
      <c r="BX128" s="283"/>
    </row>
    <row r="129" spans="3:76">
      <c r="C129" s="335" t="s">
        <v>351</v>
      </c>
      <c r="D129" s="511"/>
      <c r="E129" s="517">
        <f t="shared" ref="E129:BX129" si="42">E124+E125+E126+E127+E128</f>
        <v>0</v>
      </c>
      <c r="F129" s="517">
        <f t="shared" si="42"/>
        <v>0</v>
      </c>
      <c r="G129" s="517">
        <f t="shared" si="42"/>
        <v>0</v>
      </c>
      <c r="H129" s="517">
        <f t="shared" si="42"/>
        <v>0</v>
      </c>
      <c r="I129" s="517">
        <f t="shared" si="42"/>
        <v>0</v>
      </c>
      <c r="J129" s="517">
        <f t="shared" si="42"/>
        <v>0</v>
      </c>
      <c r="K129" s="517">
        <f t="shared" si="42"/>
        <v>0</v>
      </c>
      <c r="L129" s="517">
        <f t="shared" si="42"/>
        <v>0</v>
      </c>
      <c r="M129" s="517">
        <f t="shared" si="42"/>
        <v>0</v>
      </c>
      <c r="N129" s="517">
        <f t="shared" si="42"/>
        <v>0</v>
      </c>
      <c r="O129" s="517">
        <f t="shared" si="42"/>
        <v>0</v>
      </c>
      <c r="P129" s="517">
        <f t="shared" si="42"/>
        <v>0</v>
      </c>
      <c r="Q129" s="517">
        <f t="shared" si="42"/>
        <v>0</v>
      </c>
      <c r="R129" s="517">
        <f t="shared" si="42"/>
        <v>0</v>
      </c>
      <c r="S129" s="517">
        <f t="shared" si="42"/>
        <v>0</v>
      </c>
      <c r="T129" s="517">
        <f t="shared" si="42"/>
        <v>0</v>
      </c>
      <c r="U129" s="517">
        <f t="shared" si="42"/>
        <v>-25000000</v>
      </c>
      <c r="V129" s="517">
        <f t="shared" si="42"/>
        <v>-20147457</v>
      </c>
      <c r="W129" s="517">
        <f t="shared" si="42"/>
        <v>-100830</v>
      </c>
      <c r="X129" s="517">
        <f t="shared" si="42"/>
        <v>0</v>
      </c>
      <c r="Y129" s="517">
        <f t="shared" si="42"/>
        <v>0</v>
      </c>
      <c r="Z129" s="517">
        <f t="shared" si="42"/>
        <v>-11000000</v>
      </c>
      <c r="AA129" s="517">
        <f t="shared" si="42"/>
        <v>-7000000</v>
      </c>
      <c r="AB129" s="517">
        <f t="shared" si="42"/>
        <v>-500000</v>
      </c>
      <c r="AC129" s="517">
        <f t="shared" si="42"/>
        <v>-150000</v>
      </c>
      <c r="AD129" s="517">
        <f t="shared" si="42"/>
        <v>-200000</v>
      </c>
      <c r="AE129" s="517">
        <f t="shared" si="42"/>
        <v>0</v>
      </c>
      <c r="AF129" s="517">
        <f t="shared" si="42"/>
        <v>0</v>
      </c>
      <c r="AG129" s="517">
        <f t="shared" si="42"/>
        <v>0</v>
      </c>
      <c r="AH129" s="517">
        <f t="shared" si="42"/>
        <v>0</v>
      </c>
      <c r="AI129" s="517">
        <f>AI124+AI125+AI126+AI127+AI128</f>
        <v>104080980.2028226</v>
      </c>
      <c r="AJ129" s="517">
        <f t="shared" si="42"/>
        <v>0</v>
      </c>
      <c r="AK129" s="517">
        <f t="shared" si="42"/>
        <v>0</v>
      </c>
      <c r="AL129" s="517">
        <f t="shared" si="42"/>
        <v>0</v>
      </c>
      <c r="AM129" s="517">
        <f t="shared" si="42"/>
        <v>0</v>
      </c>
      <c r="AN129" s="517">
        <f t="shared" si="42"/>
        <v>0</v>
      </c>
      <c r="AO129" s="517">
        <f t="shared" si="42"/>
        <v>0</v>
      </c>
      <c r="AP129" s="517">
        <f t="shared" si="42"/>
        <v>0</v>
      </c>
      <c r="AQ129" s="517">
        <f t="shared" si="42"/>
        <v>0</v>
      </c>
      <c r="AR129" s="517">
        <f t="shared" si="42"/>
        <v>0</v>
      </c>
      <c r="AS129" s="517">
        <f t="shared" si="42"/>
        <v>0</v>
      </c>
      <c r="AT129" s="517">
        <f t="shared" si="42"/>
        <v>0</v>
      </c>
      <c r="AU129" s="517">
        <f t="shared" si="42"/>
        <v>0</v>
      </c>
      <c r="AV129" s="517">
        <f t="shared" si="42"/>
        <v>0</v>
      </c>
      <c r="AW129" s="517">
        <f t="shared" si="42"/>
        <v>0</v>
      </c>
      <c r="AX129" s="517">
        <f t="shared" si="42"/>
        <v>0</v>
      </c>
      <c r="AY129" s="517">
        <f t="shared" si="42"/>
        <v>0</v>
      </c>
      <c r="AZ129" s="517">
        <f t="shared" si="42"/>
        <v>0</v>
      </c>
      <c r="BA129" s="517">
        <f t="shared" si="42"/>
        <v>0</v>
      </c>
      <c r="BB129" s="517">
        <f t="shared" si="42"/>
        <v>0</v>
      </c>
      <c r="BC129" s="517">
        <f t="shared" si="42"/>
        <v>0</v>
      </c>
      <c r="BD129" s="517">
        <f t="shared" si="42"/>
        <v>0</v>
      </c>
      <c r="BE129" s="517">
        <f t="shared" si="42"/>
        <v>0</v>
      </c>
      <c r="BF129" s="517">
        <f t="shared" si="42"/>
        <v>0</v>
      </c>
      <c r="BG129" s="517">
        <f t="shared" si="42"/>
        <v>0</v>
      </c>
      <c r="BH129" s="517">
        <f t="shared" si="42"/>
        <v>0</v>
      </c>
      <c r="BI129" s="517">
        <f t="shared" si="42"/>
        <v>0</v>
      </c>
      <c r="BJ129" s="517">
        <f t="shared" si="42"/>
        <v>0</v>
      </c>
      <c r="BK129" s="517">
        <f t="shared" si="42"/>
        <v>0</v>
      </c>
      <c r="BL129" s="517">
        <f t="shared" si="42"/>
        <v>0</v>
      </c>
      <c r="BM129" s="517">
        <f t="shared" si="42"/>
        <v>0</v>
      </c>
      <c r="BN129" s="517">
        <f t="shared" si="42"/>
        <v>0</v>
      </c>
      <c r="BO129" s="517">
        <f t="shared" si="42"/>
        <v>0</v>
      </c>
      <c r="BP129" s="517">
        <f t="shared" si="42"/>
        <v>0</v>
      </c>
      <c r="BQ129" s="517">
        <f t="shared" si="42"/>
        <v>0</v>
      </c>
      <c r="BR129" s="517">
        <f t="shared" si="42"/>
        <v>0</v>
      </c>
      <c r="BS129" s="517">
        <f t="shared" si="42"/>
        <v>0</v>
      </c>
      <c r="BT129" s="517">
        <f t="shared" si="42"/>
        <v>0</v>
      </c>
      <c r="BU129" s="517">
        <f t="shared" si="42"/>
        <v>0</v>
      </c>
      <c r="BV129" s="517">
        <f t="shared" si="42"/>
        <v>0</v>
      </c>
      <c r="BW129" s="517">
        <f t="shared" si="42"/>
        <v>0</v>
      </c>
      <c r="BX129" s="517" t="e">
        <f t="shared" si="42"/>
        <v>#REF!</v>
      </c>
    </row>
    <row r="130" spans="3:76">
      <c r="C130" s="336"/>
      <c r="D130" s="518" t="s">
        <v>359</v>
      </c>
      <c r="E130" s="522">
        <f>E129</f>
        <v>0</v>
      </c>
      <c r="F130" s="522">
        <f t="shared" ref="F130:BQ130" si="43">E130+F129</f>
        <v>0</v>
      </c>
      <c r="G130" s="522">
        <f t="shared" si="43"/>
        <v>0</v>
      </c>
      <c r="H130" s="522">
        <f t="shared" si="43"/>
        <v>0</v>
      </c>
      <c r="I130" s="522">
        <f t="shared" si="43"/>
        <v>0</v>
      </c>
      <c r="J130" s="522">
        <f t="shared" si="43"/>
        <v>0</v>
      </c>
      <c r="K130" s="522">
        <f t="shared" si="43"/>
        <v>0</v>
      </c>
      <c r="L130" s="522">
        <f t="shared" si="43"/>
        <v>0</v>
      </c>
      <c r="M130" s="522">
        <f t="shared" si="43"/>
        <v>0</v>
      </c>
      <c r="N130" s="522">
        <f t="shared" si="43"/>
        <v>0</v>
      </c>
      <c r="O130" s="522">
        <f t="shared" si="43"/>
        <v>0</v>
      </c>
      <c r="P130" s="522">
        <f t="shared" si="43"/>
        <v>0</v>
      </c>
      <c r="Q130" s="522">
        <f t="shared" si="43"/>
        <v>0</v>
      </c>
      <c r="R130" s="522">
        <f t="shared" si="43"/>
        <v>0</v>
      </c>
      <c r="S130" s="522">
        <f t="shared" si="43"/>
        <v>0</v>
      </c>
      <c r="T130" s="522">
        <f t="shared" si="43"/>
        <v>0</v>
      </c>
      <c r="U130" s="522">
        <f t="shared" si="43"/>
        <v>-25000000</v>
      </c>
      <c r="V130" s="522">
        <f t="shared" si="43"/>
        <v>-45147457</v>
      </c>
      <c r="W130" s="522">
        <f t="shared" si="43"/>
        <v>-45248287</v>
      </c>
      <c r="X130" s="522">
        <f t="shared" si="43"/>
        <v>-45248287</v>
      </c>
      <c r="Y130" s="522">
        <f t="shared" si="43"/>
        <v>-45248287</v>
      </c>
      <c r="Z130" s="522">
        <f t="shared" si="43"/>
        <v>-56248287</v>
      </c>
      <c r="AA130" s="522">
        <f t="shared" si="43"/>
        <v>-63248287</v>
      </c>
      <c r="AB130" s="522">
        <f t="shared" si="43"/>
        <v>-63748287</v>
      </c>
      <c r="AC130" s="522">
        <f t="shared" si="43"/>
        <v>-63898287</v>
      </c>
      <c r="AD130" s="522">
        <f t="shared" si="43"/>
        <v>-64098287</v>
      </c>
      <c r="AE130" s="522">
        <f t="shared" si="43"/>
        <v>-64098287</v>
      </c>
      <c r="AF130" s="522">
        <f t="shared" si="43"/>
        <v>-64098287</v>
      </c>
      <c r="AG130" s="522">
        <f t="shared" si="43"/>
        <v>-64098287</v>
      </c>
      <c r="AH130" s="522">
        <f t="shared" si="43"/>
        <v>-64098287</v>
      </c>
      <c r="AI130" s="522">
        <f t="shared" si="43"/>
        <v>39982693.202822596</v>
      </c>
      <c r="AJ130" s="522">
        <f t="shared" si="43"/>
        <v>39982693.202822596</v>
      </c>
      <c r="AK130" s="522">
        <f t="shared" si="43"/>
        <v>39982693.202822596</v>
      </c>
      <c r="AL130" s="522">
        <f t="shared" si="43"/>
        <v>39982693.202822596</v>
      </c>
      <c r="AM130" s="522">
        <f t="shared" si="43"/>
        <v>39982693.202822596</v>
      </c>
      <c r="AN130" s="522">
        <f t="shared" si="43"/>
        <v>39982693.202822596</v>
      </c>
      <c r="AO130" s="522">
        <f t="shared" si="43"/>
        <v>39982693.202822596</v>
      </c>
      <c r="AP130" s="522">
        <f t="shared" si="43"/>
        <v>39982693.202822596</v>
      </c>
      <c r="AQ130" s="522">
        <f t="shared" si="43"/>
        <v>39982693.202822596</v>
      </c>
      <c r="AR130" s="522">
        <f t="shared" si="43"/>
        <v>39982693.202822596</v>
      </c>
      <c r="AS130" s="522">
        <f t="shared" si="43"/>
        <v>39982693.202822596</v>
      </c>
      <c r="AT130" s="522">
        <f t="shared" si="43"/>
        <v>39982693.202822596</v>
      </c>
      <c r="AU130" s="522">
        <f t="shared" si="43"/>
        <v>39982693.202822596</v>
      </c>
      <c r="AV130" s="522">
        <f t="shared" si="43"/>
        <v>39982693.202822596</v>
      </c>
      <c r="AW130" s="522">
        <f t="shared" si="43"/>
        <v>39982693.202822596</v>
      </c>
      <c r="AX130" s="522">
        <f t="shared" si="43"/>
        <v>39982693.202822596</v>
      </c>
      <c r="AY130" s="522">
        <f t="shared" si="43"/>
        <v>39982693.202822596</v>
      </c>
      <c r="AZ130" s="522">
        <f t="shared" si="43"/>
        <v>39982693.202822596</v>
      </c>
      <c r="BA130" s="522">
        <f t="shared" si="43"/>
        <v>39982693.202822596</v>
      </c>
      <c r="BB130" s="522">
        <f t="shared" si="43"/>
        <v>39982693.202822596</v>
      </c>
      <c r="BC130" s="522">
        <f t="shared" si="43"/>
        <v>39982693.202822596</v>
      </c>
      <c r="BD130" s="522">
        <f t="shared" si="43"/>
        <v>39982693.202822596</v>
      </c>
      <c r="BE130" s="522">
        <f t="shared" si="43"/>
        <v>39982693.202822596</v>
      </c>
      <c r="BF130" s="522">
        <f t="shared" si="43"/>
        <v>39982693.202822596</v>
      </c>
      <c r="BG130" s="522">
        <f t="shared" si="43"/>
        <v>39982693.202822596</v>
      </c>
      <c r="BH130" s="522">
        <f t="shared" si="43"/>
        <v>39982693.202822596</v>
      </c>
      <c r="BI130" s="522">
        <f t="shared" si="43"/>
        <v>39982693.202822596</v>
      </c>
      <c r="BJ130" s="522">
        <f t="shared" si="43"/>
        <v>39982693.202822596</v>
      </c>
      <c r="BK130" s="522">
        <f t="shared" si="43"/>
        <v>39982693.202822596</v>
      </c>
      <c r="BL130" s="522">
        <f t="shared" si="43"/>
        <v>39982693.202822596</v>
      </c>
      <c r="BM130" s="522">
        <f t="shared" si="43"/>
        <v>39982693.202822596</v>
      </c>
      <c r="BN130" s="522">
        <f t="shared" si="43"/>
        <v>39982693.202822596</v>
      </c>
      <c r="BO130" s="522">
        <f t="shared" si="43"/>
        <v>39982693.202822596</v>
      </c>
      <c r="BP130" s="522">
        <f t="shared" si="43"/>
        <v>39982693.202822596</v>
      </c>
      <c r="BQ130" s="522">
        <f t="shared" si="43"/>
        <v>39982693.202822596</v>
      </c>
      <c r="BR130" s="522">
        <f t="shared" ref="BR130:BX130" si="44">BQ130+BR129</f>
        <v>39982693.202822596</v>
      </c>
      <c r="BS130" s="522">
        <f t="shared" si="44"/>
        <v>39982693.202822596</v>
      </c>
      <c r="BT130" s="522">
        <f t="shared" si="44"/>
        <v>39982693.202822596</v>
      </c>
      <c r="BU130" s="522">
        <f t="shared" si="44"/>
        <v>39982693.202822596</v>
      </c>
      <c r="BV130" s="522">
        <f t="shared" si="44"/>
        <v>39982693.202822596</v>
      </c>
      <c r="BW130" s="522">
        <f t="shared" si="44"/>
        <v>39982693.202822596</v>
      </c>
      <c r="BX130" s="522" t="e">
        <f t="shared" si="44"/>
        <v>#REF!</v>
      </c>
    </row>
    <row r="131" spans="3:76">
      <c r="C131" s="513" t="s">
        <v>352</v>
      </c>
      <c r="D131" s="518">
        <f>IRR(U129:AJ129)*12</f>
        <v>0.48738317682428445</v>
      </c>
      <c r="E131" s="265"/>
      <c r="F131" s="265"/>
      <c r="G131" s="265"/>
      <c r="H131" s="265"/>
      <c r="I131" s="265"/>
      <c r="J131" s="265"/>
      <c r="K131" s="265"/>
      <c r="L131" s="265"/>
      <c r="M131" s="265"/>
      <c r="N131" s="265"/>
      <c r="O131" s="265"/>
      <c r="P131" s="265"/>
      <c r="Q131" s="265"/>
      <c r="R131" s="265"/>
      <c r="S131" s="265"/>
      <c r="T131" s="265"/>
      <c r="U131" s="265"/>
      <c r="V131" s="265"/>
      <c r="W131" s="265"/>
      <c r="X131" s="265"/>
      <c r="Y131" s="265"/>
      <c r="Z131" s="265"/>
      <c r="AA131" s="265"/>
      <c r="AB131" s="265"/>
      <c r="AC131" s="265"/>
      <c r="AD131" s="265"/>
      <c r="AE131" s="265"/>
      <c r="AF131" s="265"/>
      <c r="AG131" s="265"/>
      <c r="AH131" s="265"/>
      <c r="AI131" s="265"/>
      <c r="AJ131" s="265"/>
      <c r="AK131" s="265"/>
      <c r="AL131" s="265"/>
      <c r="AM131" s="265"/>
      <c r="AN131" s="265"/>
      <c r="AO131" s="265"/>
      <c r="AP131" s="265"/>
      <c r="AQ131" s="265"/>
      <c r="AR131" s="265"/>
      <c r="AS131" s="265"/>
      <c r="AT131" s="265"/>
      <c r="AU131" s="265"/>
      <c r="AV131" s="265"/>
      <c r="AW131" s="265"/>
      <c r="AX131" s="265"/>
      <c r="AY131" s="265"/>
      <c r="AZ131" s="265"/>
      <c r="BA131" s="265"/>
      <c r="BB131" s="265"/>
      <c r="BC131" s="265"/>
      <c r="BD131" s="265"/>
      <c r="BE131" s="265"/>
      <c r="BF131" s="265"/>
      <c r="BG131" s="265"/>
      <c r="BH131" s="265"/>
      <c r="BI131" s="265"/>
      <c r="BJ131" s="265"/>
      <c r="BK131" s="265"/>
      <c r="BL131" s="265"/>
      <c r="BM131" s="265"/>
      <c r="BN131" s="265"/>
      <c r="BO131" s="265"/>
      <c r="BP131" s="265"/>
      <c r="BQ131" s="265"/>
      <c r="BR131" s="265"/>
      <c r="BS131" s="265"/>
      <c r="BT131" s="265"/>
      <c r="BU131" s="265"/>
      <c r="BV131" s="265"/>
      <c r="BW131" s="265"/>
      <c r="BX131" s="265"/>
    </row>
    <row r="132" spans="3:76">
      <c r="C132" s="519" t="s">
        <v>353</v>
      </c>
      <c r="D132" s="520">
        <f>BY6</f>
        <v>51061880</v>
      </c>
      <c r="E132" s="265"/>
      <c r="F132" s="265"/>
      <c r="G132" s="265"/>
      <c r="H132" s="265"/>
      <c r="I132" s="265"/>
      <c r="J132" s="265"/>
      <c r="K132" s="265"/>
      <c r="L132" s="265"/>
      <c r="M132" s="265"/>
      <c r="N132" s="265"/>
      <c r="O132" s="265"/>
      <c r="P132" s="265"/>
      <c r="Q132" s="265"/>
      <c r="R132" s="265"/>
      <c r="S132" s="265"/>
      <c r="T132" s="265"/>
      <c r="U132" s="265"/>
      <c r="V132" s="265"/>
      <c r="W132" s="265"/>
      <c r="X132" s="265"/>
      <c r="Y132" s="265"/>
      <c r="Z132" s="265"/>
      <c r="AA132" s="265"/>
      <c r="AB132" s="265"/>
      <c r="AC132" s="265"/>
      <c r="AD132" s="265"/>
      <c r="AE132" s="265"/>
      <c r="AF132" s="265"/>
      <c r="AG132" s="265"/>
      <c r="AH132" s="265"/>
      <c r="AI132" s="265"/>
      <c r="AJ132" s="265"/>
      <c r="AK132" s="265"/>
      <c r="AL132" s="265"/>
      <c r="AM132" s="265"/>
      <c r="AN132" s="265"/>
      <c r="AO132" s="265"/>
      <c r="AP132" s="265"/>
      <c r="AQ132" s="265"/>
      <c r="AR132" s="265"/>
      <c r="AS132" s="265"/>
      <c r="AT132" s="265"/>
      <c r="AU132" s="265"/>
      <c r="AV132" s="265"/>
      <c r="AW132" s="265"/>
      <c r="AX132" s="265"/>
      <c r="AY132" s="265"/>
      <c r="AZ132" s="265"/>
      <c r="BA132" s="265"/>
      <c r="BB132" s="265"/>
      <c r="BC132" s="265"/>
      <c r="BD132" s="265"/>
      <c r="BE132" s="265"/>
      <c r="BF132" s="265"/>
      <c r="BG132" s="265"/>
      <c r="BH132" s="265"/>
      <c r="BI132" s="265"/>
      <c r="BJ132" s="265"/>
      <c r="BK132" s="265"/>
      <c r="BL132" s="265"/>
      <c r="BM132" s="265"/>
      <c r="BN132" s="265"/>
      <c r="BO132" s="265"/>
      <c r="BP132" s="265"/>
      <c r="BQ132" s="265"/>
      <c r="BR132" s="265"/>
      <c r="BS132" s="265"/>
      <c r="BT132" s="265"/>
      <c r="BU132" s="265"/>
      <c r="BV132" s="265"/>
      <c r="BW132" s="265"/>
      <c r="BX132" s="265"/>
    </row>
    <row r="133" spans="3:76">
      <c r="C133" s="519" t="s">
        <v>360</v>
      </c>
      <c r="D133" s="520">
        <f>-V125</f>
        <v>13647457</v>
      </c>
      <c r="E133" s="265"/>
      <c r="F133" s="265"/>
      <c r="G133" s="265"/>
      <c r="H133" s="265"/>
      <c r="I133" s="265"/>
      <c r="J133" s="265"/>
      <c r="K133" s="265"/>
      <c r="L133" s="265"/>
      <c r="M133" s="265"/>
      <c r="N133" s="265"/>
      <c r="O133" s="265"/>
      <c r="P133" s="265"/>
      <c r="Q133" s="265"/>
      <c r="R133" s="265"/>
      <c r="S133" s="265"/>
      <c r="T133" s="265"/>
      <c r="U133" s="265"/>
      <c r="V133" s="265"/>
      <c r="W133" s="265"/>
      <c r="X133" s="265"/>
      <c r="Y133" s="265"/>
      <c r="Z133" s="265"/>
      <c r="AA133" s="265"/>
      <c r="AB133" s="265"/>
      <c r="AC133" s="265"/>
      <c r="AD133" s="265"/>
      <c r="AE133" s="265"/>
      <c r="AF133" s="265"/>
      <c r="AG133" s="265"/>
      <c r="AH133" s="265"/>
      <c r="AI133" s="265">
        <f>AI99*0.3</f>
        <v>14253420.060846781</v>
      </c>
      <c r="AJ133" s="265"/>
      <c r="AK133" s="265"/>
      <c r="AL133" s="265"/>
      <c r="AM133" s="265"/>
      <c r="AN133" s="265"/>
      <c r="AO133" s="265"/>
      <c r="AP133" s="265"/>
      <c r="AQ133" s="265"/>
      <c r="AR133" s="265"/>
      <c r="AS133" s="265"/>
      <c r="AT133" s="265"/>
      <c r="AU133" s="265"/>
      <c r="AV133" s="265"/>
      <c r="AW133" s="265"/>
      <c r="AX133" s="265"/>
      <c r="AY133" s="265"/>
      <c r="AZ133" s="265"/>
      <c r="BA133" s="265"/>
      <c r="BB133" s="265"/>
      <c r="BC133" s="265"/>
      <c r="BD133" s="265"/>
      <c r="BE133" s="265"/>
      <c r="BF133" s="265"/>
      <c r="BG133" s="265"/>
      <c r="BH133" s="265"/>
      <c r="BI133" s="265"/>
      <c r="BJ133" s="265"/>
      <c r="BK133" s="265"/>
      <c r="BL133" s="265"/>
      <c r="BM133" s="265"/>
      <c r="BN133" s="265"/>
      <c r="BO133" s="265"/>
      <c r="BP133" s="265"/>
      <c r="BQ133" s="265"/>
      <c r="BR133" s="265"/>
      <c r="BS133" s="265"/>
      <c r="BT133" s="265"/>
      <c r="BU133" s="265"/>
      <c r="BV133" s="265"/>
      <c r="BW133" s="265"/>
      <c r="BX133" s="265"/>
    </row>
    <row r="134" spans="3:76">
      <c r="C134" s="513" t="s">
        <v>354</v>
      </c>
      <c r="D134" s="521">
        <f>D133+D132</f>
        <v>64709337</v>
      </c>
      <c r="E134" s="265"/>
      <c r="F134" s="265"/>
      <c r="G134" s="265"/>
      <c r="H134" s="265"/>
      <c r="I134" s="265"/>
      <c r="J134" s="265"/>
      <c r="K134" s="265"/>
      <c r="L134" s="265"/>
      <c r="M134" s="265"/>
      <c r="N134" s="265"/>
      <c r="O134" s="265"/>
      <c r="P134" s="265"/>
      <c r="Q134" s="265"/>
      <c r="R134" s="265"/>
      <c r="S134" s="265"/>
      <c r="T134" s="265"/>
      <c r="U134" s="265"/>
      <c r="V134" s="265"/>
      <c r="W134" s="265"/>
      <c r="X134" s="265"/>
      <c r="Y134" s="265"/>
      <c r="Z134" s="265"/>
      <c r="AA134" s="265"/>
      <c r="AB134" s="265"/>
      <c r="AC134" s="265"/>
      <c r="AD134" s="265"/>
      <c r="AE134" s="265"/>
      <c r="AF134" s="265"/>
      <c r="AG134" s="265"/>
      <c r="AH134" s="265"/>
      <c r="AI134" s="265"/>
      <c r="AJ134" s="265"/>
      <c r="AK134" s="265"/>
      <c r="AL134" s="265"/>
      <c r="AM134" s="265"/>
      <c r="AN134" s="265"/>
      <c r="AO134" s="265"/>
      <c r="AP134" s="265"/>
      <c r="AQ134" s="265"/>
      <c r="AR134" s="265"/>
      <c r="AS134" s="265"/>
      <c r="AT134" s="265"/>
      <c r="AU134" s="265"/>
      <c r="AV134" s="265"/>
      <c r="AW134" s="265"/>
      <c r="AX134" s="265"/>
      <c r="AY134" s="265"/>
      <c r="AZ134" s="265"/>
      <c r="BA134" s="265"/>
      <c r="BB134" s="265"/>
      <c r="BC134" s="265"/>
      <c r="BD134" s="265"/>
      <c r="BE134" s="265"/>
      <c r="BF134" s="265"/>
      <c r="BG134" s="265"/>
      <c r="BH134" s="265"/>
      <c r="BI134" s="265"/>
      <c r="BJ134" s="265"/>
      <c r="BK134" s="265"/>
      <c r="BL134" s="265"/>
      <c r="BM134" s="265"/>
      <c r="BN134" s="265"/>
      <c r="BO134" s="265"/>
      <c r="BP134" s="265"/>
      <c r="BQ134" s="265"/>
      <c r="BR134" s="265"/>
      <c r="BS134" s="265"/>
      <c r="BT134" s="265"/>
      <c r="BU134" s="265"/>
      <c r="BV134" s="265"/>
      <c r="BW134" s="265"/>
      <c r="BX134" s="265"/>
    </row>
    <row r="135" spans="3:76">
      <c r="C135" s="513" t="s">
        <v>355</v>
      </c>
      <c r="D135" s="521">
        <f>AI127+AI126</f>
        <v>39982693.202822603</v>
      </c>
      <c r="E135" s="265"/>
      <c r="F135" s="265"/>
      <c r="G135" s="265"/>
      <c r="H135" s="265"/>
      <c r="I135" s="265"/>
      <c r="J135" s="265"/>
      <c r="K135" s="265"/>
      <c r="L135" s="265"/>
      <c r="M135" s="265"/>
      <c r="N135" s="265"/>
      <c r="O135" s="265"/>
      <c r="P135" s="265"/>
      <c r="Q135" s="265"/>
      <c r="R135" s="265"/>
      <c r="S135" s="265"/>
      <c r="T135" s="265"/>
      <c r="U135" s="265"/>
      <c r="V135" s="265"/>
      <c r="W135" s="265"/>
      <c r="X135" s="265"/>
      <c r="Y135" s="265"/>
      <c r="Z135" s="265"/>
      <c r="AA135" s="265"/>
      <c r="AB135" s="265"/>
      <c r="AC135" s="265"/>
      <c r="AD135" s="265"/>
      <c r="AE135" s="265"/>
      <c r="AF135" s="265"/>
      <c r="AG135" s="265"/>
      <c r="AH135" s="265"/>
      <c r="AI135" s="265"/>
      <c r="AJ135" s="265"/>
      <c r="AK135" s="265"/>
      <c r="AL135" s="265"/>
      <c r="AM135" s="265"/>
      <c r="AN135" s="265"/>
      <c r="AO135" s="265"/>
      <c r="AP135" s="265"/>
      <c r="AQ135" s="265"/>
      <c r="AR135" s="265"/>
      <c r="AS135" s="265"/>
      <c r="AT135" s="265"/>
      <c r="AU135" s="265"/>
      <c r="AV135" s="265"/>
      <c r="AW135" s="265"/>
      <c r="AX135" s="265"/>
      <c r="AY135" s="265"/>
      <c r="AZ135" s="265"/>
      <c r="BA135" s="265"/>
      <c r="BB135" s="265"/>
      <c r="BC135" s="265"/>
      <c r="BD135" s="265"/>
      <c r="BE135" s="265"/>
      <c r="BF135" s="265"/>
      <c r="BG135" s="265"/>
      <c r="BH135" s="265"/>
      <c r="BI135" s="265"/>
      <c r="BJ135" s="265"/>
      <c r="BK135" s="265"/>
      <c r="BL135" s="265"/>
      <c r="BM135" s="265"/>
      <c r="BN135" s="265"/>
      <c r="BO135" s="265"/>
      <c r="BP135" s="265"/>
      <c r="BQ135" s="265"/>
      <c r="BR135" s="265"/>
      <c r="BS135" s="265"/>
      <c r="BT135" s="265"/>
      <c r="BU135" s="265"/>
      <c r="BV135" s="265"/>
      <c r="BW135" s="265"/>
      <c r="BX135" s="265"/>
    </row>
    <row r="136" spans="3:76">
      <c r="C136" s="513" t="s">
        <v>356</v>
      </c>
      <c r="D136" s="518">
        <f>D135/D134</f>
        <v>0.61788136081231371</v>
      </c>
      <c r="E136" s="265"/>
      <c r="F136" s="265"/>
      <c r="G136" s="544"/>
      <c r="H136" s="265"/>
      <c r="I136" s="265"/>
      <c r="J136" s="265"/>
      <c r="K136" s="265"/>
      <c r="L136" s="265"/>
      <c r="M136" s="265"/>
      <c r="N136" s="265"/>
      <c r="O136" s="265"/>
      <c r="P136" s="265"/>
      <c r="Q136" s="265"/>
      <c r="R136" s="265"/>
      <c r="S136" s="265"/>
      <c r="T136" s="265"/>
      <c r="U136" s="265"/>
      <c r="V136" s="265"/>
      <c r="W136" s="265"/>
      <c r="X136" s="265"/>
      <c r="Y136" s="265"/>
      <c r="Z136" s="265"/>
      <c r="AA136" s="265"/>
      <c r="AB136" s="265"/>
      <c r="AC136" s="265"/>
      <c r="AD136" s="265"/>
      <c r="AE136" s="265"/>
      <c r="AF136" s="265"/>
      <c r="AG136" s="265"/>
      <c r="AH136" s="265"/>
      <c r="AI136" s="265"/>
      <c r="AJ136" s="265"/>
      <c r="AK136" s="265"/>
      <c r="AL136" s="265"/>
      <c r="AM136" s="265"/>
      <c r="AN136" s="265"/>
      <c r="AO136" s="265"/>
      <c r="AP136" s="265"/>
      <c r="AQ136" s="265"/>
      <c r="AR136" s="265"/>
      <c r="AS136" s="265"/>
      <c r="AT136" s="265"/>
      <c r="AU136" s="265"/>
      <c r="AV136" s="265"/>
      <c r="AW136" s="265"/>
      <c r="AX136" s="265"/>
      <c r="AY136" s="265"/>
      <c r="AZ136" s="265"/>
      <c r="BA136" s="265"/>
      <c r="BB136" s="265"/>
      <c r="BC136" s="265"/>
      <c r="BD136" s="265"/>
      <c r="BE136" s="265"/>
      <c r="BF136" s="265"/>
      <c r="BG136" s="265"/>
      <c r="BH136" s="265"/>
      <c r="BI136" s="265"/>
      <c r="BJ136" s="265"/>
      <c r="BK136" s="265"/>
      <c r="BL136" s="265"/>
      <c r="BM136" s="265"/>
      <c r="BN136" s="265"/>
      <c r="BO136" s="265"/>
      <c r="BP136" s="265"/>
      <c r="BQ136" s="265"/>
      <c r="BR136" s="265"/>
      <c r="BS136" s="265"/>
      <c r="BT136" s="265"/>
      <c r="BU136" s="265"/>
      <c r="BV136" s="265"/>
      <c r="BW136" s="265"/>
      <c r="BX136" s="265"/>
    </row>
    <row r="137" spans="3:76">
      <c r="E137" s="265"/>
      <c r="F137" s="265"/>
      <c r="G137" s="265"/>
      <c r="H137" s="265"/>
      <c r="I137" s="265"/>
      <c r="J137" s="265"/>
      <c r="K137" s="265"/>
      <c r="L137" s="265"/>
      <c r="M137" s="265"/>
      <c r="N137" s="265"/>
      <c r="O137" s="265"/>
      <c r="P137" s="265"/>
      <c r="Q137" s="265"/>
      <c r="R137" s="265"/>
      <c r="S137" s="265"/>
      <c r="T137" s="265"/>
      <c r="U137" s="265"/>
      <c r="V137" s="265"/>
      <c r="W137" s="265"/>
      <c r="X137" s="265"/>
      <c r="Y137" s="265"/>
      <c r="Z137" s="265"/>
      <c r="AA137" s="265"/>
      <c r="AB137" s="265"/>
      <c r="AC137" s="265"/>
      <c r="AD137" s="265"/>
      <c r="AE137" s="265"/>
      <c r="AF137" s="265"/>
      <c r="AG137" s="265"/>
      <c r="AH137" s="265"/>
      <c r="AI137" s="265"/>
      <c r="AJ137" s="265"/>
      <c r="AK137" s="265"/>
      <c r="AL137" s="265"/>
      <c r="AM137" s="265"/>
      <c r="AN137" s="265"/>
      <c r="AO137" s="265"/>
      <c r="AP137" s="265"/>
      <c r="AQ137" s="265"/>
      <c r="AR137" s="265"/>
      <c r="AS137" s="265"/>
      <c r="AT137" s="265"/>
      <c r="AU137" s="265"/>
      <c r="AV137" s="265"/>
      <c r="AW137" s="265"/>
      <c r="AX137" s="265"/>
      <c r="AY137" s="265"/>
      <c r="AZ137" s="265"/>
      <c r="BA137" s="265"/>
      <c r="BB137" s="265"/>
      <c r="BC137" s="265"/>
      <c r="BD137" s="265"/>
      <c r="BE137" s="265"/>
      <c r="BF137" s="265"/>
      <c r="BG137" s="265"/>
      <c r="BH137" s="265"/>
      <c r="BI137" s="265"/>
      <c r="BJ137" s="265"/>
      <c r="BK137" s="265"/>
      <c r="BL137" s="265"/>
      <c r="BM137" s="265"/>
      <c r="BN137" s="265"/>
      <c r="BO137" s="265"/>
      <c r="BP137" s="265"/>
      <c r="BQ137" s="265"/>
      <c r="BR137" s="265"/>
      <c r="BS137" s="265"/>
      <c r="BT137" s="265"/>
      <c r="BU137" s="265"/>
      <c r="BV137" s="265"/>
      <c r="BW137" s="265"/>
      <c r="BX137" s="265"/>
    </row>
    <row r="138" spans="3:76">
      <c r="E138" s="265"/>
      <c r="F138" s="265"/>
      <c r="G138" s="265"/>
      <c r="H138" s="265"/>
      <c r="I138" s="265"/>
      <c r="J138" s="265"/>
      <c r="K138" s="265"/>
      <c r="L138" s="265"/>
      <c r="M138" s="265"/>
      <c r="N138" s="265"/>
      <c r="O138" s="265"/>
      <c r="P138" s="265"/>
      <c r="Q138" s="265"/>
      <c r="R138" s="265"/>
      <c r="S138" s="265"/>
      <c r="T138" s="265"/>
      <c r="U138" s="265"/>
      <c r="V138" s="265"/>
      <c r="W138" s="265"/>
      <c r="X138" s="265"/>
      <c r="Y138" s="265"/>
      <c r="Z138" s="265"/>
      <c r="AA138" s="265"/>
      <c r="AB138" s="265"/>
      <c r="AC138" s="265"/>
      <c r="AD138" s="265"/>
      <c r="AE138" s="265"/>
      <c r="AF138" s="265"/>
      <c r="AG138" s="265"/>
      <c r="AH138" s="265"/>
      <c r="AI138" s="265"/>
      <c r="AJ138" s="265"/>
      <c r="AK138" s="265"/>
      <c r="AL138" s="265"/>
      <c r="AM138" s="265"/>
      <c r="AN138" s="265"/>
      <c r="AO138" s="265"/>
      <c r="AP138" s="265"/>
      <c r="AQ138" s="265"/>
      <c r="AR138" s="265"/>
      <c r="AS138" s="265"/>
      <c r="AT138" s="265"/>
      <c r="AU138" s="265"/>
      <c r="AV138" s="265"/>
      <c r="AW138" s="265"/>
      <c r="AX138" s="265"/>
      <c r="AY138" s="265"/>
      <c r="AZ138" s="265"/>
      <c r="BA138" s="265"/>
      <c r="BB138" s="265"/>
      <c r="BC138" s="265"/>
      <c r="BD138" s="265"/>
      <c r="BE138" s="265"/>
      <c r="BF138" s="265"/>
      <c r="BG138" s="265"/>
      <c r="BH138" s="265"/>
      <c r="BI138" s="265"/>
      <c r="BJ138" s="265"/>
      <c r="BK138" s="265"/>
      <c r="BL138" s="265"/>
      <c r="BM138" s="265"/>
      <c r="BN138" s="265"/>
      <c r="BO138" s="265"/>
      <c r="BP138" s="265"/>
      <c r="BQ138" s="265"/>
      <c r="BR138" s="265"/>
      <c r="BS138" s="265"/>
      <c r="BT138" s="265"/>
      <c r="BU138" s="265"/>
      <c r="BV138" s="265"/>
      <c r="BW138" s="265"/>
      <c r="BX138" s="265"/>
    </row>
    <row r="139" spans="3:76" hidden="1">
      <c r="E139" s="265"/>
      <c r="F139" s="265"/>
      <c r="G139" s="265"/>
      <c r="H139" s="265"/>
      <c r="I139" s="265"/>
      <c r="J139" s="265"/>
      <c r="K139" s="265"/>
      <c r="L139" s="265"/>
      <c r="M139" s="265"/>
      <c r="N139" s="265"/>
      <c r="O139" s="265"/>
      <c r="P139" s="265"/>
      <c r="Q139" s="265"/>
      <c r="R139" s="265"/>
      <c r="S139" s="265"/>
      <c r="T139" s="265"/>
      <c r="U139" s="265"/>
      <c r="V139" s="265"/>
      <c r="W139" s="265"/>
      <c r="X139" s="265"/>
      <c r="Y139" s="265"/>
      <c r="Z139" s="265"/>
      <c r="AA139" s="265"/>
      <c r="AB139" s="265"/>
      <c r="AC139" s="265"/>
      <c r="AD139" s="265"/>
      <c r="AE139" s="265"/>
      <c r="AF139" s="265"/>
      <c r="AG139" s="265"/>
      <c r="AH139" s="265"/>
      <c r="AI139" s="265"/>
      <c r="AJ139" s="265"/>
      <c r="AK139" s="265"/>
      <c r="AL139" s="265"/>
      <c r="AM139" s="265"/>
      <c r="AN139" s="265"/>
      <c r="AO139" s="265"/>
      <c r="AP139" s="265"/>
      <c r="AQ139" s="265"/>
      <c r="AR139" s="265"/>
      <c r="AS139" s="265"/>
      <c r="AT139" s="265"/>
      <c r="AU139" s="265"/>
      <c r="AV139" s="265"/>
      <c r="AW139" s="265"/>
      <c r="AX139" s="265"/>
      <c r="AY139" s="265"/>
      <c r="AZ139" s="265"/>
      <c r="BA139" s="265"/>
      <c r="BB139" s="265"/>
      <c r="BC139" s="265"/>
      <c r="BD139" s="265"/>
      <c r="BE139" s="265"/>
      <c r="BF139" s="265"/>
      <c r="BG139" s="265"/>
      <c r="BH139" s="265"/>
      <c r="BI139" s="265"/>
      <c r="BJ139" s="265"/>
      <c r="BK139" s="265"/>
      <c r="BL139" s="265"/>
      <c r="BM139" s="265"/>
      <c r="BN139" s="265"/>
      <c r="BO139" s="265"/>
      <c r="BP139" s="265"/>
      <c r="BQ139" s="265"/>
      <c r="BR139" s="265"/>
      <c r="BS139" s="265"/>
      <c r="BT139" s="265"/>
      <c r="BU139" s="265"/>
      <c r="BV139" s="265"/>
      <c r="BW139" s="265"/>
      <c r="BX139" s="265"/>
    </row>
    <row r="140" spans="3:76" hidden="1">
      <c r="C140" s="335" t="s">
        <v>361</v>
      </c>
      <c r="D140" s="511"/>
      <c r="E140" s="511">
        <f t="shared" ref="E140:AF140" si="45">-(E7+E92)</f>
        <v>0</v>
      </c>
      <c r="F140" s="511">
        <f t="shared" si="45"/>
        <v>0</v>
      </c>
      <c r="G140" s="511"/>
      <c r="H140" s="511">
        <f t="shared" si="45"/>
        <v>0</v>
      </c>
      <c r="I140" s="511">
        <f t="shared" si="45"/>
        <v>0</v>
      </c>
      <c r="J140" s="511">
        <f t="shared" si="45"/>
        <v>0</v>
      </c>
      <c r="K140" s="511">
        <f t="shared" si="45"/>
        <v>0</v>
      </c>
      <c r="L140" s="511">
        <f t="shared" si="45"/>
        <v>0</v>
      </c>
      <c r="M140" s="511">
        <f t="shared" si="45"/>
        <v>0</v>
      </c>
      <c r="N140" s="511">
        <f t="shared" si="45"/>
        <v>0</v>
      </c>
      <c r="O140" s="511">
        <f t="shared" si="45"/>
        <v>0</v>
      </c>
      <c r="P140" s="511">
        <f t="shared" si="45"/>
        <v>0</v>
      </c>
      <c r="Q140" s="511">
        <f t="shared" si="45"/>
        <v>0</v>
      </c>
      <c r="R140" s="511">
        <f t="shared" si="45"/>
        <v>0</v>
      </c>
      <c r="S140" s="511">
        <f t="shared" si="45"/>
        <v>0</v>
      </c>
      <c r="T140" s="511">
        <f t="shared" si="45"/>
        <v>0</v>
      </c>
      <c r="U140" s="511">
        <f t="shared" si="45"/>
        <v>0</v>
      </c>
      <c r="V140" s="511">
        <f t="shared" si="45"/>
        <v>0</v>
      </c>
      <c r="W140" s="511">
        <f t="shared" si="45"/>
        <v>0</v>
      </c>
      <c r="X140" s="511">
        <f t="shared" si="45"/>
        <v>0</v>
      </c>
      <c r="Y140" s="511">
        <f t="shared" si="45"/>
        <v>0</v>
      </c>
      <c r="Z140" s="511">
        <f t="shared" si="45"/>
        <v>0</v>
      </c>
      <c r="AA140" s="511">
        <f t="shared" si="45"/>
        <v>0</v>
      </c>
      <c r="AB140" s="511">
        <f t="shared" si="45"/>
        <v>0</v>
      </c>
      <c r="AC140" s="511">
        <f>-(AC6+AC92)</f>
        <v>-150000</v>
      </c>
      <c r="AD140" s="511">
        <f t="shared" si="45"/>
        <v>0</v>
      </c>
      <c r="AE140" s="511">
        <f t="shared" si="45"/>
        <v>0</v>
      </c>
      <c r="AF140" s="511">
        <f t="shared" si="45"/>
        <v>0</v>
      </c>
      <c r="AG140" s="511"/>
      <c r="AH140" s="511"/>
      <c r="AI140" s="511"/>
      <c r="AJ140" s="511"/>
      <c r="AK140" s="511">
        <f t="shared" ref="AK140:BX140" si="46">-(AK7+AK92)</f>
        <v>0</v>
      </c>
      <c r="AL140" s="511">
        <f t="shared" si="46"/>
        <v>0</v>
      </c>
      <c r="AM140" s="511">
        <f t="shared" si="46"/>
        <v>0</v>
      </c>
      <c r="AN140" s="511">
        <f t="shared" si="46"/>
        <v>0</v>
      </c>
      <c r="AO140" s="511">
        <f t="shared" si="46"/>
        <v>0</v>
      </c>
      <c r="AP140" s="511">
        <f t="shared" si="46"/>
        <v>0</v>
      </c>
      <c r="AQ140" s="511">
        <f t="shared" si="46"/>
        <v>0</v>
      </c>
      <c r="AR140" s="511">
        <f t="shared" si="46"/>
        <v>0</v>
      </c>
      <c r="AS140" s="511">
        <f t="shared" si="46"/>
        <v>0</v>
      </c>
      <c r="AT140" s="511">
        <f t="shared" si="46"/>
        <v>0</v>
      </c>
      <c r="AU140" s="511">
        <f t="shared" si="46"/>
        <v>0</v>
      </c>
      <c r="AV140" s="511">
        <f t="shared" si="46"/>
        <v>0</v>
      </c>
      <c r="AW140" s="511">
        <f t="shared" si="46"/>
        <v>0</v>
      </c>
      <c r="AX140" s="511">
        <f t="shared" si="46"/>
        <v>0</v>
      </c>
      <c r="AY140" s="511">
        <f t="shared" si="46"/>
        <v>0</v>
      </c>
      <c r="AZ140" s="511">
        <f t="shared" si="46"/>
        <v>0</v>
      </c>
      <c r="BA140" s="511">
        <f t="shared" si="46"/>
        <v>0</v>
      </c>
      <c r="BB140" s="511">
        <f t="shared" si="46"/>
        <v>0</v>
      </c>
      <c r="BC140" s="511">
        <f t="shared" si="46"/>
        <v>0</v>
      </c>
      <c r="BD140" s="511">
        <f t="shared" si="46"/>
        <v>0</v>
      </c>
      <c r="BE140" s="511">
        <f t="shared" si="46"/>
        <v>0</v>
      </c>
      <c r="BF140" s="511">
        <f t="shared" si="46"/>
        <v>0</v>
      </c>
      <c r="BG140" s="511">
        <f t="shared" si="46"/>
        <v>0</v>
      </c>
      <c r="BH140" s="511">
        <f t="shared" si="46"/>
        <v>0</v>
      </c>
      <c r="BI140" s="511">
        <f t="shared" si="46"/>
        <v>0</v>
      </c>
      <c r="BJ140" s="511">
        <f t="shared" si="46"/>
        <v>0</v>
      </c>
      <c r="BK140" s="511">
        <f t="shared" si="46"/>
        <v>0</v>
      </c>
      <c r="BL140" s="511">
        <f t="shared" si="46"/>
        <v>0</v>
      </c>
      <c r="BM140" s="511">
        <f t="shared" si="46"/>
        <v>0</v>
      </c>
      <c r="BN140" s="511">
        <f t="shared" si="46"/>
        <v>0</v>
      </c>
      <c r="BO140" s="511">
        <f t="shared" si="46"/>
        <v>0</v>
      </c>
      <c r="BP140" s="511">
        <f t="shared" si="46"/>
        <v>0</v>
      </c>
      <c r="BQ140" s="511">
        <f t="shared" si="46"/>
        <v>0</v>
      </c>
      <c r="BR140" s="511">
        <f t="shared" si="46"/>
        <v>0</v>
      </c>
      <c r="BS140" s="511">
        <f t="shared" si="46"/>
        <v>0</v>
      </c>
      <c r="BT140" s="511">
        <f t="shared" si="46"/>
        <v>0</v>
      </c>
      <c r="BU140" s="511">
        <f t="shared" si="46"/>
        <v>0</v>
      </c>
      <c r="BV140" s="511">
        <f t="shared" si="46"/>
        <v>0</v>
      </c>
      <c r="BW140" s="511">
        <f t="shared" si="46"/>
        <v>0</v>
      </c>
      <c r="BX140" s="511">
        <f t="shared" si="46"/>
        <v>0</v>
      </c>
    </row>
    <row r="141" spans="3:76" hidden="1">
      <c r="C141" s="335" t="s">
        <v>358</v>
      </c>
      <c r="D141" s="516"/>
      <c r="E141" s="511"/>
      <c r="F141" s="511"/>
      <c r="G141" s="511"/>
      <c r="H141" s="511"/>
      <c r="I141" s="511"/>
      <c r="J141" s="511"/>
      <c r="K141" s="511"/>
      <c r="L141" s="511"/>
      <c r="M141" s="511"/>
      <c r="N141" s="511"/>
      <c r="O141" s="511"/>
      <c r="P141" s="511"/>
      <c r="Q141" s="511"/>
      <c r="R141" s="511"/>
      <c r="S141" s="511"/>
      <c r="T141" s="511"/>
      <c r="U141" s="511"/>
      <c r="V141" s="511"/>
      <c r="W141" s="511"/>
      <c r="X141" s="511"/>
      <c r="Y141" s="511"/>
      <c r="Z141" s="511"/>
      <c r="AA141" s="511"/>
      <c r="AB141" s="511"/>
      <c r="AC141" s="511"/>
      <c r="AD141" s="511"/>
      <c r="AE141" s="511"/>
      <c r="AF141" s="511"/>
      <c r="AG141" s="511"/>
      <c r="AH141" s="511"/>
      <c r="AI141" s="511"/>
      <c r="AJ141" s="511"/>
      <c r="AK141" s="511"/>
      <c r="AL141" s="511"/>
      <c r="AM141" s="511"/>
      <c r="AN141" s="511"/>
      <c r="AO141" s="511"/>
      <c r="AP141" s="511"/>
      <c r="AQ141" s="511"/>
      <c r="AR141" s="511"/>
      <c r="AS141" s="511"/>
      <c r="AT141" s="511"/>
      <c r="AU141" s="511"/>
      <c r="AV141" s="511"/>
      <c r="AW141" s="511"/>
      <c r="AX141" s="511"/>
      <c r="AY141" s="511"/>
      <c r="AZ141" s="511"/>
      <c r="BA141" s="511"/>
      <c r="BB141" s="511"/>
      <c r="BC141" s="511"/>
      <c r="BD141" s="511"/>
      <c r="BE141" s="511"/>
      <c r="BF141" s="511"/>
      <c r="BG141" s="511"/>
      <c r="BH141" s="511"/>
      <c r="BI141" s="511"/>
      <c r="BJ141" s="511"/>
      <c r="BK141" s="511"/>
      <c r="BL141" s="511"/>
      <c r="BM141" s="511"/>
      <c r="BN141" s="511"/>
      <c r="BO141" s="511"/>
      <c r="BP141" s="511"/>
      <c r="BQ141" s="511"/>
      <c r="BR141" s="511"/>
      <c r="BS141" s="511"/>
      <c r="BT141" s="511"/>
      <c r="BU141" s="511"/>
      <c r="BV141" s="511"/>
      <c r="BW141" s="511"/>
      <c r="BX141" s="511"/>
    </row>
    <row r="142" spans="3:76" hidden="1">
      <c r="C142" s="335" t="s">
        <v>348</v>
      </c>
      <c r="D142" s="516"/>
      <c r="E142" s="511">
        <f t="shared" ref="E142:AF142" si="47">-E57</f>
        <v>0</v>
      </c>
      <c r="F142" s="511">
        <f t="shared" si="47"/>
        <v>0</v>
      </c>
      <c r="G142" s="511"/>
      <c r="H142" s="511">
        <f t="shared" si="47"/>
        <v>0</v>
      </c>
      <c r="I142" s="511">
        <f t="shared" si="47"/>
        <v>0</v>
      </c>
      <c r="J142" s="511">
        <f t="shared" si="47"/>
        <v>0</v>
      </c>
      <c r="K142" s="511">
        <f t="shared" si="47"/>
        <v>0</v>
      </c>
      <c r="L142" s="511">
        <f t="shared" si="47"/>
        <v>0</v>
      </c>
      <c r="M142" s="511">
        <f t="shared" si="47"/>
        <v>0</v>
      </c>
      <c r="N142" s="511">
        <f t="shared" si="47"/>
        <v>0</v>
      </c>
      <c r="O142" s="511">
        <f t="shared" si="47"/>
        <v>0</v>
      </c>
      <c r="P142" s="511">
        <f t="shared" si="47"/>
        <v>0</v>
      </c>
      <c r="Q142" s="511">
        <f t="shared" si="47"/>
        <v>0</v>
      </c>
      <c r="R142" s="511">
        <f t="shared" si="47"/>
        <v>0</v>
      </c>
      <c r="S142" s="511">
        <f t="shared" si="47"/>
        <v>0</v>
      </c>
      <c r="T142" s="511">
        <f t="shared" si="47"/>
        <v>0</v>
      </c>
      <c r="U142" s="511">
        <f t="shared" si="47"/>
        <v>0</v>
      </c>
      <c r="V142" s="511">
        <f t="shared" si="47"/>
        <v>0</v>
      </c>
      <c r="W142" s="511">
        <f t="shared" si="47"/>
        <v>0</v>
      </c>
      <c r="X142" s="511">
        <f t="shared" si="47"/>
        <v>0</v>
      </c>
      <c r="Y142" s="511">
        <f t="shared" si="47"/>
        <v>0</v>
      </c>
      <c r="Z142" s="511">
        <f t="shared" si="47"/>
        <v>0</v>
      </c>
      <c r="AA142" s="511">
        <f t="shared" si="47"/>
        <v>0</v>
      </c>
      <c r="AB142" s="511">
        <f t="shared" si="47"/>
        <v>0</v>
      </c>
      <c r="AC142" s="511">
        <f t="shared" si="47"/>
        <v>0</v>
      </c>
      <c r="AD142" s="511">
        <f t="shared" si="47"/>
        <v>0</v>
      </c>
      <c r="AE142" s="511">
        <f t="shared" si="47"/>
        <v>0</v>
      </c>
      <c r="AF142" s="511">
        <f t="shared" si="47"/>
        <v>0</v>
      </c>
      <c r="AG142" s="511"/>
      <c r="AH142" s="511"/>
      <c r="AI142" s="511"/>
      <c r="AJ142" s="511"/>
      <c r="AK142" s="511">
        <f t="shared" ref="AK142:BX142" si="48">-AK57</f>
        <v>0</v>
      </c>
      <c r="AL142" s="511">
        <f t="shared" si="48"/>
        <v>0</v>
      </c>
      <c r="AM142" s="511">
        <f t="shared" si="48"/>
        <v>0</v>
      </c>
      <c r="AN142" s="511">
        <f t="shared" si="48"/>
        <v>0</v>
      </c>
      <c r="AO142" s="511">
        <f t="shared" si="48"/>
        <v>0</v>
      </c>
      <c r="AP142" s="511">
        <f t="shared" si="48"/>
        <v>0</v>
      </c>
      <c r="AQ142" s="511">
        <f t="shared" si="48"/>
        <v>0</v>
      </c>
      <c r="AR142" s="511">
        <f t="shared" si="48"/>
        <v>0</v>
      </c>
      <c r="AS142" s="511">
        <f t="shared" si="48"/>
        <v>0</v>
      </c>
      <c r="AT142" s="511">
        <f t="shared" si="48"/>
        <v>0</v>
      </c>
      <c r="AU142" s="511">
        <f t="shared" si="48"/>
        <v>0</v>
      </c>
      <c r="AV142" s="511">
        <f t="shared" si="48"/>
        <v>0</v>
      </c>
      <c r="AW142" s="511">
        <f t="shared" si="48"/>
        <v>0</v>
      </c>
      <c r="AX142" s="511">
        <f t="shared" si="48"/>
        <v>0</v>
      </c>
      <c r="AY142" s="511">
        <f t="shared" si="48"/>
        <v>0</v>
      </c>
      <c r="AZ142" s="511">
        <f t="shared" si="48"/>
        <v>0</v>
      </c>
      <c r="BA142" s="511">
        <f t="shared" si="48"/>
        <v>0</v>
      </c>
      <c r="BB142" s="511">
        <f t="shared" si="48"/>
        <v>0</v>
      </c>
      <c r="BC142" s="511">
        <f t="shared" si="48"/>
        <v>0</v>
      </c>
      <c r="BD142" s="511">
        <f t="shared" si="48"/>
        <v>0</v>
      </c>
      <c r="BE142" s="511">
        <f t="shared" si="48"/>
        <v>0</v>
      </c>
      <c r="BF142" s="511">
        <f t="shared" si="48"/>
        <v>0</v>
      </c>
      <c r="BG142" s="511">
        <f t="shared" si="48"/>
        <v>0</v>
      </c>
      <c r="BH142" s="511">
        <f t="shared" si="48"/>
        <v>0</v>
      </c>
      <c r="BI142" s="511">
        <f t="shared" si="48"/>
        <v>0</v>
      </c>
      <c r="BJ142" s="511">
        <f t="shared" si="48"/>
        <v>0</v>
      </c>
      <c r="BK142" s="511">
        <f t="shared" si="48"/>
        <v>0</v>
      </c>
      <c r="BL142" s="511">
        <f t="shared" si="48"/>
        <v>0</v>
      </c>
      <c r="BM142" s="511">
        <f t="shared" si="48"/>
        <v>0</v>
      </c>
      <c r="BN142" s="511">
        <f t="shared" si="48"/>
        <v>0</v>
      </c>
      <c r="BO142" s="511">
        <f t="shared" si="48"/>
        <v>0</v>
      </c>
      <c r="BP142" s="511">
        <f t="shared" si="48"/>
        <v>0</v>
      </c>
      <c r="BQ142" s="511">
        <f t="shared" si="48"/>
        <v>0</v>
      </c>
      <c r="BR142" s="511">
        <f t="shared" si="48"/>
        <v>0</v>
      </c>
      <c r="BS142" s="511">
        <f t="shared" si="48"/>
        <v>0</v>
      </c>
      <c r="BT142" s="511">
        <f t="shared" si="48"/>
        <v>0</v>
      </c>
      <c r="BU142" s="511">
        <f t="shared" si="48"/>
        <v>0</v>
      </c>
      <c r="BV142" s="511">
        <f t="shared" si="48"/>
        <v>0</v>
      </c>
      <c r="BW142" s="511">
        <f t="shared" si="48"/>
        <v>0</v>
      </c>
      <c r="BX142" s="511">
        <f t="shared" si="48"/>
        <v>0</v>
      </c>
    </row>
    <row r="143" spans="3:76" hidden="1">
      <c r="C143" s="335" t="s">
        <v>349</v>
      </c>
      <c r="D143" s="516"/>
      <c r="E143" s="511"/>
      <c r="F143" s="511"/>
      <c r="G143" s="511"/>
      <c r="H143" s="511"/>
      <c r="I143" s="511"/>
      <c r="J143" s="511"/>
      <c r="K143" s="511"/>
      <c r="L143" s="511"/>
      <c r="M143" s="511"/>
      <c r="N143" s="511"/>
      <c r="O143" s="511"/>
      <c r="P143" s="511"/>
      <c r="Q143" s="511"/>
      <c r="R143" s="511"/>
      <c r="S143" s="511"/>
      <c r="T143" s="511"/>
      <c r="U143" s="511"/>
      <c r="V143" s="511"/>
      <c r="W143" s="511"/>
      <c r="X143" s="511"/>
      <c r="Y143" s="511"/>
      <c r="Z143" s="511"/>
      <c r="AA143" s="511"/>
      <c r="AB143" s="511"/>
      <c r="AC143" s="511"/>
      <c r="AD143" s="511"/>
      <c r="AE143" s="511"/>
      <c r="AF143" s="511"/>
      <c r="AG143" s="511"/>
      <c r="AH143" s="511"/>
      <c r="AI143" s="511"/>
      <c r="AJ143" s="511"/>
      <c r="AK143" s="511"/>
      <c r="AL143" s="511"/>
      <c r="AM143" s="511"/>
      <c r="AN143" s="511"/>
      <c r="AO143" s="511"/>
      <c r="AP143" s="511"/>
      <c r="AQ143" s="511"/>
      <c r="AR143" s="511"/>
      <c r="AS143" s="511"/>
      <c r="AT143" s="511"/>
      <c r="AU143" s="511"/>
      <c r="AV143" s="511"/>
      <c r="AW143" s="511"/>
      <c r="AX143" s="511"/>
      <c r="AY143" s="511"/>
      <c r="AZ143" s="511"/>
      <c r="BA143" s="511"/>
      <c r="BB143" s="511"/>
      <c r="BC143" s="511"/>
      <c r="BD143" s="511"/>
      <c r="BE143" s="511"/>
      <c r="BF143" s="511"/>
      <c r="BG143" s="511"/>
      <c r="BH143" s="511"/>
      <c r="BI143" s="511"/>
      <c r="BJ143" s="511"/>
      <c r="BK143" s="511"/>
      <c r="BL143" s="511"/>
      <c r="BM143" s="511"/>
      <c r="BN143" s="511"/>
      <c r="BO143" s="511"/>
      <c r="BP143" s="511"/>
      <c r="BQ143" s="511"/>
      <c r="BR143" s="511"/>
      <c r="BS143" s="511"/>
      <c r="BT143" s="511"/>
      <c r="BU143" s="511"/>
      <c r="BV143" s="511"/>
      <c r="BW143" s="511"/>
      <c r="BX143" s="511" t="e">
        <f>IF(#REF!&gt;0.25,(BX99-BX105)*D144,BX99*D144)</f>
        <v>#REF!</v>
      </c>
    </row>
    <row r="144" spans="3:76" hidden="1">
      <c r="C144" s="513" t="s">
        <v>350</v>
      </c>
      <c r="D144" s="516">
        <v>1</v>
      </c>
      <c r="E144" s="283"/>
      <c r="F144" s="283"/>
      <c r="G144" s="283"/>
      <c r="H144" s="283"/>
      <c r="I144" s="283"/>
      <c r="J144" s="283"/>
      <c r="K144" s="283"/>
      <c r="L144" s="283"/>
      <c r="M144" s="283"/>
      <c r="N144" s="283"/>
      <c r="O144" s="283"/>
      <c r="P144" s="283"/>
      <c r="Q144" s="283"/>
      <c r="R144" s="283"/>
      <c r="S144" s="283"/>
      <c r="T144" s="283"/>
      <c r="U144" s="283"/>
      <c r="V144" s="283"/>
      <c r="W144" s="283"/>
      <c r="X144" s="283"/>
      <c r="Y144" s="283"/>
      <c r="Z144" s="283"/>
      <c r="AA144" s="283"/>
      <c r="AB144" s="283"/>
      <c r="AC144" s="283"/>
      <c r="AD144" s="283"/>
      <c r="AE144" s="283"/>
      <c r="AF144" s="283"/>
      <c r="AG144" s="283"/>
      <c r="AH144" s="283"/>
      <c r="AI144" s="283"/>
      <c r="AJ144" s="283"/>
      <c r="AK144" s="283"/>
      <c r="AL144" s="283"/>
      <c r="AM144" s="283"/>
      <c r="AN144" s="283"/>
      <c r="AO144" s="283"/>
      <c r="AP144" s="283"/>
      <c r="AQ144" s="283"/>
      <c r="AR144" s="283"/>
      <c r="AS144" s="283"/>
      <c r="AT144" s="283"/>
      <c r="AU144" s="283"/>
      <c r="AV144" s="283"/>
      <c r="AW144" s="283"/>
      <c r="AX144" s="283"/>
      <c r="AY144" s="283"/>
      <c r="AZ144" s="283"/>
      <c r="BA144" s="283"/>
      <c r="BB144" s="283"/>
      <c r="BC144" s="283"/>
      <c r="BD144" s="283"/>
      <c r="BE144" s="283"/>
      <c r="BF144" s="283"/>
      <c r="BG144" s="283"/>
      <c r="BH144" s="283"/>
      <c r="BI144" s="283"/>
      <c r="BJ144" s="283"/>
      <c r="BK144" s="283"/>
      <c r="BL144" s="283"/>
      <c r="BM144" s="283"/>
      <c r="BN144" s="283"/>
      <c r="BO144" s="283"/>
      <c r="BP144" s="283"/>
      <c r="BQ144" s="283"/>
      <c r="BR144" s="283"/>
      <c r="BS144" s="283"/>
      <c r="BT144" s="283"/>
      <c r="BU144" s="283"/>
      <c r="BV144" s="283"/>
      <c r="BW144" s="283"/>
      <c r="BX144" s="283"/>
    </row>
    <row r="145" spans="3:76" hidden="1">
      <c r="C145" s="335" t="s">
        <v>351</v>
      </c>
      <c r="D145" s="511"/>
      <c r="E145" s="517">
        <f t="shared" ref="E145:AF145" si="49">E140+E141+E142+E143+E144</f>
        <v>0</v>
      </c>
      <c r="F145" s="517">
        <f t="shared" si="49"/>
        <v>0</v>
      </c>
      <c r="G145" s="517"/>
      <c r="H145" s="517">
        <f t="shared" si="49"/>
        <v>0</v>
      </c>
      <c r="I145" s="517">
        <f t="shared" si="49"/>
        <v>0</v>
      </c>
      <c r="J145" s="517">
        <f t="shared" si="49"/>
        <v>0</v>
      </c>
      <c r="K145" s="517">
        <f t="shared" si="49"/>
        <v>0</v>
      </c>
      <c r="L145" s="517">
        <f t="shared" si="49"/>
        <v>0</v>
      </c>
      <c r="M145" s="517">
        <f t="shared" si="49"/>
        <v>0</v>
      </c>
      <c r="N145" s="517">
        <f t="shared" si="49"/>
        <v>0</v>
      </c>
      <c r="O145" s="517">
        <f t="shared" si="49"/>
        <v>0</v>
      </c>
      <c r="P145" s="517">
        <f t="shared" si="49"/>
        <v>0</v>
      </c>
      <c r="Q145" s="517">
        <f t="shared" si="49"/>
        <v>0</v>
      </c>
      <c r="R145" s="517">
        <f t="shared" si="49"/>
        <v>0</v>
      </c>
      <c r="S145" s="517">
        <f t="shared" si="49"/>
        <v>0</v>
      </c>
      <c r="T145" s="517">
        <f t="shared" si="49"/>
        <v>0</v>
      </c>
      <c r="U145" s="517">
        <f t="shared" si="49"/>
        <v>0</v>
      </c>
      <c r="V145" s="517">
        <f t="shared" si="49"/>
        <v>0</v>
      </c>
      <c r="W145" s="517">
        <f t="shared" si="49"/>
        <v>0</v>
      </c>
      <c r="X145" s="517">
        <f t="shared" si="49"/>
        <v>0</v>
      </c>
      <c r="Y145" s="517">
        <f t="shared" si="49"/>
        <v>0</v>
      </c>
      <c r="Z145" s="517">
        <f t="shared" si="49"/>
        <v>0</v>
      </c>
      <c r="AA145" s="517">
        <f t="shared" si="49"/>
        <v>0</v>
      </c>
      <c r="AB145" s="517">
        <f t="shared" si="49"/>
        <v>0</v>
      </c>
      <c r="AC145" s="517">
        <f t="shared" si="49"/>
        <v>-150000</v>
      </c>
      <c r="AD145" s="517">
        <f t="shared" si="49"/>
        <v>0</v>
      </c>
      <c r="AE145" s="517">
        <f t="shared" si="49"/>
        <v>0</v>
      </c>
      <c r="AF145" s="517">
        <f t="shared" si="49"/>
        <v>0</v>
      </c>
      <c r="AG145" s="517"/>
      <c r="AH145" s="517"/>
      <c r="AI145" s="517"/>
      <c r="AJ145" s="517"/>
      <c r="AK145" s="517">
        <f t="shared" ref="AK145:BX145" si="50">AK140+AK141+AK142+AK143+AK144</f>
        <v>0</v>
      </c>
      <c r="AL145" s="517">
        <f t="shared" si="50"/>
        <v>0</v>
      </c>
      <c r="AM145" s="517">
        <f t="shared" si="50"/>
        <v>0</v>
      </c>
      <c r="AN145" s="517">
        <f t="shared" si="50"/>
        <v>0</v>
      </c>
      <c r="AO145" s="517">
        <f t="shared" si="50"/>
        <v>0</v>
      </c>
      <c r="AP145" s="517">
        <f t="shared" si="50"/>
        <v>0</v>
      </c>
      <c r="AQ145" s="517">
        <f t="shared" si="50"/>
        <v>0</v>
      </c>
      <c r="AR145" s="517">
        <f t="shared" si="50"/>
        <v>0</v>
      </c>
      <c r="AS145" s="517">
        <f t="shared" si="50"/>
        <v>0</v>
      </c>
      <c r="AT145" s="517">
        <f t="shared" si="50"/>
        <v>0</v>
      </c>
      <c r="AU145" s="517">
        <f t="shared" si="50"/>
        <v>0</v>
      </c>
      <c r="AV145" s="517">
        <f t="shared" si="50"/>
        <v>0</v>
      </c>
      <c r="AW145" s="517">
        <f t="shared" si="50"/>
        <v>0</v>
      </c>
      <c r="AX145" s="517">
        <f t="shared" si="50"/>
        <v>0</v>
      </c>
      <c r="AY145" s="517">
        <f t="shared" si="50"/>
        <v>0</v>
      </c>
      <c r="AZ145" s="517">
        <f t="shared" si="50"/>
        <v>0</v>
      </c>
      <c r="BA145" s="517">
        <f t="shared" si="50"/>
        <v>0</v>
      </c>
      <c r="BB145" s="517">
        <f t="shared" si="50"/>
        <v>0</v>
      </c>
      <c r="BC145" s="517">
        <f t="shared" si="50"/>
        <v>0</v>
      </c>
      <c r="BD145" s="517">
        <f t="shared" si="50"/>
        <v>0</v>
      </c>
      <c r="BE145" s="517">
        <f t="shared" si="50"/>
        <v>0</v>
      </c>
      <c r="BF145" s="517">
        <f t="shared" si="50"/>
        <v>0</v>
      </c>
      <c r="BG145" s="517">
        <f t="shared" si="50"/>
        <v>0</v>
      </c>
      <c r="BH145" s="517">
        <f t="shared" si="50"/>
        <v>0</v>
      </c>
      <c r="BI145" s="517">
        <f t="shared" si="50"/>
        <v>0</v>
      </c>
      <c r="BJ145" s="517">
        <f t="shared" si="50"/>
        <v>0</v>
      </c>
      <c r="BK145" s="517">
        <f t="shared" si="50"/>
        <v>0</v>
      </c>
      <c r="BL145" s="517">
        <f t="shared" si="50"/>
        <v>0</v>
      </c>
      <c r="BM145" s="517">
        <f t="shared" si="50"/>
        <v>0</v>
      </c>
      <c r="BN145" s="517">
        <f t="shared" si="50"/>
        <v>0</v>
      </c>
      <c r="BO145" s="517">
        <f t="shared" si="50"/>
        <v>0</v>
      </c>
      <c r="BP145" s="517">
        <f t="shared" si="50"/>
        <v>0</v>
      </c>
      <c r="BQ145" s="517">
        <f t="shared" si="50"/>
        <v>0</v>
      </c>
      <c r="BR145" s="517">
        <f t="shared" si="50"/>
        <v>0</v>
      </c>
      <c r="BS145" s="517">
        <f t="shared" si="50"/>
        <v>0</v>
      </c>
      <c r="BT145" s="517">
        <f t="shared" si="50"/>
        <v>0</v>
      </c>
      <c r="BU145" s="517">
        <f t="shared" si="50"/>
        <v>0</v>
      </c>
      <c r="BV145" s="517">
        <f t="shared" si="50"/>
        <v>0</v>
      </c>
      <c r="BW145" s="517">
        <f t="shared" si="50"/>
        <v>0</v>
      </c>
      <c r="BX145" s="517" t="e">
        <f t="shared" si="50"/>
        <v>#REF!</v>
      </c>
    </row>
    <row r="146" spans="3:76" hidden="1">
      <c r="C146" s="336"/>
      <c r="D146" s="518" t="s">
        <v>359</v>
      </c>
      <c r="E146" s="522">
        <f>E145</f>
        <v>0</v>
      </c>
      <c r="F146" s="522">
        <f t="shared" ref="F146:AF146" si="51">E146+F145</f>
        <v>0</v>
      </c>
      <c r="G146" s="522"/>
      <c r="H146" s="522">
        <f t="shared" si="51"/>
        <v>0</v>
      </c>
      <c r="I146" s="522">
        <f t="shared" si="51"/>
        <v>0</v>
      </c>
      <c r="J146" s="522">
        <f t="shared" si="51"/>
        <v>0</v>
      </c>
      <c r="K146" s="522">
        <f t="shared" si="51"/>
        <v>0</v>
      </c>
      <c r="L146" s="522">
        <f t="shared" si="51"/>
        <v>0</v>
      </c>
      <c r="M146" s="522">
        <f t="shared" si="51"/>
        <v>0</v>
      </c>
      <c r="N146" s="522">
        <f t="shared" si="51"/>
        <v>0</v>
      </c>
      <c r="O146" s="522">
        <f t="shared" si="51"/>
        <v>0</v>
      </c>
      <c r="P146" s="522">
        <f t="shared" si="51"/>
        <v>0</v>
      </c>
      <c r="Q146" s="522">
        <f t="shared" si="51"/>
        <v>0</v>
      </c>
      <c r="R146" s="522">
        <f t="shared" si="51"/>
        <v>0</v>
      </c>
      <c r="S146" s="522">
        <f t="shared" si="51"/>
        <v>0</v>
      </c>
      <c r="T146" s="522">
        <f t="shared" si="51"/>
        <v>0</v>
      </c>
      <c r="U146" s="522">
        <f t="shared" si="51"/>
        <v>0</v>
      </c>
      <c r="V146" s="522">
        <f t="shared" si="51"/>
        <v>0</v>
      </c>
      <c r="W146" s="522">
        <f t="shared" si="51"/>
        <v>0</v>
      </c>
      <c r="X146" s="522">
        <f t="shared" si="51"/>
        <v>0</v>
      </c>
      <c r="Y146" s="522">
        <f t="shared" si="51"/>
        <v>0</v>
      </c>
      <c r="Z146" s="522">
        <f t="shared" si="51"/>
        <v>0</v>
      </c>
      <c r="AA146" s="522">
        <f t="shared" si="51"/>
        <v>0</v>
      </c>
      <c r="AB146" s="522">
        <f t="shared" si="51"/>
        <v>0</v>
      </c>
      <c r="AC146" s="522">
        <f t="shared" si="51"/>
        <v>-150000</v>
      </c>
      <c r="AD146" s="522">
        <f t="shared" si="51"/>
        <v>-150000</v>
      </c>
      <c r="AE146" s="522">
        <f t="shared" si="51"/>
        <v>-150000</v>
      </c>
      <c r="AF146" s="522">
        <f t="shared" si="51"/>
        <v>-150000</v>
      </c>
      <c r="AG146" s="522"/>
      <c r="AH146" s="522"/>
      <c r="AI146" s="522"/>
      <c r="AJ146" s="522"/>
      <c r="AK146" s="522">
        <f t="shared" ref="AK146:BX146" si="52">AJ146+AK145</f>
        <v>0</v>
      </c>
      <c r="AL146" s="522">
        <f t="shared" si="52"/>
        <v>0</v>
      </c>
      <c r="AM146" s="522">
        <f t="shared" si="52"/>
        <v>0</v>
      </c>
      <c r="AN146" s="522">
        <f t="shared" si="52"/>
        <v>0</v>
      </c>
      <c r="AO146" s="522">
        <f t="shared" si="52"/>
        <v>0</v>
      </c>
      <c r="AP146" s="522">
        <f t="shared" si="52"/>
        <v>0</v>
      </c>
      <c r="AQ146" s="522">
        <f t="shared" si="52"/>
        <v>0</v>
      </c>
      <c r="AR146" s="522">
        <f t="shared" si="52"/>
        <v>0</v>
      </c>
      <c r="AS146" s="522">
        <f t="shared" si="52"/>
        <v>0</v>
      </c>
      <c r="AT146" s="522">
        <f t="shared" si="52"/>
        <v>0</v>
      </c>
      <c r="AU146" s="522">
        <f t="shared" si="52"/>
        <v>0</v>
      </c>
      <c r="AV146" s="522">
        <f t="shared" si="52"/>
        <v>0</v>
      </c>
      <c r="AW146" s="522">
        <f t="shared" si="52"/>
        <v>0</v>
      </c>
      <c r="AX146" s="522">
        <f t="shared" si="52"/>
        <v>0</v>
      </c>
      <c r="AY146" s="522">
        <f t="shared" si="52"/>
        <v>0</v>
      </c>
      <c r="AZ146" s="522">
        <f t="shared" si="52"/>
        <v>0</v>
      </c>
      <c r="BA146" s="522">
        <f t="shared" si="52"/>
        <v>0</v>
      </c>
      <c r="BB146" s="522">
        <f t="shared" si="52"/>
        <v>0</v>
      </c>
      <c r="BC146" s="522">
        <f t="shared" si="52"/>
        <v>0</v>
      </c>
      <c r="BD146" s="522">
        <f t="shared" si="52"/>
        <v>0</v>
      </c>
      <c r="BE146" s="522">
        <f t="shared" si="52"/>
        <v>0</v>
      </c>
      <c r="BF146" s="522">
        <f t="shared" si="52"/>
        <v>0</v>
      </c>
      <c r="BG146" s="522">
        <f t="shared" si="52"/>
        <v>0</v>
      </c>
      <c r="BH146" s="522">
        <f t="shared" si="52"/>
        <v>0</v>
      </c>
      <c r="BI146" s="522">
        <f t="shared" si="52"/>
        <v>0</v>
      </c>
      <c r="BJ146" s="522">
        <f t="shared" si="52"/>
        <v>0</v>
      </c>
      <c r="BK146" s="522">
        <f t="shared" si="52"/>
        <v>0</v>
      </c>
      <c r="BL146" s="522">
        <f t="shared" si="52"/>
        <v>0</v>
      </c>
      <c r="BM146" s="522">
        <f t="shared" si="52"/>
        <v>0</v>
      </c>
      <c r="BN146" s="522">
        <f t="shared" si="52"/>
        <v>0</v>
      </c>
      <c r="BO146" s="522">
        <f t="shared" si="52"/>
        <v>0</v>
      </c>
      <c r="BP146" s="522">
        <f t="shared" si="52"/>
        <v>0</v>
      </c>
      <c r="BQ146" s="522">
        <f t="shared" si="52"/>
        <v>0</v>
      </c>
      <c r="BR146" s="522">
        <f t="shared" si="52"/>
        <v>0</v>
      </c>
      <c r="BS146" s="522">
        <f t="shared" si="52"/>
        <v>0</v>
      </c>
      <c r="BT146" s="522">
        <f t="shared" si="52"/>
        <v>0</v>
      </c>
      <c r="BU146" s="522">
        <f t="shared" si="52"/>
        <v>0</v>
      </c>
      <c r="BV146" s="522">
        <f t="shared" si="52"/>
        <v>0</v>
      </c>
      <c r="BW146" s="522">
        <f t="shared" si="52"/>
        <v>0</v>
      </c>
      <c r="BX146" s="522" t="e">
        <f t="shared" si="52"/>
        <v>#REF!</v>
      </c>
    </row>
    <row r="147" spans="3:76" hidden="1">
      <c r="C147" s="513" t="s">
        <v>352</v>
      </c>
      <c r="D147" s="518" t="e">
        <f>IRR(P145:AC145)*12</f>
        <v>#NUM!</v>
      </c>
      <c r="E147" s="265"/>
      <c r="F147" s="265"/>
      <c r="G147" s="265"/>
      <c r="H147" s="265"/>
      <c r="I147" s="265"/>
      <c r="J147" s="265"/>
      <c r="K147" s="265"/>
      <c r="L147" s="265"/>
      <c r="M147" s="265"/>
      <c r="N147" s="265"/>
      <c r="O147" s="265"/>
      <c r="P147" s="265"/>
      <c r="Q147" s="265"/>
      <c r="R147" s="265"/>
      <c r="S147" s="265"/>
      <c r="T147" s="265"/>
      <c r="U147" s="265"/>
      <c r="V147" s="265"/>
      <c r="W147" s="265"/>
      <c r="X147" s="265"/>
      <c r="Y147" s="265"/>
      <c r="Z147" s="265"/>
      <c r="AA147" s="265"/>
      <c r="AB147" s="265"/>
      <c r="AC147" s="265"/>
      <c r="AD147" s="265"/>
      <c r="AE147" s="265"/>
      <c r="AF147" s="265"/>
      <c r="AG147" s="265"/>
      <c r="AH147" s="265"/>
      <c r="AI147" s="265"/>
      <c r="AJ147" s="265"/>
      <c r="AK147" s="265"/>
      <c r="AL147" s="265"/>
      <c r="AM147" s="265"/>
      <c r="AN147" s="265"/>
      <c r="AO147" s="265"/>
      <c r="AP147" s="265"/>
      <c r="AQ147" s="265"/>
      <c r="AR147" s="265"/>
      <c r="AS147" s="265"/>
      <c r="AT147" s="265"/>
      <c r="AU147" s="265"/>
      <c r="AV147" s="265"/>
      <c r="AW147" s="265"/>
      <c r="AX147" s="265"/>
      <c r="AY147" s="265"/>
      <c r="AZ147" s="265"/>
      <c r="BA147" s="265"/>
      <c r="BB147" s="265"/>
      <c r="BC147" s="265"/>
      <c r="BD147" s="265"/>
      <c r="BE147" s="265"/>
      <c r="BF147" s="265"/>
      <c r="BG147" s="265"/>
      <c r="BH147" s="265"/>
      <c r="BI147" s="265"/>
      <c r="BJ147" s="265"/>
      <c r="BK147" s="265"/>
      <c r="BL147" s="265"/>
      <c r="BM147" s="265"/>
      <c r="BN147" s="265"/>
      <c r="BO147" s="265"/>
      <c r="BP147" s="265"/>
      <c r="BQ147" s="265"/>
      <c r="BR147" s="265"/>
      <c r="BS147" s="265"/>
      <c r="BT147" s="265"/>
      <c r="BU147" s="265"/>
      <c r="BV147" s="265"/>
      <c r="BW147" s="265"/>
      <c r="BX147" s="265"/>
    </row>
    <row r="148" spans="3:76" hidden="1">
      <c r="C148" s="519" t="s">
        <v>353</v>
      </c>
      <c r="D148" s="520">
        <f>-MIN(M146:BL146)-D149</f>
        <v>150000</v>
      </c>
      <c r="E148" s="265"/>
      <c r="F148" s="265"/>
      <c r="G148" s="265"/>
      <c r="H148" s="265"/>
      <c r="I148" s="265"/>
      <c r="J148" s="265"/>
      <c r="K148" s="265"/>
      <c r="L148" s="265"/>
      <c r="M148" s="265"/>
      <c r="N148" s="265"/>
      <c r="O148" s="265"/>
      <c r="P148" s="265"/>
      <c r="Q148" s="265"/>
      <c r="R148" s="265"/>
      <c r="S148" s="265"/>
      <c r="T148" s="265"/>
      <c r="U148" s="265"/>
      <c r="V148" s="265"/>
      <c r="W148" s="265"/>
      <c r="X148" s="265"/>
      <c r="Y148" s="265"/>
      <c r="Z148" s="265"/>
      <c r="AA148" s="265"/>
      <c r="AB148" s="265"/>
      <c r="AC148" s="265"/>
      <c r="AD148" s="265"/>
      <c r="AE148" s="265"/>
      <c r="AF148" s="265"/>
      <c r="AG148" s="265"/>
      <c r="AH148" s="265"/>
      <c r="AI148" s="265"/>
      <c r="AJ148" s="265"/>
      <c r="AK148" s="265"/>
      <c r="AL148" s="265"/>
      <c r="AM148" s="265"/>
      <c r="AN148" s="265"/>
      <c r="AO148" s="265"/>
      <c r="AP148" s="265"/>
      <c r="AQ148" s="265"/>
      <c r="AR148" s="265"/>
      <c r="AS148" s="265"/>
      <c r="AT148" s="265"/>
      <c r="AU148" s="265"/>
      <c r="AV148" s="265"/>
      <c r="AW148" s="265"/>
      <c r="AX148" s="265"/>
      <c r="AY148" s="265"/>
      <c r="AZ148" s="265"/>
      <c r="BA148" s="265"/>
      <c r="BB148" s="265"/>
      <c r="BC148" s="265"/>
      <c r="BD148" s="265"/>
      <c r="BE148" s="265"/>
      <c r="BF148" s="265"/>
      <c r="BG148" s="265"/>
      <c r="BH148" s="265"/>
      <c r="BI148" s="265"/>
      <c r="BJ148" s="265"/>
      <c r="BK148" s="265"/>
      <c r="BL148" s="265"/>
      <c r="BM148" s="265"/>
      <c r="BN148" s="265"/>
      <c r="BO148" s="265"/>
      <c r="BP148" s="265"/>
      <c r="BQ148" s="265"/>
      <c r="BR148" s="265"/>
      <c r="BS148" s="265"/>
      <c r="BT148" s="265"/>
      <c r="BU148" s="265"/>
      <c r="BV148" s="265"/>
      <c r="BW148" s="265"/>
      <c r="BX148" s="265"/>
    </row>
    <row r="149" spans="3:76" hidden="1">
      <c r="C149" s="519" t="s">
        <v>360</v>
      </c>
      <c r="D149" s="520">
        <f>-SUM(M144:BB144)</f>
        <v>0</v>
      </c>
      <c r="E149" s="265"/>
      <c r="F149" s="265"/>
      <c r="G149" s="265"/>
      <c r="H149" s="265"/>
      <c r="I149" s="265"/>
      <c r="J149" s="265"/>
      <c r="K149" s="265"/>
      <c r="L149" s="265"/>
      <c r="M149" s="265"/>
      <c r="N149" s="265"/>
      <c r="O149" s="265"/>
      <c r="P149" s="265"/>
      <c r="Q149" s="265"/>
      <c r="R149" s="265"/>
      <c r="S149" s="265"/>
      <c r="T149" s="265"/>
      <c r="U149" s="265"/>
      <c r="V149" s="265"/>
      <c r="W149" s="265"/>
      <c r="X149" s="265"/>
      <c r="Y149" s="265"/>
      <c r="Z149" s="265"/>
      <c r="AA149" s="265"/>
      <c r="AB149" s="265"/>
      <c r="AC149" s="265"/>
      <c r="AD149" s="265"/>
      <c r="AE149" s="265"/>
      <c r="AF149" s="265"/>
      <c r="AG149" s="265"/>
      <c r="AH149" s="265"/>
      <c r="AI149" s="265"/>
      <c r="AJ149" s="265"/>
      <c r="AK149" s="265"/>
      <c r="AL149" s="265"/>
      <c r="AM149" s="265"/>
      <c r="AN149" s="265"/>
      <c r="AO149" s="265"/>
      <c r="AP149" s="265"/>
      <c r="AQ149" s="265"/>
      <c r="AR149" s="265"/>
      <c r="AS149" s="265"/>
      <c r="AT149" s="265"/>
      <c r="AU149" s="265"/>
      <c r="AV149" s="265"/>
      <c r="AW149" s="265"/>
      <c r="AX149" s="265"/>
      <c r="AY149" s="265"/>
      <c r="AZ149" s="265"/>
      <c r="BA149" s="265"/>
      <c r="BB149" s="265"/>
      <c r="BC149" s="265"/>
      <c r="BD149" s="265"/>
      <c r="BE149" s="265"/>
      <c r="BF149" s="265"/>
      <c r="BG149" s="265"/>
      <c r="BH149" s="265"/>
      <c r="BI149" s="265"/>
      <c r="BJ149" s="265"/>
      <c r="BK149" s="265"/>
      <c r="BL149" s="265"/>
      <c r="BM149" s="265"/>
      <c r="BN149" s="265"/>
      <c r="BO149" s="265"/>
      <c r="BP149" s="265"/>
      <c r="BQ149" s="265"/>
      <c r="BR149" s="265"/>
      <c r="BS149" s="265"/>
      <c r="BT149" s="265"/>
      <c r="BU149" s="265"/>
      <c r="BV149" s="265"/>
      <c r="BW149" s="265"/>
      <c r="BX149" s="265"/>
    </row>
    <row r="150" spans="3:76" hidden="1">
      <c r="C150" s="513" t="s">
        <v>354</v>
      </c>
      <c r="D150" s="521">
        <f>D149+D148</f>
        <v>150000</v>
      </c>
      <c r="E150" s="265"/>
      <c r="F150" s="265"/>
      <c r="G150" s="265"/>
      <c r="H150" s="265"/>
      <c r="I150" s="265"/>
      <c r="J150" s="265"/>
      <c r="K150" s="265"/>
      <c r="L150" s="265"/>
      <c r="M150" s="265"/>
      <c r="N150" s="265"/>
      <c r="O150" s="265"/>
      <c r="P150" s="265"/>
      <c r="Q150" s="265"/>
      <c r="R150" s="265"/>
      <c r="S150" s="265"/>
      <c r="T150" s="265"/>
      <c r="U150" s="265"/>
      <c r="V150" s="265"/>
      <c r="W150" s="265"/>
      <c r="X150" s="265"/>
      <c r="Y150" s="265"/>
      <c r="Z150" s="265"/>
      <c r="AA150" s="265"/>
      <c r="AB150" s="265"/>
      <c r="AC150" s="281">
        <f>AC142/AC140</f>
        <v>0</v>
      </c>
      <c r="AD150" s="265"/>
      <c r="AE150" s="265"/>
      <c r="AF150" s="265"/>
      <c r="AG150" s="265"/>
      <c r="AH150" s="265"/>
      <c r="AI150" s="265"/>
      <c r="AJ150" s="265"/>
      <c r="AK150" s="265"/>
      <c r="AL150" s="265"/>
      <c r="AM150" s="265"/>
      <c r="AN150" s="265"/>
      <c r="AO150" s="265"/>
      <c r="AP150" s="265"/>
      <c r="AQ150" s="265"/>
      <c r="AR150" s="265"/>
      <c r="AS150" s="265"/>
      <c r="AT150" s="265"/>
      <c r="AU150" s="265"/>
      <c r="AV150" s="265"/>
      <c r="AW150" s="265"/>
      <c r="AX150" s="265"/>
      <c r="AY150" s="265"/>
      <c r="AZ150" s="265"/>
      <c r="BA150" s="265"/>
      <c r="BB150" s="265"/>
      <c r="BC150" s="265"/>
      <c r="BD150" s="265"/>
      <c r="BE150" s="265"/>
      <c r="BF150" s="265"/>
      <c r="BG150" s="265"/>
      <c r="BH150" s="265"/>
      <c r="BI150" s="265"/>
      <c r="BJ150" s="265"/>
      <c r="BK150" s="265"/>
      <c r="BL150" s="265"/>
      <c r="BM150" s="265"/>
      <c r="BN150" s="265"/>
      <c r="BO150" s="265"/>
      <c r="BP150" s="265"/>
      <c r="BQ150" s="265"/>
      <c r="BR150" s="265"/>
      <c r="BS150" s="265"/>
      <c r="BT150" s="265"/>
      <c r="BU150" s="265"/>
      <c r="BV150" s="265"/>
      <c r="BW150" s="265"/>
      <c r="BX150" s="265"/>
    </row>
    <row r="151" spans="3:76" hidden="1">
      <c r="C151" s="513" t="s">
        <v>355</v>
      </c>
      <c r="D151" s="521">
        <f>AC143+AC142</f>
        <v>0</v>
      </c>
      <c r="E151" s="265"/>
      <c r="F151" s="265"/>
      <c r="G151" s="265"/>
      <c r="H151" s="265"/>
      <c r="I151" s="265"/>
      <c r="J151" s="265"/>
      <c r="K151" s="265"/>
      <c r="L151" s="265"/>
      <c r="M151" s="265"/>
      <c r="N151" s="265"/>
      <c r="O151" s="265"/>
      <c r="P151" s="265"/>
      <c r="Q151" s="265"/>
      <c r="R151" s="265"/>
      <c r="S151" s="265"/>
      <c r="T151" s="265"/>
      <c r="U151" s="265"/>
      <c r="V151" s="265"/>
      <c r="W151" s="265"/>
      <c r="X151" s="265"/>
      <c r="Y151" s="265"/>
      <c r="Z151" s="265"/>
      <c r="AA151" s="265"/>
      <c r="AB151" s="265"/>
      <c r="AC151" s="265"/>
      <c r="AD151" s="265"/>
      <c r="AE151" s="265"/>
      <c r="AF151" s="265"/>
      <c r="AG151" s="265"/>
      <c r="AH151" s="265"/>
      <c r="AI151" s="265"/>
      <c r="AJ151" s="265"/>
      <c r="AK151" s="265"/>
      <c r="AL151" s="265"/>
      <c r="AM151" s="265"/>
      <c r="AN151" s="265"/>
      <c r="AO151" s="265"/>
      <c r="AP151" s="265"/>
      <c r="AQ151" s="265"/>
      <c r="AR151" s="265"/>
      <c r="AS151" s="265"/>
      <c r="AT151" s="265"/>
      <c r="AU151" s="265"/>
      <c r="AV151" s="265"/>
      <c r="AW151" s="265"/>
      <c r="AX151" s="265"/>
      <c r="AY151" s="265"/>
      <c r="AZ151" s="265"/>
      <c r="BA151" s="265"/>
      <c r="BB151" s="265"/>
      <c r="BC151" s="265"/>
      <c r="BD151" s="265"/>
      <c r="BE151" s="265"/>
      <c r="BF151" s="265"/>
      <c r="BG151" s="265"/>
      <c r="BH151" s="265"/>
      <c r="BI151" s="265"/>
      <c r="BJ151" s="265"/>
      <c r="BK151" s="265"/>
      <c r="BL151" s="265"/>
      <c r="BM151" s="265"/>
      <c r="BN151" s="265"/>
      <c r="BO151" s="265"/>
      <c r="BP151" s="265"/>
      <c r="BQ151" s="265"/>
      <c r="BR151" s="265"/>
      <c r="BS151" s="265"/>
      <c r="BT151" s="265"/>
      <c r="BU151" s="265"/>
      <c r="BV151" s="265"/>
      <c r="BW151" s="265"/>
      <c r="BX151" s="265"/>
    </row>
    <row r="152" spans="3:76" hidden="1">
      <c r="C152" s="513" t="s">
        <v>356</v>
      </c>
      <c r="D152" s="518">
        <f>(D151-D149)/D150</f>
        <v>0</v>
      </c>
      <c r="E152" s="265"/>
      <c r="F152" s="265"/>
      <c r="G152" s="265"/>
      <c r="H152" s="265"/>
      <c r="I152" s="265"/>
      <c r="J152" s="265"/>
      <c r="K152" s="265"/>
      <c r="L152" s="265"/>
      <c r="M152" s="265"/>
      <c r="N152" s="265"/>
      <c r="O152" s="265"/>
      <c r="P152" s="265"/>
      <c r="Q152" s="265"/>
      <c r="R152" s="265"/>
      <c r="S152" s="265"/>
      <c r="T152" s="265"/>
      <c r="U152" s="265"/>
      <c r="V152" s="265"/>
      <c r="W152" s="265"/>
      <c r="X152" s="265"/>
      <c r="Y152" s="265"/>
      <c r="Z152" s="265"/>
      <c r="AA152" s="265"/>
      <c r="AB152" s="265"/>
      <c r="AC152" s="265"/>
      <c r="AD152" s="265"/>
      <c r="AE152" s="265"/>
      <c r="AF152" s="265"/>
      <c r="AG152" s="265"/>
      <c r="AH152" s="265"/>
      <c r="AI152" s="265"/>
      <c r="AJ152" s="265"/>
      <c r="AK152" s="265"/>
      <c r="AL152" s="265"/>
      <c r="AM152" s="265"/>
      <c r="AN152" s="265"/>
      <c r="AO152" s="265"/>
      <c r="AP152" s="265"/>
      <c r="AQ152" s="265"/>
      <c r="AR152" s="265"/>
      <c r="AS152" s="265"/>
      <c r="AT152" s="265"/>
      <c r="AU152" s="265"/>
      <c r="AV152" s="265"/>
      <c r="AW152" s="265"/>
      <c r="AX152" s="265"/>
      <c r="AY152" s="265"/>
      <c r="AZ152" s="265"/>
      <c r="BA152" s="265"/>
      <c r="BB152" s="265"/>
      <c r="BC152" s="265"/>
      <c r="BD152" s="265"/>
      <c r="BE152" s="265"/>
      <c r="BF152" s="265"/>
      <c r="BG152" s="265"/>
      <c r="BH152" s="265"/>
      <c r="BI152" s="265"/>
      <c r="BJ152" s="265"/>
      <c r="BK152" s="265"/>
      <c r="BL152" s="265"/>
      <c r="BM152" s="265"/>
      <c r="BN152" s="265"/>
      <c r="BO152" s="265"/>
      <c r="BP152" s="265"/>
      <c r="BQ152" s="265"/>
      <c r="BR152" s="265"/>
      <c r="BS152" s="265"/>
      <c r="BT152" s="265"/>
      <c r="BU152" s="265"/>
      <c r="BV152" s="265"/>
      <c r="BW152" s="265"/>
      <c r="BX152" s="265"/>
    </row>
    <row r="153" spans="3:76" hidden="1">
      <c r="E153" s="265"/>
      <c r="F153" s="265"/>
      <c r="G153" s="265"/>
      <c r="H153" s="265"/>
      <c r="I153" s="265"/>
      <c r="J153" s="265"/>
      <c r="K153" s="265"/>
      <c r="L153" s="265"/>
      <c r="M153" s="265"/>
      <c r="N153" s="265"/>
      <c r="O153" s="265"/>
      <c r="P153" s="265"/>
      <c r="Q153" s="265"/>
      <c r="R153" s="265"/>
      <c r="S153" s="265"/>
      <c r="T153" s="265"/>
      <c r="U153" s="265"/>
      <c r="V153" s="265"/>
      <c r="W153" s="265"/>
      <c r="X153" s="265"/>
      <c r="Y153" s="265"/>
      <c r="Z153" s="265"/>
      <c r="AA153" s="265"/>
      <c r="AB153" s="265"/>
      <c r="AC153" s="265"/>
      <c r="AD153" s="265"/>
      <c r="AE153" s="265"/>
      <c r="AF153" s="265"/>
      <c r="AG153" s="265"/>
      <c r="AH153" s="265"/>
      <c r="AI153" s="265"/>
      <c r="AJ153" s="265"/>
      <c r="AK153" s="265"/>
      <c r="AL153" s="265"/>
      <c r="AM153" s="265"/>
      <c r="AN153" s="265"/>
      <c r="AO153" s="265"/>
      <c r="AP153" s="265"/>
      <c r="AQ153" s="265"/>
      <c r="AR153" s="265"/>
      <c r="AS153" s="265"/>
      <c r="AT153" s="265"/>
      <c r="AU153" s="265"/>
      <c r="AV153" s="265"/>
      <c r="AW153" s="265"/>
      <c r="AX153" s="265"/>
      <c r="AY153" s="265"/>
      <c r="AZ153" s="265"/>
      <c r="BA153" s="265"/>
      <c r="BB153" s="265"/>
      <c r="BC153" s="265"/>
      <c r="BD153" s="265"/>
      <c r="BE153" s="265"/>
      <c r="BF153" s="265"/>
      <c r="BG153" s="265"/>
      <c r="BH153" s="265"/>
      <c r="BI153" s="265"/>
      <c r="BJ153" s="265"/>
      <c r="BK153" s="265"/>
      <c r="BL153" s="265"/>
      <c r="BM153" s="265"/>
      <c r="BN153" s="265"/>
      <c r="BO153" s="265"/>
      <c r="BP153" s="265"/>
      <c r="BQ153" s="265"/>
      <c r="BR153" s="265"/>
      <c r="BS153" s="265"/>
      <c r="BT153" s="265"/>
      <c r="BU153" s="265"/>
      <c r="BV153" s="265"/>
      <c r="BW153" s="265"/>
      <c r="BX153" s="265"/>
    </row>
    <row r="154" spans="3:76" hidden="1">
      <c r="E154" s="265"/>
      <c r="F154" s="265"/>
      <c r="G154" s="265"/>
      <c r="H154" s="265"/>
      <c r="I154" s="265"/>
      <c r="J154" s="265"/>
      <c r="K154" s="265"/>
      <c r="L154" s="265"/>
      <c r="M154" s="265"/>
      <c r="N154" s="265"/>
      <c r="O154" s="265"/>
      <c r="P154" s="265"/>
      <c r="Q154" s="265"/>
      <c r="R154" s="265"/>
      <c r="S154" s="265"/>
      <c r="T154" s="265"/>
      <c r="U154" s="265"/>
      <c r="V154" s="265"/>
      <c r="W154" s="265"/>
      <c r="X154" s="265"/>
      <c r="Y154" s="265"/>
      <c r="Z154" s="265"/>
      <c r="AA154" s="265"/>
      <c r="AB154" s="265"/>
      <c r="AC154" s="265"/>
      <c r="AD154" s="265"/>
      <c r="AE154" s="265"/>
      <c r="AF154" s="265"/>
      <c r="AG154" s="265"/>
      <c r="AH154" s="265"/>
      <c r="AI154" s="265"/>
      <c r="AJ154" s="265"/>
      <c r="AK154" s="265"/>
      <c r="AL154" s="265"/>
      <c r="AM154" s="265"/>
      <c r="AN154" s="265"/>
      <c r="AO154" s="265"/>
      <c r="AP154" s="265"/>
      <c r="AQ154" s="265"/>
      <c r="AR154" s="265"/>
      <c r="AS154" s="265"/>
      <c r="AT154" s="265"/>
      <c r="AU154" s="265"/>
      <c r="AV154" s="265"/>
      <c r="AW154" s="265"/>
      <c r="AX154" s="265"/>
      <c r="AY154" s="265"/>
      <c r="AZ154" s="265"/>
      <c r="BA154" s="265"/>
      <c r="BB154" s="265"/>
      <c r="BC154" s="265"/>
      <c r="BD154" s="265"/>
      <c r="BE154" s="265"/>
      <c r="BF154" s="265"/>
      <c r="BG154" s="265"/>
      <c r="BH154" s="265"/>
      <c r="BI154" s="265"/>
      <c r="BJ154" s="265"/>
      <c r="BK154" s="265"/>
      <c r="BL154" s="265"/>
      <c r="BM154" s="265"/>
      <c r="BN154" s="265"/>
      <c r="BO154" s="265"/>
      <c r="BP154" s="265"/>
      <c r="BQ154" s="265"/>
      <c r="BR154" s="265"/>
      <c r="BS154" s="265"/>
      <c r="BT154" s="265"/>
      <c r="BU154" s="265"/>
      <c r="BV154" s="265"/>
      <c r="BW154" s="265"/>
      <c r="BX154" s="265"/>
    </row>
    <row r="155" spans="3:76" hidden="1">
      <c r="E155" s="265"/>
      <c r="F155" s="265"/>
      <c r="G155" s="265"/>
      <c r="H155" s="265"/>
      <c r="I155" s="265"/>
      <c r="J155" s="265"/>
      <c r="K155" s="265"/>
      <c r="L155" s="265"/>
      <c r="M155" s="265"/>
      <c r="N155" s="265"/>
      <c r="O155" s="265"/>
      <c r="P155" s="265"/>
      <c r="Q155" s="265"/>
      <c r="R155" s="265"/>
      <c r="S155" s="265"/>
      <c r="T155" s="265"/>
      <c r="U155" s="265"/>
      <c r="V155" s="265"/>
      <c r="W155" s="265"/>
      <c r="X155" s="265"/>
      <c r="Y155" s="265"/>
      <c r="Z155" s="265"/>
      <c r="AA155" s="265"/>
      <c r="AB155" s="265"/>
      <c r="AC155" s="265"/>
      <c r="AD155" s="265"/>
      <c r="AE155" s="265"/>
      <c r="AF155" s="265"/>
      <c r="AG155" s="265"/>
      <c r="AH155" s="265"/>
      <c r="AI155" s="265"/>
      <c r="AJ155" s="265"/>
      <c r="AK155" s="265"/>
      <c r="AL155" s="265"/>
      <c r="AM155" s="265"/>
      <c r="AN155" s="265"/>
      <c r="AO155" s="265"/>
      <c r="AP155" s="265"/>
      <c r="AQ155" s="265"/>
      <c r="AR155" s="265"/>
      <c r="AS155" s="265"/>
      <c r="AT155" s="265"/>
      <c r="AU155" s="265"/>
      <c r="AV155" s="265"/>
      <c r="AW155" s="265"/>
      <c r="AX155" s="265"/>
      <c r="AY155" s="265"/>
      <c r="AZ155" s="265"/>
      <c r="BA155" s="265"/>
      <c r="BB155" s="265"/>
      <c r="BC155" s="265"/>
      <c r="BD155" s="265"/>
      <c r="BE155" s="265"/>
      <c r="BF155" s="265"/>
      <c r="BG155" s="265"/>
      <c r="BH155" s="265"/>
      <c r="BI155" s="265"/>
      <c r="BJ155" s="265"/>
      <c r="BK155" s="265"/>
      <c r="BL155" s="265"/>
      <c r="BM155" s="265"/>
      <c r="BN155" s="265"/>
      <c r="BO155" s="265"/>
      <c r="BP155" s="265"/>
      <c r="BQ155" s="265"/>
      <c r="BR155" s="265"/>
      <c r="BS155" s="265"/>
      <c r="BT155" s="265"/>
      <c r="BU155" s="265"/>
      <c r="BV155" s="265"/>
      <c r="BW155" s="265"/>
      <c r="BX155" s="265"/>
    </row>
    <row r="156" spans="3:76" hidden="1">
      <c r="E156" s="265"/>
      <c r="F156" s="265"/>
      <c r="G156" s="265"/>
      <c r="H156" s="265"/>
      <c r="I156" s="265"/>
      <c r="J156" s="265"/>
      <c r="K156" s="265"/>
      <c r="L156" s="265"/>
      <c r="M156" s="265"/>
      <c r="N156" s="265"/>
      <c r="O156" s="265"/>
      <c r="P156" s="265"/>
      <c r="Q156" s="265"/>
      <c r="R156" s="265"/>
      <c r="S156" s="265"/>
      <c r="T156" s="265"/>
      <c r="U156" s="265"/>
      <c r="V156" s="265"/>
      <c r="W156" s="265"/>
      <c r="X156" s="265"/>
      <c r="Y156" s="265"/>
      <c r="Z156" s="265"/>
      <c r="AA156" s="265"/>
      <c r="AB156" s="265"/>
      <c r="AC156" s="265"/>
      <c r="AD156" s="265"/>
      <c r="AE156" s="265"/>
      <c r="AF156" s="265"/>
      <c r="AG156" s="265"/>
      <c r="AH156" s="265"/>
      <c r="AI156" s="265"/>
      <c r="AJ156" s="265"/>
      <c r="AK156" s="265"/>
      <c r="AL156" s="265"/>
      <c r="AM156" s="265"/>
      <c r="AN156" s="265"/>
      <c r="AO156" s="265"/>
      <c r="AP156" s="265"/>
      <c r="AQ156" s="265"/>
      <c r="AR156" s="265"/>
      <c r="AS156" s="265"/>
      <c r="AT156" s="265"/>
      <c r="AU156" s="265"/>
      <c r="AV156" s="265"/>
      <c r="AW156" s="265"/>
      <c r="AX156" s="265"/>
      <c r="AY156" s="265"/>
      <c r="AZ156" s="265"/>
      <c r="BA156" s="265"/>
      <c r="BB156" s="265"/>
      <c r="BC156" s="265"/>
      <c r="BD156" s="265"/>
      <c r="BE156" s="265"/>
      <c r="BF156" s="265"/>
      <c r="BG156" s="265"/>
      <c r="BH156" s="265"/>
      <c r="BI156" s="265"/>
      <c r="BJ156" s="265"/>
      <c r="BK156" s="265"/>
      <c r="BL156" s="265"/>
      <c r="BM156" s="265"/>
      <c r="BN156" s="265"/>
      <c r="BO156" s="265"/>
      <c r="BP156" s="265"/>
      <c r="BQ156" s="265"/>
      <c r="BR156" s="265"/>
      <c r="BS156" s="265"/>
      <c r="BT156" s="265"/>
      <c r="BU156" s="265"/>
      <c r="BV156" s="265"/>
      <c r="BW156" s="265"/>
      <c r="BX156" s="265"/>
    </row>
    <row r="157" spans="3:76" hidden="1">
      <c r="C157" s="335" t="s">
        <v>362</v>
      </c>
      <c r="D157" s="511"/>
      <c r="E157" s="512">
        <f t="shared" ref="E157:AF157" si="53">-(E8+E93)</f>
        <v>0</v>
      </c>
      <c r="F157" s="512">
        <f t="shared" si="53"/>
        <v>0</v>
      </c>
      <c r="G157" s="512"/>
      <c r="H157" s="512">
        <f t="shared" si="53"/>
        <v>0</v>
      </c>
      <c r="I157" s="512">
        <f t="shared" si="53"/>
        <v>0</v>
      </c>
      <c r="J157" s="512">
        <f t="shared" si="53"/>
        <v>0</v>
      </c>
      <c r="K157" s="512">
        <f t="shared" si="53"/>
        <v>0</v>
      </c>
      <c r="L157" s="512">
        <f t="shared" si="53"/>
        <v>0</v>
      </c>
      <c r="M157" s="512">
        <f t="shared" si="53"/>
        <v>0</v>
      </c>
      <c r="N157" s="512">
        <f t="shared" si="53"/>
        <v>0</v>
      </c>
      <c r="O157" s="512">
        <f t="shared" si="53"/>
        <v>0</v>
      </c>
      <c r="P157" s="512">
        <f t="shared" si="53"/>
        <v>0</v>
      </c>
      <c r="Q157" s="512">
        <f t="shared" si="53"/>
        <v>0</v>
      </c>
      <c r="R157" s="512">
        <f t="shared" si="53"/>
        <v>0</v>
      </c>
      <c r="S157" s="512">
        <f t="shared" si="53"/>
        <v>0</v>
      </c>
      <c r="T157" s="512">
        <f t="shared" si="53"/>
        <v>0</v>
      </c>
      <c r="U157" s="512">
        <f t="shared" si="53"/>
        <v>0</v>
      </c>
      <c r="V157" s="512">
        <f t="shared" si="53"/>
        <v>0</v>
      </c>
      <c r="W157" s="512">
        <f t="shared" si="53"/>
        <v>0</v>
      </c>
      <c r="X157" s="512">
        <f t="shared" si="53"/>
        <v>0</v>
      </c>
      <c r="Y157" s="512">
        <f t="shared" si="53"/>
        <v>-220000</v>
      </c>
      <c r="Z157" s="512">
        <f t="shared" si="53"/>
        <v>-830000</v>
      </c>
      <c r="AA157" s="512">
        <f t="shared" si="53"/>
        <v>0</v>
      </c>
      <c r="AB157" s="512">
        <f t="shared" si="53"/>
        <v>0</v>
      </c>
      <c r="AC157" s="512">
        <f t="shared" si="53"/>
        <v>0</v>
      </c>
      <c r="AD157" s="512">
        <f t="shared" si="53"/>
        <v>0</v>
      </c>
      <c r="AE157" s="512">
        <f t="shared" si="53"/>
        <v>0</v>
      </c>
      <c r="AF157" s="512">
        <f t="shared" si="53"/>
        <v>0</v>
      </c>
      <c r="AG157" s="512"/>
      <c r="AH157" s="512"/>
      <c r="AI157" s="512"/>
      <c r="AJ157" s="512"/>
      <c r="AK157" s="512">
        <f t="shared" ref="AK157:BX157" si="54">-(AK8+AK93)</f>
        <v>0</v>
      </c>
      <c r="AL157" s="512">
        <f t="shared" si="54"/>
        <v>0</v>
      </c>
      <c r="AM157" s="512">
        <f t="shared" si="54"/>
        <v>0</v>
      </c>
      <c r="AN157" s="512">
        <f t="shared" si="54"/>
        <v>0</v>
      </c>
      <c r="AO157" s="512">
        <f t="shared" si="54"/>
        <v>0</v>
      </c>
      <c r="AP157" s="512">
        <f t="shared" si="54"/>
        <v>0</v>
      </c>
      <c r="AQ157" s="512">
        <f t="shared" si="54"/>
        <v>0</v>
      </c>
      <c r="AR157" s="512">
        <f t="shared" si="54"/>
        <v>0</v>
      </c>
      <c r="AS157" s="512">
        <f t="shared" si="54"/>
        <v>0</v>
      </c>
      <c r="AT157" s="512">
        <f t="shared" si="54"/>
        <v>0</v>
      </c>
      <c r="AU157" s="512">
        <f t="shared" si="54"/>
        <v>0</v>
      </c>
      <c r="AV157" s="512">
        <f t="shared" si="54"/>
        <v>0</v>
      </c>
      <c r="AW157" s="512">
        <f t="shared" si="54"/>
        <v>0</v>
      </c>
      <c r="AX157" s="512">
        <f t="shared" si="54"/>
        <v>0</v>
      </c>
      <c r="AY157" s="512">
        <f t="shared" si="54"/>
        <v>0</v>
      </c>
      <c r="AZ157" s="512">
        <f t="shared" si="54"/>
        <v>0</v>
      </c>
      <c r="BA157" s="512">
        <f t="shared" si="54"/>
        <v>0</v>
      </c>
      <c r="BB157" s="512">
        <f t="shared" si="54"/>
        <v>0</v>
      </c>
      <c r="BC157" s="512">
        <f t="shared" si="54"/>
        <v>0</v>
      </c>
      <c r="BD157" s="512">
        <f t="shared" si="54"/>
        <v>0</v>
      </c>
      <c r="BE157" s="512">
        <f t="shared" si="54"/>
        <v>0</v>
      </c>
      <c r="BF157" s="512">
        <f t="shared" si="54"/>
        <v>0</v>
      </c>
      <c r="BG157" s="512">
        <f t="shared" si="54"/>
        <v>0</v>
      </c>
      <c r="BH157" s="512">
        <f t="shared" si="54"/>
        <v>0</v>
      </c>
      <c r="BI157" s="512">
        <f t="shared" si="54"/>
        <v>0</v>
      </c>
      <c r="BJ157" s="512">
        <f t="shared" si="54"/>
        <v>0</v>
      </c>
      <c r="BK157" s="512">
        <f t="shared" si="54"/>
        <v>0</v>
      </c>
      <c r="BL157" s="512">
        <f t="shared" si="54"/>
        <v>0</v>
      </c>
      <c r="BM157" s="512">
        <f t="shared" si="54"/>
        <v>0</v>
      </c>
      <c r="BN157" s="512">
        <f t="shared" si="54"/>
        <v>0</v>
      </c>
      <c r="BO157" s="512">
        <f t="shared" si="54"/>
        <v>0</v>
      </c>
      <c r="BP157" s="512">
        <f t="shared" si="54"/>
        <v>0</v>
      </c>
      <c r="BQ157" s="512">
        <f t="shared" si="54"/>
        <v>0</v>
      </c>
      <c r="BR157" s="512">
        <f t="shared" si="54"/>
        <v>0</v>
      </c>
      <c r="BS157" s="512">
        <f t="shared" si="54"/>
        <v>0</v>
      </c>
      <c r="BT157" s="512">
        <f t="shared" si="54"/>
        <v>0</v>
      </c>
      <c r="BU157" s="512">
        <f t="shared" si="54"/>
        <v>0</v>
      </c>
      <c r="BV157" s="512">
        <f t="shared" si="54"/>
        <v>0</v>
      </c>
      <c r="BW157" s="512">
        <f t="shared" si="54"/>
        <v>0</v>
      </c>
      <c r="BX157" s="512">
        <f t="shared" si="54"/>
        <v>0</v>
      </c>
    </row>
    <row r="158" spans="3:76" hidden="1">
      <c r="C158" s="335" t="s">
        <v>358</v>
      </c>
      <c r="D158" s="516"/>
      <c r="E158" s="511"/>
      <c r="F158" s="511"/>
      <c r="G158" s="511"/>
      <c r="H158" s="511"/>
      <c r="I158" s="511"/>
      <c r="J158" s="511"/>
      <c r="K158" s="511"/>
      <c r="L158" s="511"/>
      <c r="M158" s="511"/>
      <c r="N158" s="511"/>
      <c r="O158" s="511"/>
      <c r="P158" s="511"/>
      <c r="Q158" s="511"/>
      <c r="R158" s="511"/>
      <c r="S158" s="511"/>
      <c r="T158" s="511"/>
      <c r="U158" s="511"/>
      <c r="V158" s="511"/>
      <c r="W158" s="511"/>
      <c r="X158" s="511"/>
      <c r="Y158" s="511"/>
      <c r="Z158" s="511"/>
      <c r="AA158" s="511"/>
      <c r="AB158" s="511"/>
      <c r="AC158" s="511"/>
      <c r="AD158" s="511"/>
      <c r="AE158" s="511"/>
      <c r="AF158" s="511"/>
      <c r="AG158" s="511"/>
      <c r="AH158" s="511"/>
      <c r="AI158" s="511"/>
      <c r="AJ158" s="511"/>
      <c r="AK158" s="511"/>
      <c r="AL158" s="511"/>
      <c r="AM158" s="511"/>
      <c r="AN158" s="511"/>
      <c r="AO158" s="511"/>
      <c r="AP158" s="511"/>
      <c r="AQ158" s="511"/>
      <c r="AR158" s="511"/>
      <c r="AS158" s="511"/>
      <c r="AT158" s="511"/>
      <c r="AU158" s="511"/>
      <c r="AV158" s="511"/>
      <c r="AW158" s="511"/>
      <c r="AX158" s="511"/>
      <c r="AY158" s="511"/>
      <c r="AZ158" s="511"/>
      <c r="BA158" s="511"/>
      <c r="BB158" s="511"/>
      <c r="BC158" s="512"/>
      <c r="BD158" s="511"/>
      <c r="BE158" s="511"/>
      <c r="BF158" s="511"/>
      <c r="BG158" s="511"/>
      <c r="BH158" s="511"/>
      <c r="BI158" s="511"/>
      <c r="BJ158" s="511"/>
      <c r="BK158" s="511"/>
      <c r="BL158" s="511"/>
      <c r="BM158" s="511"/>
      <c r="BN158" s="511"/>
      <c r="BO158" s="511"/>
      <c r="BP158" s="511"/>
      <c r="BQ158" s="511"/>
      <c r="BR158" s="511"/>
      <c r="BS158" s="511"/>
      <c r="BT158" s="511"/>
      <c r="BU158" s="511"/>
      <c r="BV158" s="511"/>
      <c r="BW158" s="511"/>
      <c r="BX158" s="511"/>
    </row>
    <row r="159" spans="3:76" hidden="1">
      <c r="C159" s="335" t="s">
        <v>348</v>
      </c>
      <c r="D159" s="516"/>
      <c r="E159" s="511">
        <f t="shared" ref="E159:AF159" si="55">-E58</f>
        <v>0</v>
      </c>
      <c r="F159" s="511">
        <f t="shared" si="55"/>
        <v>0</v>
      </c>
      <c r="G159" s="511"/>
      <c r="H159" s="511">
        <f t="shared" si="55"/>
        <v>0</v>
      </c>
      <c r="I159" s="511">
        <f t="shared" si="55"/>
        <v>0</v>
      </c>
      <c r="J159" s="511">
        <f t="shared" si="55"/>
        <v>0</v>
      </c>
      <c r="K159" s="511">
        <f t="shared" si="55"/>
        <v>0</v>
      </c>
      <c r="L159" s="511">
        <f t="shared" si="55"/>
        <v>0</v>
      </c>
      <c r="M159" s="511">
        <f t="shared" si="55"/>
        <v>0</v>
      </c>
      <c r="N159" s="511">
        <f t="shared" si="55"/>
        <v>0</v>
      </c>
      <c r="O159" s="511">
        <f t="shared" si="55"/>
        <v>0</v>
      </c>
      <c r="P159" s="511">
        <f t="shared" si="55"/>
        <v>0</v>
      </c>
      <c r="Q159" s="511">
        <f t="shared" si="55"/>
        <v>0</v>
      </c>
      <c r="R159" s="511">
        <f t="shared" si="55"/>
        <v>0</v>
      </c>
      <c r="S159" s="511">
        <f t="shared" si="55"/>
        <v>0</v>
      </c>
      <c r="T159" s="511">
        <f t="shared" si="55"/>
        <v>0</v>
      </c>
      <c r="U159" s="511">
        <f t="shared" si="55"/>
        <v>0</v>
      </c>
      <c r="V159" s="511">
        <f t="shared" si="55"/>
        <v>0</v>
      </c>
      <c r="W159" s="511">
        <f t="shared" si="55"/>
        <v>0</v>
      </c>
      <c r="X159" s="511">
        <f t="shared" si="55"/>
        <v>0</v>
      </c>
      <c r="Y159" s="511">
        <f t="shared" si="55"/>
        <v>0</v>
      </c>
      <c r="Z159" s="511">
        <f t="shared" si="55"/>
        <v>0</v>
      </c>
      <c r="AA159" s="511">
        <f t="shared" si="55"/>
        <v>0</v>
      </c>
      <c r="AB159" s="511">
        <f t="shared" si="55"/>
        <v>0</v>
      </c>
      <c r="AC159" s="511">
        <f t="shared" si="55"/>
        <v>0</v>
      </c>
      <c r="AD159" s="511">
        <f t="shared" si="55"/>
        <v>0</v>
      </c>
      <c r="AE159" s="511">
        <f t="shared" si="55"/>
        <v>0</v>
      </c>
      <c r="AF159" s="511">
        <f t="shared" si="55"/>
        <v>0</v>
      </c>
      <c r="AG159" s="511"/>
      <c r="AH159" s="511"/>
      <c r="AI159" s="511"/>
      <c r="AJ159" s="511"/>
      <c r="AK159" s="511">
        <f t="shared" ref="AK159:BX159" si="56">-AK58</f>
        <v>0</v>
      </c>
      <c r="AL159" s="511">
        <f t="shared" si="56"/>
        <v>0</v>
      </c>
      <c r="AM159" s="511">
        <f t="shared" si="56"/>
        <v>0</v>
      </c>
      <c r="AN159" s="511">
        <f t="shared" si="56"/>
        <v>0</v>
      </c>
      <c r="AO159" s="511">
        <f t="shared" si="56"/>
        <v>0</v>
      </c>
      <c r="AP159" s="511">
        <f t="shared" si="56"/>
        <v>0</v>
      </c>
      <c r="AQ159" s="511">
        <f t="shared" si="56"/>
        <v>0</v>
      </c>
      <c r="AR159" s="511">
        <f t="shared" si="56"/>
        <v>0</v>
      </c>
      <c r="AS159" s="511">
        <f t="shared" si="56"/>
        <v>0</v>
      </c>
      <c r="AT159" s="511">
        <f t="shared" si="56"/>
        <v>0</v>
      </c>
      <c r="AU159" s="511">
        <f t="shared" si="56"/>
        <v>0</v>
      </c>
      <c r="AV159" s="511">
        <f t="shared" si="56"/>
        <v>0</v>
      </c>
      <c r="AW159" s="511">
        <f t="shared" si="56"/>
        <v>0</v>
      </c>
      <c r="AX159" s="511">
        <f t="shared" si="56"/>
        <v>0</v>
      </c>
      <c r="AY159" s="511">
        <f t="shared" si="56"/>
        <v>0</v>
      </c>
      <c r="AZ159" s="511">
        <f t="shared" si="56"/>
        <v>0</v>
      </c>
      <c r="BA159" s="511">
        <f t="shared" si="56"/>
        <v>0</v>
      </c>
      <c r="BB159" s="511">
        <f t="shared" si="56"/>
        <v>0</v>
      </c>
      <c r="BC159" s="511">
        <f t="shared" si="56"/>
        <v>0</v>
      </c>
      <c r="BD159" s="511">
        <f t="shared" si="56"/>
        <v>0</v>
      </c>
      <c r="BE159" s="511">
        <f t="shared" si="56"/>
        <v>0</v>
      </c>
      <c r="BF159" s="511">
        <f t="shared" si="56"/>
        <v>0</v>
      </c>
      <c r="BG159" s="511">
        <f t="shared" si="56"/>
        <v>0</v>
      </c>
      <c r="BH159" s="511">
        <f t="shared" si="56"/>
        <v>0</v>
      </c>
      <c r="BI159" s="511">
        <f t="shared" si="56"/>
        <v>0</v>
      </c>
      <c r="BJ159" s="511">
        <f t="shared" si="56"/>
        <v>0</v>
      </c>
      <c r="BK159" s="511">
        <f t="shared" si="56"/>
        <v>0</v>
      </c>
      <c r="BL159" s="511">
        <f t="shared" si="56"/>
        <v>0</v>
      </c>
      <c r="BM159" s="511">
        <f t="shared" si="56"/>
        <v>0</v>
      </c>
      <c r="BN159" s="511">
        <f t="shared" si="56"/>
        <v>0</v>
      </c>
      <c r="BO159" s="511">
        <f t="shared" si="56"/>
        <v>0</v>
      </c>
      <c r="BP159" s="511">
        <f t="shared" si="56"/>
        <v>0</v>
      </c>
      <c r="BQ159" s="511">
        <f t="shared" si="56"/>
        <v>0</v>
      </c>
      <c r="BR159" s="511">
        <f t="shared" si="56"/>
        <v>0</v>
      </c>
      <c r="BS159" s="511">
        <f t="shared" si="56"/>
        <v>0</v>
      </c>
      <c r="BT159" s="511">
        <f t="shared" si="56"/>
        <v>0</v>
      </c>
      <c r="BU159" s="511">
        <f t="shared" si="56"/>
        <v>0</v>
      </c>
      <c r="BV159" s="511">
        <f t="shared" si="56"/>
        <v>0</v>
      </c>
      <c r="BW159" s="511">
        <f t="shared" si="56"/>
        <v>0</v>
      </c>
      <c r="BX159" s="511">
        <f t="shared" si="56"/>
        <v>0</v>
      </c>
    </row>
    <row r="160" spans="3:76" hidden="1">
      <c r="C160" s="335" t="s">
        <v>349</v>
      </c>
      <c r="D160" s="516"/>
      <c r="E160" s="511"/>
      <c r="F160" s="511"/>
      <c r="G160" s="511"/>
      <c r="H160" s="511"/>
      <c r="I160" s="511"/>
      <c r="J160" s="511"/>
      <c r="K160" s="511"/>
      <c r="L160" s="511"/>
      <c r="M160" s="511"/>
      <c r="N160" s="511"/>
      <c r="O160" s="511"/>
      <c r="P160" s="511"/>
      <c r="Q160" s="511"/>
      <c r="R160" s="511"/>
      <c r="S160" s="511"/>
      <c r="T160" s="511"/>
      <c r="U160" s="511"/>
      <c r="V160" s="511"/>
      <c r="W160" s="511"/>
      <c r="X160" s="511"/>
      <c r="Y160" s="511"/>
      <c r="Z160" s="511"/>
      <c r="AA160" s="511"/>
      <c r="AB160" s="511"/>
      <c r="AC160" s="511"/>
      <c r="AD160" s="511"/>
      <c r="AE160" s="511"/>
      <c r="AF160" s="511"/>
      <c r="AG160" s="511"/>
      <c r="AH160" s="511"/>
      <c r="AI160" s="511"/>
      <c r="AJ160" s="511"/>
      <c r="AK160" s="511"/>
      <c r="AL160" s="511"/>
      <c r="AM160" s="511"/>
      <c r="AN160" s="511"/>
      <c r="AO160" s="511"/>
      <c r="AP160" s="511"/>
      <c r="AQ160" s="511"/>
      <c r="AR160" s="511"/>
      <c r="AS160" s="511"/>
      <c r="AT160" s="511"/>
      <c r="AU160" s="511"/>
      <c r="AV160" s="511"/>
      <c r="AW160" s="511"/>
      <c r="AX160" s="511"/>
      <c r="AY160" s="511"/>
      <c r="AZ160" s="511"/>
      <c r="BA160" s="511"/>
      <c r="BB160" s="511"/>
      <c r="BC160" s="512"/>
      <c r="BD160" s="511"/>
      <c r="BE160" s="511"/>
      <c r="BF160" s="511"/>
      <c r="BG160" s="511"/>
      <c r="BH160" s="511"/>
      <c r="BI160" s="511"/>
      <c r="BJ160" s="511"/>
      <c r="BK160" s="511"/>
      <c r="BL160" s="511"/>
      <c r="BM160" s="511"/>
      <c r="BN160" s="511"/>
      <c r="BO160" s="511"/>
      <c r="BP160" s="511"/>
      <c r="BQ160" s="511"/>
      <c r="BR160" s="511"/>
      <c r="BS160" s="511"/>
      <c r="BT160" s="511"/>
      <c r="BU160" s="511"/>
      <c r="BV160" s="511"/>
      <c r="BW160" s="511"/>
      <c r="BX160" s="511" t="e">
        <f>IF(#REF!&gt;0.25,(BX99-BX105)*D161,BX99*D161)</f>
        <v>#REF!</v>
      </c>
    </row>
    <row r="161" spans="3:76" hidden="1">
      <c r="C161" s="513" t="s">
        <v>350</v>
      </c>
      <c r="D161" s="516">
        <v>0</v>
      </c>
      <c r="E161" s="511"/>
      <c r="F161" s="511"/>
      <c r="G161" s="511"/>
      <c r="H161" s="511"/>
      <c r="I161" s="511"/>
      <c r="J161" s="511"/>
      <c r="K161" s="511"/>
      <c r="L161" s="511"/>
      <c r="M161" s="511"/>
      <c r="N161" s="511"/>
      <c r="O161" s="511"/>
      <c r="P161" s="511"/>
      <c r="Q161" s="511"/>
      <c r="R161" s="511"/>
      <c r="S161" s="511"/>
      <c r="T161" s="511"/>
      <c r="U161" s="511"/>
      <c r="V161" s="511"/>
      <c r="W161" s="511"/>
      <c r="X161" s="511"/>
      <c r="Y161" s="511"/>
      <c r="Z161" s="511"/>
      <c r="AA161" s="511"/>
      <c r="AB161" s="511"/>
      <c r="AC161" s="511"/>
      <c r="AD161" s="511"/>
      <c r="AE161" s="511"/>
      <c r="AF161" s="511"/>
      <c r="AG161" s="511"/>
      <c r="AH161" s="511"/>
      <c r="AI161" s="511"/>
      <c r="AJ161" s="511"/>
      <c r="AK161" s="511"/>
      <c r="AL161" s="511"/>
      <c r="AM161" s="511"/>
      <c r="AN161" s="511"/>
      <c r="AO161" s="511"/>
      <c r="AP161" s="511"/>
      <c r="AQ161" s="511"/>
      <c r="AR161" s="511"/>
      <c r="AS161" s="511"/>
      <c r="AT161" s="511"/>
      <c r="AU161" s="511"/>
      <c r="AV161" s="511"/>
      <c r="AW161" s="511"/>
      <c r="AX161" s="511"/>
      <c r="AY161" s="511"/>
      <c r="AZ161" s="511"/>
      <c r="BA161" s="511"/>
      <c r="BB161" s="511"/>
      <c r="BC161" s="512"/>
      <c r="BD161" s="511"/>
      <c r="BE161" s="511"/>
      <c r="BF161" s="511"/>
      <c r="BG161" s="511"/>
      <c r="BH161" s="511"/>
      <c r="BI161" s="511"/>
      <c r="BJ161" s="511"/>
      <c r="BK161" s="511"/>
      <c r="BL161" s="511"/>
      <c r="BM161" s="511"/>
      <c r="BN161" s="511"/>
      <c r="BO161" s="511"/>
      <c r="BP161" s="511"/>
      <c r="BQ161" s="511"/>
      <c r="BR161" s="511"/>
      <c r="BS161" s="511"/>
      <c r="BT161" s="511"/>
      <c r="BU161" s="511"/>
      <c r="BV161" s="511"/>
      <c r="BW161" s="511"/>
      <c r="BX161" s="511"/>
    </row>
    <row r="162" spans="3:76" hidden="1">
      <c r="C162" s="335" t="s">
        <v>351</v>
      </c>
      <c r="D162" s="511"/>
      <c r="E162" s="517">
        <f t="shared" ref="E162:AF162" si="57">E157+E158+E159+E160+E161</f>
        <v>0</v>
      </c>
      <c r="F162" s="517">
        <f t="shared" si="57"/>
        <v>0</v>
      </c>
      <c r="G162" s="517"/>
      <c r="H162" s="517">
        <f t="shared" si="57"/>
        <v>0</v>
      </c>
      <c r="I162" s="517">
        <f t="shared" si="57"/>
        <v>0</v>
      </c>
      <c r="J162" s="517">
        <f t="shared" si="57"/>
        <v>0</v>
      </c>
      <c r="K162" s="517">
        <f t="shared" si="57"/>
        <v>0</v>
      </c>
      <c r="L162" s="517">
        <f t="shared" si="57"/>
        <v>0</v>
      </c>
      <c r="M162" s="517">
        <f t="shared" si="57"/>
        <v>0</v>
      </c>
      <c r="N162" s="517">
        <f t="shared" si="57"/>
        <v>0</v>
      </c>
      <c r="O162" s="517">
        <f t="shared" si="57"/>
        <v>0</v>
      </c>
      <c r="P162" s="517">
        <f t="shared" si="57"/>
        <v>0</v>
      </c>
      <c r="Q162" s="517">
        <f t="shared" si="57"/>
        <v>0</v>
      </c>
      <c r="R162" s="517">
        <f t="shared" si="57"/>
        <v>0</v>
      </c>
      <c r="S162" s="517">
        <f t="shared" si="57"/>
        <v>0</v>
      </c>
      <c r="T162" s="517">
        <f t="shared" si="57"/>
        <v>0</v>
      </c>
      <c r="U162" s="517">
        <f t="shared" si="57"/>
        <v>0</v>
      </c>
      <c r="V162" s="517">
        <f t="shared" si="57"/>
        <v>0</v>
      </c>
      <c r="W162" s="517">
        <f t="shared" si="57"/>
        <v>0</v>
      </c>
      <c r="X162" s="517">
        <f t="shared" si="57"/>
        <v>0</v>
      </c>
      <c r="Y162" s="517">
        <f t="shared" si="57"/>
        <v>-220000</v>
      </c>
      <c r="Z162" s="517">
        <f t="shared" si="57"/>
        <v>-830000</v>
      </c>
      <c r="AA162" s="517">
        <f t="shared" si="57"/>
        <v>0</v>
      </c>
      <c r="AB162" s="517">
        <f t="shared" si="57"/>
        <v>0</v>
      </c>
      <c r="AC162" s="517">
        <f t="shared" si="57"/>
        <v>0</v>
      </c>
      <c r="AD162" s="517">
        <f t="shared" si="57"/>
        <v>0</v>
      </c>
      <c r="AE162" s="517">
        <f t="shared" si="57"/>
        <v>0</v>
      </c>
      <c r="AF162" s="517">
        <f t="shared" si="57"/>
        <v>0</v>
      </c>
      <c r="AG162" s="517"/>
      <c r="AH162" s="517"/>
      <c r="AI162" s="517"/>
      <c r="AJ162" s="517"/>
      <c r="AK162" s="517">
        <f t="shared" ref="AK162:BX162" si="58">AK157+AK158+AK159+AK160+AK161</f>
        <v>0</v>
      </c>
      <c r="AL162" s="517">
        <f t="shared" si="58"/>
        <v>0</v>
      </c>
      <c r="AM162" s="517">
        <f t="shared" si="58"/>
        <v>0</v>
      </c>
      <c r="AN162" s="517">
        <f t="shared" si="58"/>
        <v>0</v>
      </c>
      <c r="AO162" s="517">
        <f t="shared" si="58"/>
        <v>0</v>
      </c>
      <c r="AP162" s="517">
        <f t="shared" si="58"/>
        <v>0</v>
      </c>
      <c r="AQ162" s="517">
        <f t="shared" si="58"/>
        <v>0</v>
      </c>
      <c r="AR162" s="517">
        <f t="shared" si="58"/>
        <v>0</v>
      </c>
      <c r="AS162" s="517">
        <f t="shared" si="58"/>
        <v>0</v>
      </c>
      <c r="AT162" s="517">
        <f t="shared" si="58"/>
        <v>0</v>
      </c>
      <c r="AU162" s="517">
        <f t="shared" si="58"/>
        <v>0</v>
      </c>
      <c r="AV162" s="517">
        <f t="shared" si="58"/>
        <v>0</v>
      </c>
      <c r="AW162" s="517">
        <f t="shared" si="58"/>
        <v>0</v>
      </c>
      <c r="AX162" s="517">
        <f t="shared" si="58"/>
        <v>0</v>
      </c>
      <c r="AY162" s="517">
        <f t="shared" si="58"/>
        <v>0</v>
      </c>
      <c r="AZ162" s="517">
        <f t="shared" si="58"/>
        <v>0</v>
      </c>
      <c r="BA162" s="517">
        <f t="shared" si="58"/>
        <v>0</v>
      </c>
      <c r="BB162" s="517">
        <f t="shared" si="58"/>
        <v>0</v>
      </c>
      <c r="BC162" s="517">
        <f t="shared" si="58"/>
        <v>0</v>
      </c>
      <c r="BD162" s="517">
        <f t="shared" si="58"/>
        <v>0</v>
      </c>
      <c r="BE162" s="517">
        <f t="shared" si="58"/>
        <v>0</v>
      </c>
      <c r="BF162" s="517">
        <f t="shared" si="58"/>
        <v>0</v>
      </c>
      <c r="BG162" s="517">
        <f t="shared" si="58"/>
        <v>0</v>
      </c>
      <c r="BH162" s="517">
        <f t="shared" si="58"/>
        <v>0</v>
      </c>
      <c r="BI162" s="517">
        <f t="shared" si="58"/>
        <v>0</v>
      </c>
      <c r="BJ162" s="517">
        <f t="shared" si="58"/>
        <v>0</v>
      </c>
      <c r="BK162" s="517">
        <f t="shared" si="58"/>
        <v>0</v>
      </c>
      <c r="BL162" s="517">
        <f t="shared" si="58"/>
        <v>0</v>
      </c>
      <c r="BM162" s="517">
        <f t="shared" si="58"/>
        <v>0</v>
      </c>
      <c r="BN162" s="517">
        <f t="shared" si="58"/>
        <v>0</v>
      </c>
      <c r="BO162" s="517">
        <f t="shared" si="58"/>
        <v>0</v>
      </c>
      <c r="BP162" s="517">
        <f t="shared" si="58"/>
        <v>0</v>
      </c>
      <c r="BQ162" s="517">
        <f t="shared" si="58"/>
        <v>0</v>
      </c>
      <c r="BR162" s="517">
        <f t="shared" si="58"/>
        <v>0</v>
      </c>
      <c r="BS162" s="517">
        <f t="shared" si="58"/>
        <v>0</v>
      </c>
      <c r="BT162" s="517">
        <f t="shared" si="58"/>
        <v>0</v>
      </c>
      <c r="BU162" s="517">
        <f t="shared" si="58"/>
        <v>0</v>
      </c>
      <c r="BV162" s="517">
        <f t="shared" si="58"/>
        <v>0</v>
      </c>
      <c r="BW162" s="517">
        <f t="shared" si="58"/>
        <v>0</v>
      </c>
      <c r="BX162" s="517" t="e">
        <f t="shared" si="58"/>
        <v>#REF!</v>
      </c>
    </row>
    <row r="163" spans="3:76" hidden="1">
      <c r="C163" s="336"/>
      <c r="D163" s="518" t="s">
        <v>359</v>
      </c>
      <c r="E163" s="522">
        <f>E162</f>
        <v>0</v>
      </c>
      <c r="F163" s="522">
        <f t="shared" ref="F163:AF163" si="59">E163+F162</f>
        <v>0</v>
      </c>
      <c r="G163" s="522"/>
      <c r="H163" s="522">
        <f t="shared" si="59"/>
        <v>0</v>
      </c>
      <c r="I163" s="522">
        <f t="shared" si="59"/>
        <v>0</v>
      </c>
      <c r="J163" s="522">
        <f t="shared" si="59"/>
        <v>0</v>
      </c>
      <c r="K163" s="522">
        <f t="shared" si="59"/>
        <v>0</v>
      </c>
      <c r="L163" s="522">
        <f t="shared" si="59"/>
        <v>0</v>
      </c>
      <c r="M163" s="522">
        <f t="shared" si="59"/>
        <v>0</v>
      </c>
      <c r="N163" s="522">
        <f t="shared" si="59"/>
        <v>0</v>
      </c>
      <c r="O163" s="522">
        <f t="shared" si="59"/>
        <v>0</v>
      </c>
      <c r="P163" s="522">
        <f t="shared" si="59"/>
        <v>0</v>
      </c>
      <c r="Q163" s="522">
        <f t="shared" si="59"/>
        <v>0</v>
      </c>
      <c r="R163" s="522">
        <f t="shared" si="59"/>
        <v>0</v>
      </c>
      <c r="S163" s="522">
        <f t="shared" si="59"/>
        <v>0</v>
      </c>
      <c r="T163" s="522">
        <f t="shared" si="59"/>
        <v>0</v>
      </c>
      <c r="U163" s="522">
        <f t="shared" si="59"/>
        <v>0</v>
      </c>
      <c r="V163" s="523">
        <f t="shared" si="59"/>
        <v>0</v>
      </c>
      <c r="W163" s="523">
        <f t="shared" si="59"/>
        <v>0</v>
      </c>
      <c r="X163" s="523">
        <f t="shared" si="59"/>
        <v>0</v>
      </c>
      <c r="Y163" s="523">
        <f t="shared" si="59"/>
        <v>-220000</v>
      </c>
      <c r="Z163" s="523">
        <f t="shared" si="59"/>
        <v>-1050000</v>
      </c>
      <c r="AA163" s="523">
        <f t="shared" si="59"/>
        <v>-1050000</v>
      </c>
      <c r="AB163" s="523">
        <f t="shared" si="59"/>
        <v>-1050000</v>
      </c>
      <c r="AC163" s="523">
        <f t="shared" si="59"/>
        <v>-1050000</v>
      </c>
      <c r="AD163" s="523">
        <f t="shared" si="59"/>
        <v>-1050000</v>
      </c>
      <c r="AE163" s="523">
        <f t="shared" si="59"/>
        <v>-1050000</v>
      </c>
      <c r="AF163" s="523">
        <f t="shared" si="59"/>
        <v>-1050000</v>
      </c>
      <c r="AG163" s="523"/>
      <c r="AH163" s="523"/>
      <c r="AI163" s="523"/>
      <c r="AJ163" s="523"/>
      <c r="AK163" s="523">
        <f t="shared" ref="AK163:BX163" si="60">AJ163+AK162</f>
        <v>0</v>
      </c>
      <c r="AL163" s="523">
        <f t="shared" si="60"/>
        <v>0</v>
      </c>
      <c r="AM163" s="523">
        <f t="shared" si="60"/>
        <v>0</v>
      </c>
      <c r="AN163" s="523">
        <f t="shared" si="60"/>
        <v>0</v>
      </c>
      <c r="AO163" s="523">
        <f t="shared" si="60"/>
        <v>0</v>
      </c>
      <c r="AP163" s="523">
        <f t="shared" si="60"/>
        <v>0</v>
      </c>
      <c r="AQ163" s="523">
        <f t="shared" si="60"/>
        <v>0</v>
      </c>
      <c r="AR163" s="523">
        <f t="shared" si="60"/>
        <v>0</v>
      </c>
      <c r="AS163" s="523">
        <f t="shared" si="60"/>
        <v>0</v>
      </c>
      <c r="AT163" s="523">
        <f t="shared" si="60"/>
        <v>0</v>
      </c>
      <c r="AU163" s="523">
        <f t="shared" si="60"/>
        <v>0</v>
      </c>
      <c r="AV163" s="523">
        <f t="shared" si="60"/>
        <v>0</v>
      </c>
      <c r="AW163" s="523">
        <f t="shared" si="60"/>
        <v>0</v>
      </c>
      <c r="AX163" s="523">
        <f t="shared" si="60"/>
        <v>0</v>
      </c>
      <c r="AY163" s="523">
        <f t="shared" si="60"/>
        <v>0</v>
      </c>
      <c r="AZ163" s="523">
        <f t="shared" si="60"/>
        <v>0</v>
      </c>
      <c r="BA163" s="523">
        <f t="shared" si="60"/>
        <v>0</v>
      </c>
      <c r="BB163" s="523">
        <f t="shared" si="60"/>
        <v>0</v>
      </c>
      <c r="BC163" s="522">
        <f t="shared" si="60"/>
        <v>0</v>
      </c>
      <c r="BD163" s="522">
        <f t="shared" si="60"/>
        <v>0</v>
      </c>
      <c r="BE163" s="522">
        <f t="shared" si="60"/>
        <v>0</v>
      </c>
      <c r="BF163" s="522">
        <f t="shared" si="60"/>
        <v>0</v>
      </c>
      <c r="BG163" s="522">
        <f t="shared" si="60"/>
        <v>0</v>
      </c>
      <c r="BH163" s="522">
        <f t="shared" si="60"/>
        <v>0</v>
      </c>
      <c r="BI163" s="522">
        <f t="shared" si="60"/>
        <v>0</v>
      </c>
      <c r="BJ163" s="522">
        <f t="shared" si="60"/>
        <v>0</v>
      </c>
      <c r="BK163" s="522">
        <f t="shared" si="60"/>
        <v>0</v>
      </c>
      <c r="BL163" s="522">
        <f t="shared" si="60"/>
        <v>0</v>
      </c>
      <c r="BM163" s="522">
        <f t="shared" si="60"/>
        <v>0</v>
      </c>
      <c r="BN163" s="522">
        <f t="shared" si="60"/>
        <v>0</v>
      </c>
      <c r="BO163" s="522">
        <f t="shared" si="60"/>
        <v>0</v>
      </c>
      <c r="BP163" s="522">
        <f t="shared" si="60"/>
        <v>0</v>
      </c>
      <c r="BQ163" s="522">
        <f t="shared" si="60"/>
        <v>0</v>
      </c>
      <c r="BR163" s="522">
        <f t="shared" si="60"/>
        <v>0</v>
      </c>
      <c r="BS163" s="522">
        <f t="shared" si="60"/>
        <v>0</v>
      </c>
      <c r="BT163" s="522">
        <f t="shared" si="60"/>
        <v>0</v>
      </c>
      <c r="BU163" s="522">
        <f t="shared" si="60"/>
        <v>0</v>
      </c>
      <c r="BV163" s="522">
        <f t="shared" si="60"/>
        <v>0</v>
      </c>
      <c r="BW163" s="522">
        <f t="shared" si="60"/>
        <v>0</v>
      </c>
      <c r="BX163" s="522" t="e">
        <f t="shared" si="60"/>
        <v>#REF!</v>
      </c>
    </row>
    <row r="164" spans="3:76" hidden="1">
      <c r="C164" s="513" t="s">
        <v>352</v>
      </c>
      <c r="D164" s="518" t="e">
        <f>IRR(E162:BX162)*12</f>
        <v>#VALUE!</v>
      </c>
      <c r="E164" s="265"/>
      <c r="F164" s="265"/>
      <c r="G164" s="265"/>
      <c r="H164" s="265"/>
      <c r="I164" s="265"/>
      <c r="J164" s="265"/>
      <c r="K164" s="265"/>
      <c r="L164" s="265"/>
      <c r="M164" s="265"/>
      <c r="N164" s="265"/>
      <c r="O164" s="265"/>
      <c r="P164" s="265"/>
      <c r="Q164" s="265"/>
      <c r="R164" s="265"/>
      <c r="S164" s="265"/>
      <c r="T164" s="265"/>
      <c r="U164" s="265"/>
      <c r="V164" s="265"/>
      <c r="W164" s="265"/>
      <c r="X164" s="265"/>
      <c r="Y164" s="265"/>
      <c r="Z164" s="265"/>
      <c r="AA164" s="265"/>
      <c r="AB164" s="265"/>
      <c r="AC164" s="265"/>
      <c r="AD164" s="265"/>
      <c r="AE164" s="265"/>
      <c r="AF164" s="265"/>
      <c r="AG164" s="265"/>
      <c r="AH164" s="265"/>
      <c r="AI164" s="265"/>
      <c r="AJ164" s="265"/>
      <c r="AK164" s="265"/>
      <c r="AL164" s="265"/>
      <c r="AM164" s="265"/>
      <c r="AN164" s="265"/>
      <c r="AO164" s="265"/>
      <c r="AP164" s="265"/>
      <c r="AQ164" s="265"/>
      <c r="AR164" s="265"/>
      <c r="AS164" s="265"/>
      <c r="AT164" s="265"/>
      <c r="AU164" s="265"/>
      <c r="AV164" s="265"/>
      <c r="AW164" s="265"/>
      <c r="AX164" s="265"/>
      <c r="AY164" s="265"/>
      <c r="AZ164" s="265"/>
      <c r="BA164" s="265"/>
      <c r="BB164" s="265"/>
      <c r="BC164" s="265"/>
      <c r="BD164" s="265"/>
      <c r="BE164" s="265"/>
      <c r="BF164" s="265"/>
      <c r="BG164" s="265"/>
      <c r="BH164" s="265"/>
      <c r="BI164" s="265"/>
      <c r="BJ164" s="265"/>
      <c r="BK164" s="265"/>
      <c r="BL164" s="265"/>
      <c r="BM164" s="265"/>
      <c r="BN164" s="265"/>
      <c r="BO164" s="265"/>
      <c r="BP164" s="265"/>
      <c r="BQ164" s="265"/>
      <c r="BR164" s="265"/>
      <c r="BS164" s="265"/>
      <c r="BT164" s="265"/>
      <c r="BU164" s="265"/>
      <c r="BV164" s="265"/>
      <c r="BW164" s="265"/>
      <c r="BX164" s="265"/>
    </row>
    <row r="165" spans="3:76" hidden="1">
      <c r="C165" s="519" t="s">
        <v>353</v>
      </c>
      <c r="D165" s="520">
        <f>-MIN(M163:BL163)-D166</f>
        <v>1050000</v>
      </c>
      <c r="E165" s="265"/>
      <c r="F165" s="265"/>
      <c r="G165" s="265"/>
      <c r="H165" s="265"/>
      <c r="I165" s="265"/>
      <c r="J165" s="265"/>
      <c r="K165" s="265"/>
      <c r="L165" s="265"/>
      <c r="M165" s="265"/>
      <c r="N165" s="265"/>
      <c r="O165" s="265"/>
      <c r="P165" s="265"/>
      <c r="Q165" s="265"/>
      <c r="R165" s="265"/>
      <c r="S165" s="265"/>
      <c r="T165" s="265"/>
      <c r="U165" s="265"/>
      <c r="V165" s="265"/>
      <c r="W165" s="265"/>
      <c r="X165" s="265"/>
      <c r="Y165" s="265"/>
      <c r="Z165" s="265"/>
      <c r="AA165" s="265"/>
      <c r="AB165" s="265"/>
      <c r="AC165" s="265"/>
      <c r="AD165" s="265"/>
      <c r="AE165" s="265"/>
      <c r="AF165" s="265"/>
      <c r="AG165" s="265"/>
      <c r="AH165" s="265"/>
      <c r="AI165" s="265"/>
      <c r="AJ165" s="265"/>
      <c r="AK165" s="265"/>
      <c r="AL165" s="265"/>
      <c r="AM165" s="265"/>
      <c r="AN165" s="265"/>
      <c r="AO165" s="265"/>
      <c r="AP165" s="265"/>
      <c r="AQ165" s="265"/>
      <c r="AR165" s="265"/>
      <c r="AS165" s="265"/>
      <c r="AT165" s="265"/>
      <c r="AU165" s="265"/>
      <c r="AV165" s="265"/>
      <c r="AW165" s="265"/>
      <c r="AX165" s="265"/>
      <c r="AY165" s="265"/>
      <c r="AZ165" s="265"/>
      <c r="BA165" s="265"/>
      <c r="BB165" s="265"/>
      <c r="BC165" s="265"/>
      <c r="BD165" s="265"/>
      <c r="BE165" s="265"/>
      <c r="BF165" s="265"/>
      <c r="BG165" s="265"/>
      <c r="BH165" s="265"/>
      <c r="BI165" s="265"/>
      <c r="BJ165" s="265"/>
      <c r="BK165" s="265"/>
      <c r="BL165" s="265"/>
      <c r="BM165" s="265"/>
      <c r="BN165" s="265"/>
      <c r="BO165" s="265"/>
      <c r="BP165" s="265"/>
      <c r="BQ165" s="265"/>
      <c r="BR165" s="265"/>
      <c r="BS165" s="265"/>
      <c r="BT165" s="265"/>
      <c r="BU165" s="265"/>
      <c r="BV165" s="265"/>
      <c r="BW165" s="265"/>
      <c r="BX165" s="265"/>
    </row>
    <row r="166" spans="3:76" hidden="1">
      <c r="C166" s="519" t="s">
        <v>360</v>
      </c>
      <c r="D166" s="520">
        <f>-SUM(M161:BB161)</f>
        <v>0</v>
      </c>
      <c r="E166" s="265"/>
      <c r="F166" s="265"/>
      <c r="G166" s="265"/>
      <c r="H166" s="265"/>
      <c r="I166" s="265"/>
      <c r="J166" s="265"/>
      <c r="K166" s="265"/>
      <c r="L166" s="265"/>
      <c r="M166" s="265"/>
      <c r="N166" s="265"/>
      <c r="O166" s="265"/>
      <c r="P166" s="265"/>
      <c r="Q166" s="265"/>
      <c r="R166" s="265"/>
      <c r="S166" s="265"/>
      <c r="T166" s="265"/>
      <c r="U166" s="265"/>
      <c r="V166" s="265"/>
      <c r="W166" s="265"/>
      <c r="X166" s="265"/>
      <c r="Y166" s="265"/>
      <c r="Z166" s="265"/>
      <c r="AA166" s="265"/>
      <c r="AB166" s="265"/>
      <c r="AC166" s="265"/>
      <c r="AD166" s="265"/>
      <c r="AE166" s="265"/>
      <c r="AF166" s="265"/>
      <c r="AG166" s="265"/>
      <c r="AH166" s="265"/>
      <c r="AI166" s="265"/>
      <c r="AJ166" s="265"/>
      <c r="AK166" s="265"/>
      <c r="AL166" s="265"/>
      <c r="AM166" s="265"/>
      <c r="AN166" s="265"/>
      <c r="AO166" s="265"/>
      <c r="AP166" s="265"/>
      <c r="AQ166" s="265"/>
      <c r="AR166" s="265"/>
      <c r="AS166" s="265"/>
      <c r="AT166" s="265"/>
      <c r="AU166" s="265"/>
      <c r="AV166" s="265"/>
      <c r="AW166" s="265"/>
      <c r="AX166" s="265"/>
      <c r="AY166" s="265"/>
      <c r="AZ166" s="265"/>
      <c r="BA166" s="265"/>
      <c r="BB166" s="265"/>
      <c r="BC166" s="265"/>
      <c r="BD166" s="265"/>
      <c r="BE166" s="265"/>
      <c r="BF166" s="265"/>
      <c r="BG166" s="265"/>
      <c r="BH166" s="265"/>
      <c r="BI166" s="265"/>
      <c r="BJ166" s="265"/>
      <c r="BK166" s="265"/>
      <c r="BL166" s="265"/>
      <c r="BM166" s="265"/>
      <c r="BN166" s="265"/>
      <c r="BO166" s="265"/>
      <c r="BP166" s="265"/>
      <c r="BQ166" s="265"/>
      <c r="BR166" s="265"/>
      <c r="BS166" s="265"/>
      <c r="BT166" s="265"/>
      <c r="BU166" s="265"/>
      <c r="BV166" s="265"/>
      <c r="BW166" s="265"/>
      <c r="BX166" s="265"/>
    </row>
    <row r="167" spans="3:76" hidden="1">
      <c r="C167" s="513" t="s">
        <v>354</v>
      </c>
      <c r="D167" s="521">
        <f>D166+D165</f>
        <v>1050000</v>
      </c>
      <c r="E167" s="265"/>
      <c r="F167" s="265"/>
      <c r="G167" s="265"/>
      <c r="H167" s="265"/>
      <c r="I167" s="265"/>
      <c r="J167" s="265"/>
      <c r="K167" s="265"/>
      <c r="L167" s="265"/>
      <c r="M167" s="265"/>
      <c r="N167" s="265"/>
      <c r="O167" s="265"/>
      <c r="P167" s="265"/>
      <c r="Q167" s="265"/>
      <c r="R167" s="265"/>
      <c r="S167" s="265"/>
      <c r="T167" s="265"/>
      <c r="U167" s="265"/>
      <c r="V167" s="265"/>
      <c r="W167" s="265"/>
      <c r="X167" s="265"/>
      <c r="Y167" s="265"/>
      <c r="Z167" s="265"/>
      <c r="AA167" s="265"/>
      <c r="AB167" s="265"/>
      <c r="AC167" s="265"/>
      <c r="AD167" s="265"/>
      <c r="AE167" s="265"/>
      <c r="AF167" s="265"/>
      <c r="AG167" s="265"/>
      <c r="AH167" s="265"/>
      <c r="AI167" s="265"/>
      <c r="AJ167" s="265"/>
      <c r="AK167" s="265"/>
      <c r="AL167" s="265"/>
      <c r="AM167" s="265"/>
      <c r="AN167" s="265"/>
      <c r="AO167" s="265"/>
      <c r="AP167" s="265"/>
      <c r="AQ167" s="265"/>
      <c r="AR167" s="265"/>
      <c r="AS167" s="265"/>
      <c r="AT167" s="265"/>
      <c r="AU167" s="265"/>
      <c r="AV167" s="265"/>
      <c r="AW167" s="265"/>
      <c r="AX167" s="265"/>
      <c r="AY167" s="265"/>
      <c r="AZ167" s="265"/>
      <c r="BA167" s="265"/>
      <c r="BB167" s="265"/>
      <c r="BC167" s="265"/>
      <c r="BD167" s="265"/>
      <c r="BE167" s="265"/>
      <c r="BF167" s="265"/>
      <c r="BG167" s="265"/>
      <c r="BH167" s="265"/>
      <c r="BI167" s="265"/>
      <c r="BJ167" s="265"/>
      <c r="BK167" s="265"/>
      <c r="BL167" s="265"/>
      <c r="BM167" s="265"/>
      <c r="BN167" s="265"/>
      <c r="BO167" s="265"/>
      <c r="BP167" s="265"/>
      <c r="BQ167" s="265"/>
      <c r="BR167" s="265"/>
      <c r="BS167" s="265"/>
      <c r="BT167" s="265"/>
      <c r="BU167" s="265"/>
      <c r="BV167" s="265"/>
      <c r="BW167" s="265"/>
      <c r="BX167" s="265"/>
    </row>
    <row r="168" spans="3:76" hidden="1">
      <c r="C168" s="513" t="s">
        <v>355</v>
      </c>
      <c r="D168" s="521" t="e">
        <f>BX159+BX160</f>
        <v>#REF!</v>
      </c>
      <c r="E168" s="265"/>
      <c r="F168" s="265"/>
      <c r="G168" s="265"/>
      <c r="H168" s="265"/>
      <c r="I168" s="265"/>
      <c r="J168" s="265"/>
      <c r="K168" s="265"/>
      <c r="L168" s="265"/>
      <c r="M168" s="265"/>
      <c r="N168" s="265"/>
      <c r="O168" s="265"/>
      <c r="P168" s="265"/>
      <c r="Q168" s="265"/>
      <c r="R168" s="265"/>
      <c r="S168" s="265"/>
      <c r="T168" s="265"/>
      <c r="U168" s="265"/>
      <c r="V168" s="265"/>
      <c r="W168" s="265"/>
      <c r="X168" s="265"/>
      <c r="Y168" s="265"/>
      <c r="Z168" s="265"/>
      <c r="AA168" s="265"/>
      <c r="AB168" s="265"/>
      <c r="AC168" s="265"/>
      <c r="AD168" s="265"/>
      <c r="AE168" s="265"/>
      <c r="AF168" s="265"/>
      <c r="AG168" s="265"/>
      <c r="AH168" s="265"/>
      <c r="AI168" s="265"/>
      <c r="AJ168" s="265"/>
      <c r="AK168" s="265"/>
      <c r="AL168" s="265"/>
      <c r="AM168" s="265"/>
      <c r="AN168" s="265"/>
      <c r="AO168" s="265"/>
      <c r="AP168" s="265"/>
      <c r="AQ168" s="265"/>
      <c r="AR168" s="265"/>
      <c r="AS168" s="265"/>
      <c r="AT168" s="265"/>
      <c r="AU168" s="265"/>
      <c r="AV168" s="265"/>
      <c r="AW168" s="265"/>
      <c r="AX168" s="265"/>
      <c r="AY168" s="265"/>
      <c r="AZ168" s="265"/>
      <c r="BA168" s="265"/>
      <c r="BB168" s="265"/>
      <c r="BC168" s="265"/>
      <c r="BD168" s="265"/>
      <c r="BE168" s="265"/>
      <c r="BF168" s="265"/>
      <c r="BG168" s="265"/>
      <c r="BH168" s="265"/>
      <c r="BI168" s="265"/>
      <c r="BJ168" s="265"/>
      <c r="BK168" s="265"/>
      <c r="BL168" s="265"/>
      <c r="BM168" s="265"/>
      <c r="BN168" s="265"/>
      <c r="BO168" s="265"/>
      <c r="BP168" s="265"/>
      <c r="BQ168" s="265"/>
      <c r="BR168" s="265"/>
      <c r="BS168" s="265"/>
      <c r="BT168" s="265"/>
      <c r="BU168" s="265"/>
      <c r="BV168" s="265"/>
      <c r="BW168" s="265"/>
      <c r="BX168" s="265"/>
    </row>
    <row r="169" spans="3:76" hidden="1">
      <c r="C169" s="513" t="s">
        <v>356</v>
      </c>
      <c r="D169" s="518" t="e">
        <f>(D168-D166)/D167</f>
        <v>#REF!</v>
      </c>
      <c r="E169" s="265"/>
      <c r="F169" s="265"/>
      <c r="G169" s="265"/>
      <c r="H169" s="265"/>
      <c r="I169" s="265"/>
      <c r="J169" s="265"/>
      <c r="K169" s="265"/>
      <c r="L169" s="265"/>
      <c r="M169" s="265"/>
      <c r="N169" s="265"/>
      <c r="O169" s="265"/>
      <c r="P169" s="265"/>
      <c r="Q169" s="265"/>
      <c r="R169" s="265"/>
      <c r="S169" s="265"/>
      <c r="T169" s="265"/>
      <c r="U169" s="265"/>
      <c r="V169" s="265"/>
      <c r="W169" s="265"/>
      <c r="X169" s="265"/>
      <c r="Y169" s="265"/>
      <c r="Z169" s="265"/>
      <c r="AA169" s="265"/>
      <c r="AB169" s="265"/>
      <c r="AC169" s="265"/>
      <c r="AD169" s="265"/>
      <c r="AE169" s="265"/>
      <c r="AF169" s="265"/>
      <c r="AG169" s="265"/>
      <c r="AH169" s="265"/>
      <c r="AI169" s="265"/>
      <c r="AJ169" s="265"/>
      <c r="AK169" s="265"/>
      <c r="AL169" s="265"/>
      <c r="AM169" s="265"/>
      <c r="AN169" s="265"/>
      <c r="AO169" s="265"/>
      <c r="AP169" s="265"/>
      <c r="AQ169" s="265"/>
      <c r="AR169" s="265"/>
      <c r="AS169" s="265"/>
      <c r="AT169" s="265"/>
      <c r="AU169" s="265"/>
      <c r="AV169" s="265"/>
      <c r="AW169" s="265"/>
      <c r="AX169" s="265"/>
      <c r="AY169" s="265"/>
      <c r="AZ169" s="265"/>
      <c r="BA169" s="265"/>
      <c r="BB169" s="265"/>
      <c r="BC169" s="265"/>
      <c r="BD169" s="265"/>
      <c r="BE169" s="265"/>
      <c r="BF169" s="265"/>
      <c r="BG169" s="265"/>
      <c r="BH169" s="265"/>
      <c r="BI169" s="265"/>
      <c r="BJ169" s="265"/>
      <c r="BK169" s="265"/>
      <c r="BL169" s="265"/>
      <c r="BM169" s="265"/>
      <c r="BN169" s="265"/>
      <c r="BO169" s="265"/>
      <c r="BP169" s="265"/>
      <c r="BQ169" s="265"/>
      <c r="BR169" s="265"/>
      <c r="BS169" s="265"/>
      <c r="BT169" s="265"/>
      <c r="BU169" s="265"/>
      <c r="BV169" s="265"/>
      <c r="BW169" s="265"/>
      <c r="BX169" s="265"/>
    </row>
  </sheetData>
  <mergeCells count="26">
    <mergeCell ref="B9:B11"/>
    <mergeCell ref="BZ9:BZ11"/>
    <mergeCell ref="B2:C4"/>
    <mergeCell ref="E2:P2"/>
    <mergeCell ref="Q2:AB2"/>
    <mergeCell ref="AC2:AN2"/>
    <mergeCell ref="AO2:AZ2"/>
    <mergeCell ref="BA2:BL2"/>
    <mergeCell ref="BM2:BX2"/>
    <mergeCell ref="BY2:BZ4"/>
    <mergeCell ref="B5:B8"/>
    <mergeCell ref="BZ5:BZ8"/>
    <mergeCell ref="B18:B96"/>
    <mergeCell ref="BZ18:BZ88"/>
    <mergeCell ref="BY89:BZ89"/>
    <mergeCell ref="BZ90:BZ96"/>
    <mergeCell ref="B12:B16"/>
    <mergeCell ref="BZ12:BZ16"/>
    <mergeCell ref="B17:C17"/>
    <mergeCell ref="BY17:BZ17"/>
    <mergeCell ref="B98:C98"/>
    <mergeCell ref="BY98:BZ98"/>
    <mergeCell ref="B99:C99"/>
    <mergeCell ref="D105:BW105"/>
    <mergeCell ref="B97:C97"/>
    <mergeCell ref="BY97:BZ97"/>
  </mergeCells>
  <conditionalFormatting sqref="E18:BX18 E25:BX25 E28:BX28 E36:BX36 E39:BX39 E48:BX48 E54:BX54 E62:BX62 E86:BX86 E89:BX89">
    <cfRule type="cellIs" dxfId="9" priority="1" operator="equal">
      <formula>0</formula>
    </cfRule>
  </conditionalFormatting>
  <conditionalFormatting sqref="F110:BS113 E111 BT111:BX111 E113 BT113:BX113 E124 F124:BX127 E126 E140 M140:BX140 F140:L143 E142 M142:BX142 E159:BX159">
    <cfRule type="cellIs" dxfId="8" priority="2" operator="equal">
      <formula>0</formula>
    </cfRule>
  </conditionalFormatting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B1:CD171"/>
  <sheetViews>
    <sheetView workbookViewId="0">
      <pane xSplit="3" ySplit="4" topLeftCell="W7" activePane="bottomRight" state="frozen"/>
      <selection activeCell="B2" sqref="B2:C4"/>
      <selection pane="topRight" activeCell="B2" sqref="B2:C4"/>
      <selection pane="bottomLeft" activeCell="B2" sqref="B2:C4"/>
      <selection pane="bottomRight" activeCell="B2" sqref="B2:C4"/>
    </sheetView>
  </sheetViews>
  <sheetFormatPr baseColWidth="10" defaultColWidth="12.6640625" defaultRowHeight="15" customHeight="1" outlineLevelRow="1" outlineLevelCol="2"/>
  <cols>
    <col min="1" max="1" width="2.33203125" customWidth="1"/>
    <col min="3" max="3" width="40.1640625" customWidth="1"/>
    <col min="4" max="4" width="12.6640625" outlineLevel="1"/>
    <col min="5" max="5" width="6.5" customWidth="1" outlineLevel="1"/>
    <col min="6" max="13" width="6.5" customWidth="1" outlineLevel="2"/>
    <col min="14" max="14" width="7.83203125" customWidth="1" outlineLevel="2"/>
    <col min="15" max="15" width="10.5" customWidth="1" outlineLevel="2"/>
    <col min="16" max="16" width="15.1640625" customWidth="1" outlineLevel="2"/>
    <col min="17" max="17" width="7.1640625" customWidth="1" outlineLevel="1"/>
    <col min="18" max="18" width="6.5" customWidth="1" outlineLevel="2"/>
    <col min="19" max="20" width="10.1640625" customWidth="1" outlineLevel="2"/>
    <col min="21" max="21" width="11.33203125" customWidth="1" outlineLevel="2"/>
    <col min="22" max="22" width="11" customWidth="1" outlineLevel="2"/>
    <col min="23" max="23" width="10.83203125" customWidth="1" outlineLevel="2"/>
    <col min="24" max="28" width="11.6640625" customWidth="1" outlineLevel="2"/>
    <col min="29" max="29" width="11.6640625" customWidth="1" outlineLevel="1"/>
    <col min="30" max="34" width="11.6640625" customWidth="1" outlineLevel="2"/>
    <col min="35" max="35" width="13.83203125" customWidth="1" outlineLevel="2"/>
    <col min="36" max="40" width="5.6640625" customWidth="1" outlineLevel="2"/>
    <col min="41" max="41" width="5.664062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2.6640625" collapsed="1"/>
    <col min="80" max="82" width="12.6640625" hidden="1" outlineLevel="1"/>
    <col min="83" max="83" width="15.1640625" customWidth="1"/>
    <col min="84" max="84" width="13.1640625" bestFit="1" customWidth="1"/>
  </cols>
  <sheetData>
    <row r="1" spans="2:81">
      <c r="B1" s="266" t="s">
        <v>243</v>
      </c>
      <c r="C1" s="267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8"/>
      <c r="AD1" s="268"/>
      <c r="AE1" s="268"/>
      <c r="AF1" s="268"/>
      <c r="AG1" s="268"/>
      <c r="AH1" s="268"/>
      <c r="AI1" s="268"/>
      <c r="AJ1" s="268"/>
      <c r="AK1" s="268"/>
      <c r="AL1" s="268"/>
      <c r="AM1" s="268"/>
      <c r="AN1" s="268"/>
      <c r="AO1" s="268"/>
      <c r="AP1" s="268"/>
      <c r="AQ1" s="268"/>
      <c r="AR1" s="268"/>
      <c r="AS1" s="268"/>
      <c r="AT1" s="268"/>
      <c r="AU1" s="268"/>
      <c r="AV1" s="268"/>
      <c r="AW1" s="268"/>
      <c r="AX1" s="268"/>
      <c r="AY1" s="268"/>
      <c r="AZ1" s="268"/>
      <c r="BA1" s="268"/>
      <c r="BB1" s="268"/>
      <c r="BC1" s="268"/>
      <c r="BD1" s="268"/>
      <c r="BE1" s="268"/>
      <c r="BF1" s="268"/>
      <c r="BG1" s="268"/>
      <c r="BH1" s="268"/>
      <c r="BI1" s="268"/>
      <c r="BJ1" s="268"/>
      <c r="BK1" s="268"/>
      <c r="BL1" s="268"/>
      <c r="BM1" s="268"/>
      <c r="BN1" s="268"/>
      <c r="BO1" s="268"/>
      <c r="BP1" s="268"/>
      <c r="BQ1" s="268"/>
      <c r="BR1" s="268"/>
      <c r="BS1" s="268"/>
      <c r="BT1" s="268"/>
      <c r="BU1" s="268"/>
      <c r="BV1" s="268"/>
      <c r="BW1" s="268"/>
      <c r="BX1" s="268"/>
      <c r="BY1" s="268"/>
      <c r="BZ1" s="268"/>
      <c r="CA1" s="265"/>
      <c r="CB1" s="265"/>
      <c r="CC1" s="265"/>
    </row>
    <row r="2" spans="2:81">
      <c r="B2" s="639" t="s">
        <v>245</v>
      </c>
      <c r="C2" s="631"/>
      <c r="D2" s="470"/>
      <c r="E2" s="642">
        <v>45292</v>
      </c>
      <c r="F2" s="623"/>
      <c r="G2" s="623"/>
      <c r="H2" s="623"/>
      <c r="I2" s="623"/>
      <c r="J2" s="623"/>
      <c r="K2" s="623"/>
      <c r="L2" s="623"/>
      <c r="M2" s="623"/>
      <c r="N2" s="623"/>
      <c r="O2" s="623"/>
      <c r="P2" s="624"/>
      <c r="Q2" s="643">
        <v>2025</v>
      </c>
      <c r="R2" s="623"/>
      <c r="S2" s="623"/>
      <c r="T2" s="623"/>
      <c r="U2" s="623"/>
      <c r="V2" s="623"/>
      <c r="W2" s="623"/>
      <c r="X2" s="623"/>
      <c r="Y2" s="623"/>
      <c r="Z2" s="623"/>
      <c r="AA2" s="623"/>
      <c r="AB2" s="624"/>
      <c r="AC2" s="643">
        <v>2026</v>
      </c>
      <c r="AD2" s="623"/>
      <c r="AE2" s="623"/>
      <c r="AF2" s="623"/>
      <c r="AG2" s="623"/>
      <c r="AH2" s="623"/>
      <c r="AI2" s="623"/>
      <c r="AJ2" s="623"/>
      <c r="AK2" s="623"/>
      <c r="AL2" s="623"/>
      <c r="AM2" s="623"/>
      <c r="AN2" s="624"/>
      <c r="AO2" s="642">
        <v>46388</v>
      </c>
      <c r="AP2" s="623"/>
      <c r="AQ2" s="623"/>
      <c r="AR2" s="623"/>
      <c r="AS2" s="623"/>
      <c r="AT2" s="623"/>
      <c r="AU2" s="623"/>
      <c r="AV2" s="623"/>
      <c r="AW2" s="623"/>
      <c r="AX2" s="623"/>
      <c r="AY2" s="623"/>
      <c r="AZ2" s="624"/>
      <c r="BA2" s="642">
        <v>46753</v>
      </c>
      <c r="BB2" s="623"/>
      <c r="BC2" s="623"/>
      <c r="BD2" s="623"/>
      <c r="BE2" s="623"/>
      <c r="BF2" s="623"/>
      <c r="BG2" s="623"/>
      <c r="BH2" s="623"/>
      <c r="BI2" s="623"/>
      <c r="BJ2" s="623"/>
      <c r="BK2" s="623"/>
      <c r="BL2" s="624"/>
      <c r="BM2" s="642">
        <v>47119</v>
      </c>
      <c r="BN2" s="623"/>
      <c r="BO2" s="623"/>
      <c r="BP2" s="623"/>
      <c r="BQ2" s="623"/>
      <c r="BR2" s="623"/>
      <c r="BS2" s="623"/>
      <c r="BT2" s="623"/>
      <c r="BU2" s="623"/>
      <c r="BV2" s="623"/>
      <c r="BW2" s="623"/>
      <c r="BX2" s="624"/>
      <c r="BY2" s="644" t="s">
        <v>246</v>
      </c>
      <c r="BZ2" s="631"/>
      <c r="CA2" s="265"/>
      <c r="CB2" s="265"/>
      <c r="CC2" s="265"/>
    </row>
    <row r="3" spans="2:81">
      <c r="B3" s="640"/>
      <c r="C3" s="631"/>
      <c r="D3" s="470"/>
      <c r="E3" s="269" t="str">
        <f>IFERROR(VLOOKUP(TEXT(E4,"mm.yyyy"),HMG!$B$2:$C$1001, 2, FALSE),"")</f>
        <v>zapis KS</v>
      </c>
      <c r="F3" s="269" t="str">
        <f>IFERROR(VLOOKUP(TEXT(F4,"mm.yyyy"),HMG!$B$2:$C$1001, 2, FALSE),"")</f>
        <v/>
      </c>
      <c r="G3" s="269" t="str">
        <f>IFERROR(VLOOKUP(TEXT(G4,"mm.yyyy"),HMG!$B$2:$C$1001, 2, FALSE),"")</f>
        <v/>
      </c>
      <c r="H3" s="269" t="str">
        <f>IFERROR(VLOOKUP(TEXT(H4,"mm.yyyy"),HMG!$B$2:$C$1001, 2, FALSE),"")</f>
        <v/>
      </c>
      <c r="I3" s="269" t="str">
        <f>IFERROR(VLOOKUP(TEXT(I4,"mm.yyyy"),HMG!$B$2:$C$1001, 2, FALSE),"")</f>
        <v/>
      </c>
      <c r="J3" s="269" t="str">
        <f>IFERROR(VLOOKUP(TEXT(J4,"mm.yyyy"),HMG!$B$2:$C$1001, 2, FALSE),"")</f>
        <v/>
      </c>
      <c r="K3" s="269" t="str">
        <f>IFERROR(VLOOKUP(TEXT(K4,"mm.yyyy"),HMG!$B$2:$C$1001, 2, FALSE),"")</f>
        <v/>
      </c>
      <c r="L3" s="269" t="str">
        <f>IFERROR(VLOOKUP(TEXT(L4,"mm.yyyy"),HMG!$B$2:$C$1001, 2, FALSE),"")</f>
        <v/>
      </c>
      <c r="M3" s="269" t="str">
        <f>IFERROR(VLOOKUP(TEXT(M4,"mm.yyyy"),HMG!$B$2:$C$1001, 2, FALSE),"")</f>
        <v/>
      </c>
      <c r="N3" s="269" t="str">
        <f>IFERROR(VLOOKUP(TEXT(N4,"mm.yyyy"),HMG!$B$2:$C$1001, 2, FALSE),"")</f>
        <v/>
      </c>
      <c r="O3" s="269" t="str">
        <f>IFERROR(VLOOKUP(TEXT(O4,"mm.yyyy"),HMG!$B$2:$C$1001, 2, FALSE),"")</f>
        <v/>
      </c>
      <c r="P3" s="269" t="str">
        <f>IFERROR(VLOOKUP(TEXT(P4,"mm.yyyy"),HMG!$B$2:$C$1001, 2, FALSE),"")</f>
        <v/>
      </c>
      <c r="Q3" s="269" t="str">
        <f>IFERROR(VLOOKUP(TEXT(Q4,"mm.yyyy"),HMG!$B$2:$C$1001, 2, FALSE),"")</f>
        <v>zapis KS</v>
      </c>
      <c r="R3" s="269" t="str">
        <f>IFERROR(VLOOKUP(TEXT(R4,"mm.yyyy"),HMG!$B$2:$C$1001, 2, FALSE),"")</f>
        <v/>
      </c>
      <c r="S3" s="269" t="str">
        <f>IFERROR(VLOOKUP(TEXT(S4,"mm.yyyy"),HMG!$B$2:$C$1001, 2, FALSE),"")</f>
        <v/>
      </c>
      <c r="T3" s="269" t="str">
        <f>IFERROR(VLOOKUP(TEXT(T4,"mm.yyyy"),HMG!$B$2:$C$1001, 2, FALSE),"")</f>
        <v/>
      </c>
      <c r="U3" s="269" t="str">
        <f>IFERROR(VLOOKUP(TEXT(U4,"mm.yyyy"),HMG!$B$2:$C$1001, 2, FALSE),"")</f>
        <v/>
      </c>
      <c r="V3" s="269" t="str">
        <f>IFERROR(VLOOKUP(TEXT(V4,"mm.yyyy"),HMG!$B$2:$C$1001, 2, FALSE),"")</f>
        <v/>
      </c>
      <c r="W3" s="269" t="str">
        <f>IFERROR(VLOOKUP(TEXT(W4,"mm.yyyy"),HMG!$B$2:$C$1001, 2, FALSE),"")</f>
        <v/>
      </c>
      <c r="X3" s="269" t="str">
        <f>IFERROR(VLOOKUP(TEXT(X4,"mm.yyyy"),HMG!$B$2:$C$1001, 2, FALSE),"")</f>
        <v/>
      </c>
      <c r="Y3" s="269" t="str">
        <f>IFERROR(VLOOKUP(TEXT(Y4,"mm.yyyy"),HMG!$B$2:$C$1001, 2, FALSE),"")</f>
        <v/>
      </c>
      <c r="Z3" s="269" t="str">
        <f>IFERROR(VLOOKUP(TEXT(Z4,"mm.yyyy"),HMG!$B$2:$C$1001, 2, FALSE),"")</f>
        <v/>
      </c>
      <c r="AA3" s="269" t="str">
        <f>IFERROR(VLOOKUP(TEXT(AA4,"mm.yyyy"),HMG!$B$2:$C$1001, 2, FALSE),"")</f>
        <v/>
      </c>
      <c r="AB3" s="269" t="str">
        <f>IFERROR(VLOOKUP(TEXT(AB4,"mm.yyyy"),HMG!$B$2:$C$1001, 2, FALSE),"")</f>
        <v/>
      </c>
      <c r="AC3" s="269"/>
      <c r="AD3" s="269" t="str">
        <f>IFERROR(VLOOKUP(TEXT(AD4,"mm.yyyy"),HMG!$B$2:$C$1001, 2, FALSE),"")</f>
        <v/>
      </c>
      <c r="AE3" s="269" t="str">
        <f>IFERROR(VLOOKUP(TEXT(AE4,"mm.yyyy"),HMG!$B$2:$C$1001, 2, FALSE),"")</f>
        <v/>
      </c>
      <c r="AF3" s="269" t="str">
        <f>IFERROR(VLOOKUP(TEXT(AF4,"mm.yyyy"),HMG!$B$2:$C$1001, 2, FALSE),"")</f>
        <v/>
      </c>
      <c r="AG3" s="269" t="str">
        <f>IFERROR(VLOOKUP(TEXT(AG4,"mm.yyyy"),HMG!$B$2:$C$1001, 2, FALSE),"")</f>
        <v/>
      </c>
      <c r="AH3" s="269" t="str">
        <f>IFERROR(VLOOKUP(TEXT(AH4,"mm.yyyy"),HMG!$B$2:$C$1001, 2, FALSE),"")</f>
        <v/>
      </c>
      <c r="AI3" s="269" t="str">
        <f>IFERROR(VLOOKUP(TEXT(AI4,"mm.yyyy"),HMG!$B$2:$C$1001, 2, FALSE),"")</f>
        <v/>
      </c>
      <c r="AJ3" s="269" t="str">
        <f>IFERROR(VLOOKUP(TEXT(AJ4,"mm.yyyy"),HMG!$B$2:$C$1001, 2, FALSE),"")</f>
        <v/>
      </c>
      <c r="AK3" s="269" t="str">
        <f>IFERROR(VLOOKUP(TEXT(AK4,"mm.yyyy"),HMG!$B$2:$C$1001, 2, FALSE),"")</f>
        <v/>
      </c>
      <c r="AL3" s="269" t="str">
        <f>IFERROR(VLOOKUP(TEXT(AL4,"mm.yyyy"),HMG!$B$2:$C$1001, 2, FALSE),"")</f>
        <v/>
      </c>
      <c r="AM3" s="269" t="str">
        <f>IFERROR(VLOOKUP(TEXT(AM4,"mm.yyyy"),HMG!$B$2:$C$1001, 2, FALSE),"")</f>
        <v/>
      </c>
      <c r="AN3" s="269" t="str">
        <f>IFERROR(VLOOKUP(TEXT(AN4,"mm.yyyy"),HMG!$B$2:$C$1001, 2, FALSE),"")</f>
        <v/>
      </c>
      <c r="AO3" s="269" t="str">
        <f>IFERROR(VLOOKUP(TEXT(AO4,"mm.yyyy"),HMG!$B$2:$C$1001, 2, FALSE),"")</f>
        <v>zapis KS</v>
      </c>
      <c r="AP3" s="269" t="str">
        <f>IFERROR(VLOOKUP(TEXT(AP4,"mm.yyyy"),HMG!$B$2:$C$1001, 2, FALSE),"")</f>
        <v/>
      </c>
      <c r="AQ3" s="269" t="str">
        <f>IFERROR(VLOOKUP(TEXT(AQ4,"mm.yyyy"),HMG!$B$2:$C$1001, 2, FALSE),"")</f>
        <v/>
      </c>
      <c r="AR3" s="269" t="str">
        <f>IFERROR(VLOOKUP(TEXT(AR4,"mm.yyyy"),HMG!$B$2:$C$1001, 2, FALSE),"")</f>
        <v/>
      </c>
      <c r="AS3" s="269" t="str">
        <f>IFERROR(VLOOKUP(TEXT(AS4,"mm.yyyy"),HMG!$B$2:$C$1001, 2, FALSE),"")</f>
        <v/>
      </c>
      <c r="AT3" s="269" t="str">
        <f>IFERROR(VLOOKUP(TEXT(AT4,"mm.yyyy"),HMG!$B$2:$C$1001, 2, FALSE),"")</f>
        <v/>
      </c>
      <c r="AU3" s="269" t="str">
        <f>IFERROR(VLOOKUP(TEXT(AU4,"mm.yyyy"),HMG!$B$2:$C$1001, 2, FALSE),"")</f>
        <v/>
      </c>
      <c r="AV3" s="269" t="str">
        <f>IFERROR(VLOOKUP(TEXT(AV4,"mm.yyyy"),HMG!$B$2:$C$1001, 2, FALSE),"")</f>
        <v/>
      </c>
      <c r="AW3" s="269" t="str">
        <f>IFERROR(VLOOKUP(TEXT(AW4,"mm.yyyy"),HMG!$B$2:$C$1001, 2, FALSE),"")</f>
        <v/>
      </c>
      <c r="AX3" s="269" t="str">
        <f>IFERROR(VLOOKUP(TEXT(AX4,"mm.yyyy"),HMG!$B$2:$C$1001, 2, FALSE),"")</f>
        <v/>
      </c>
      <c r="AY3" s="269" t="str">
        <f>IFERROR(VLOOKUP(TEXT(AY4,"mm.yyyy"),HMG!$B$2:$C$1001, 2, FALSE),"")</f>
        <v/>
      </c>
      <c r="AZ3" s="269" t="str">
        <f>IFERROR(VLOOKUP(TEXT(AZ4,"mm.yyyy"),HMG!$B$2:$C$1001, 2, FALSE),"")</f>
        <v/>
      </c>
      <c r="BA3" s="269" t="str">
        <f>IFERROR(VLOOKUP(TEXT(BA4,"mm.yyyy"),HMG!$B$2:$C$1001, 2, FALSE),"")</f>
        <v>zapis KS</v>
      </c>
      <c r="BB3" s="269" t="str">
        <f>IFERROR(VLOOKUP(TEXT(BB4,"mm.yyyy"),HMG!$B$2:$C$1001, 2, FALSE),"")</f>
        <v/>
      </c>
      <c r="BC3" s="269" t="str">
        <f>IFERROR(VLOOKUP(TEXT(BC4,"mm.yyyy"),HMG!$B$2:$C$1001, 2, FALSE),"")</f>
        <v/>
      </c>
      <c r="BD3" s="269" t="str">
        <f>IFERROR(VLOOKUP(TEXT(BD4,"mm.yyyy"),HMG!$B$2:$C$1001, 2, FALSE),"")</f>
        <v/>
      </c>
      <c r="BE3" s="269" t="str">
        <f>IFERROR(VLOOKUP(TEXT(BE4,"mm.yyyy"),HMG!$B$2:$C$1001, 2, FALSE),"")</f>
        <v/>
      </c>
      <c r="BF3" s="269" t="str">
        <f>IFERROR(VLOOKUP(TEXT(BF4,"mm.yyyy"),HMG!$B$2:$C$1001, 2, FALSE),"")</f>
        <v/>
      </c>
      <c r="BG3" s="269" t="str">
        <f>IFERROR(VLOOKUP(TEXT(BG4,"mm.yyyy"),HMG!$B$2:$C$1001, 2, FALSE),"")</f>
        <v/>
      </c>
      <c r="BH3" s="269" t="str">
        <f>IFERROR(VLOOKUP(TEXT(BH4,"mm.yyyy"),HMG!$B$2:$C$1001, 2, FALSE),"")</f>
        <v/>
      </c>
      <c r="BI3" s="269" t="str">
        <f>IFERROR(VLOOKUP(TEXT(BI4,"mm.yyyy"),HMG!$B$2:$C$1001, 2, FALSE),"")</f>
        <v/>
      </c>
      <c r="BJ3" s="269" t="str">
        <f>IFERROR(VLOOKUP(TEXT(BJ4,"mm.yyyy"),HMG!$B$2:$C$1001, 2, FALSE),"")</f>
        <v/>
      </c>
      <c r="BK3" s="269" t="str">
        <f>IFERROR(VLOOKUP(TEXT(BK4,"mm.yyyy"),HMG!$B$2:$C$1001, 2, FALSE),"")</f>
        <v/>
      </c>
      <c r="BL3" s="269" t="str">
        <f>IFERROR(VLOOKUP(TEXT(BL4,"mm.yyyy"),HMG!$B$2:$C$1001, 2, FALSE),"")</f>
        <v/>
      </c>
      <c r="BM3" s="269" t="str">
        <f>IFERROR(VLOOKUP(TEXT(BM4,"mm.yyyy"),HMG!$B$2:$C$1001, 2, FALSE),"")</f>
        <v>zapis KS</v>
      </c>
      <c r="BN3" s="269" t="str">
        <f>IFERROR(VLOOKUP(TEXT(BN4,"mm.yyyy"),HMG!$B$2:$C$1001, 2, FALSE),"")</f>
        <v/>
      </c>
      <c r="BO3" s="269" t="str">
        <f>IFERROR(VLOOKUP(TEXT(BO4,"mm.yyyy"),HMG!$B$2:$C$1001, 2, FALSE),"")</f>
        <v/>
      </c>
      <c r="BP3" s="269" t="str">
        <f>IFERROR(VLOOKUP(TEXT(BP4,"mm.yyyy"),HMG!$B$2:$C$1001, 2, FALSE),"")</f>
        <v/>
      </c>
      <c r="BQ3" s="269" t="str">
        <f>IFERROR(VLOOKUP(TEXT(BQ4,"mm.yyyy"),HMG!$B$2:$C$1001, 2, FALSE),"")</f>
        <v/>
      </c>
      <c r="BR3" s="269" t="str">
        <f>IFERROR(VLOOKUP(TEXT(BR4,"mm.yyyy"),HMG!$B$2:$C$1001, 2, FALSE),"")</f>
        <v/>
      </c>
      <c r="BS3" s="269" t="str">
        <f>IFERROR(VLOOKUP(TEXT(BS4,"mm.yyyy"),HMG!$B$2:$C$1001, 2, FALSE),"")</f>
        <v/>
      </c>
      <c r="BT3" s="269" t="str">
        <f>IFERROR(VLOOKUP(TEXT(BT4,"mm.yyyy"),HMG!$B$2:$C$1001, 2, FALSE),"")</f>
        <v/>
      </c>
      <c r="BU3" s="269" t="str">
        <f>IFERROR(VLOOKUP(TEXT(BU4,"mm.yyyy"),HMG!$B$2:$C$1001, 2, FALSE),"")</f>
        <v/>
      </c>
      <c r="BV3" s="269" t="str">
        <f>IFERROR(VLOOKUP(TEXT(BV4,"mm.yyyy"),HMG!$B$2:$C$1001, 2, FALSE),"")</f>
        <v/>
      </c>
      <c r="BW3" s="269" t="str">
        <f>IFERROR(VLOOKUP(TEXT(BW4,"mm.yyyy"),HMG!$B$2:$C$1001, 2, FALSE),"")</f>
        <v/>
      </c>
      <c r="BX3" s="269" t="str">
        <f>IFERROR(VLOOKUP(TEXT(BX4,"mm.yyyy"),HMG!$B$2:$C$1001, 2, FALSE),"")</f>
        <v/>
      </c>
      <c r="BY3" s="640"/>
      <c r="BZ3" s="631"/>
      <c r="CA3" s="265"/>
      <c r="CB3" s="265" t="s">
        <v>247</v>
      </c>
      <c r="CC3" s="265" t="s">
        <v>248</v>
      </c>
    </row>
    <row r="4" spans="2:81">
      <c r="B4" s="641"/>
      <c r="C4" s="618"/>
      <c r="D4" s="503"/>
      <c r="E4" s="270">
        <v>45292</v>
      </c>
      <c r="F4" s="270">
        <v>45323</v>
      </c>
      <c r="G4" s="270">
        <v>45352</v>
      </c>
      <c r="H4" s="270">
        <v>45383</v>
      </c>
      <c r="I4" s="270">
        <v>45413</v>
      </c>
      <c r="J4" s="270">
        <v>45444</v>
      </c>
      <c r="K4" s="270">
        <v>45474</v>
      </c>
      <c r="L4" s="270">
        <v>45505</v>
      </c>
      <c r="M4" s="270">
        <v>45536</v>
      </c>
      <c r="N4" s="270">
        <v>45566</v>
      </c>
      <c r="O4" s="270">
        <v>45597</v>
      </c>
      <c r="P4" s="270">
        <v>45627</v>
      </c>
      <c r="Q4" s="270">
        <v>45658</v>
      </c>
      <c r="R4" s="270">
        <v>45689</v>
      </c>
      <c r="S4" s="270">
        <v>45717</v>
      </c>
      <c r="T4" s="270">
        <v>45748</v>
      </c>
      <c r="U4" s="270">
        <v>45778</v>
      </c>
      <c r="V4" s="270">
        <v>45809</v>
      </c>
      <c r="W4" s="270">
        <v>45839</v>
      </c>
      <c r="X4" s="270">
        <v>45870</v>
      </c>
      <c r="Y4" s="270">
        <v>45901</v>
      </c>
      <c r="Z4" s="270">
        <v>45931</v>
      </c>
      <c r="AA4" s="270">
        <v>45962</v>
      </c>
      <c r="AB4" s="270">
        <v>45992</v>
      </c>
      <c r="AC4" s="270">
        <v>46023</v>
      </c>
      <c r="AD4" s="270">
        <v>46054</v>
      </c>
      <c r="AE4" s="270">
        <v>46082</v>
      </c>
      <c r="AF4" s="270">
        <v>46113</v>
      </c>
      <c r="AG4" s="270">
        <v>46143</v>
      </c>
      <c r="AH4" s="270">
        <v>46174</v>
      </c>
      <c r="AI4" s="270">
        <v>46204</v>
      </c>
      <c r="AJ4" s="270">
        <v>46235</v>
      </c>
      <c r="AK4" s="270">
        <v>46266</v>
      </c>
      <c r="AL4" s="270">
        <v>46296</v>
      </c>
      <c r="AM4" s="270">
        <v>46327</v>
      </c>
      <c r="AN4" s="270">
        <v>46357</v>
      </c>
      <c r="AO4" s="270">
        <v>46388</v>
      </c>
      <c r="AP4" s="270">
        <v>46419</v>
      </c>
      <c r="AQ4" s="270">
        <v>46447</v>
      </c>
      <c r="AR4" s="270">
        <v>46478</v>
      </c>
      <c r="AS4" s="270">
        <v>46508</v>
      </c>
      <c r="AT4" s="270">
        <v>46539</v>
      </c>
      <c r="AU4" s="270">
        <v>46569</v>
      </c>
      <c r="AV4" s="270">
        <v>46600</v>
      </c>
      <c r="AW4" s="270">
        <v>46631</v>
      </c>
      <c r="AX4" s="270">
        <v>46661</v>
      </c>
      <c r="AY4" s="270">
        <v>46692</v>
      </c>
      <c r="AZ4" s="270">
        <v>46722</v>
      </c>
      <c r="BA4" s="270">
        <v>46753</v>
      </c>
      <c r="BB4" s="270">
        <v>46784</v>
      </c>
      <c r="BC4" s="270">
        <v>46813</v>
      </c>
      <c r="BD4" s="270">
        <v>46844</v>
      </c>
      <c r="BE4" s="270">
        <v>46874</v>
      </c>
      <c r="BF4" s="270">
        <v>46905</v>
      </c>
      <c r="BG4" s="270">
        <v>46935</v>
      </c>
      <c r="BH4" s="270">
        <v>46966</v>
      </c>
      <c r="BI4" s="270">
        <v>46997</v>
      </c>
      <c r="BJ4" s="270">
        <v>47027</v>
      </c>
      <c r="BK4" s="270">
        <v>47058</v>
      </c>
      <c r="BL4" s="270">
        <v>47088</v>
      </c>
      <c r="BM4" s="270">
        <v>47119</v>
      </c>
      <c r="BN4" s="270">
        <v>47150</v>
      </c>
      <c r="BO4" s="270">
        <v>47178</v>
      </c>
      <c r="BP4" s="270">
        <v>47209</v>
      </c>
      <c r="BQ4" s="270">
        <v>47239</v>
      </c>
      <c r="BR4" s="270">
        <v>47270</v>
      </c>
      <c r="BS4" s="270">
        <v>47300</v>
      </c>
      <c r="BT4" s="270">
        <v>47331</v>
      </c>
      <c r="BU4" s="270">
        <v>47362</v>
      </c>
      <c r="BV4" s="270">
        <v>47392</v>
      </c>
      <c r="BW4" s="270">
        <v>47423</v>
      </c>
      <c r="BX4" s="270">
        <v>47453</v>
      </c>
      <c r="BY4" s="641"/>
      <c r="BZ4" s="618"/>
      <c r="CA4" s="265"/>
      <c r="CB4" s="265" t="s">
        <v>70</v>
      </c>
      <c r="CC4" s="265"/>
    </row>
    <row r="5" spans="2:81">
      <c r="B5" s="628" t="s">
        <v>249</v>
      </c>
      <c r="C5" s="271" t="s">
        <v>250</v>
      </c>
      <c r="D5" s="272" t="s">
        <v>251</v>
      </c>
      <c r="E5" s="273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4"/>
      <c r="Z5" s="274"/>
      <c r="AA5" s="274"/>
      <c r="AB5" s="274"/>
      <c r="AC5" s="274"/>
      <c r="AD5" s="274"/>
      <c r="AE5" s="274"/>
      <c r="AF5" s="274"/>
      <c r="AG5" s="274"/>
      <c r="AH5" s="274"/>
      <c r="AI5" s="274"/>
      <c r="AJ5" s="274"/>
      <c r="AK5" s="274"/>
      <c r="AL5" s="274"/>
      <c r="AM5" s="274"/>
      <c r="AN5" s="274"/>
      <c r="AO5" s="274"/>
      <c r="AP5" s="274"/>
      <c r="AQ5" s="274"/>
      <c r="AR5" s="274"/>
      <c r="AS5" s="274"/>
      <c r="AT5" s="274"/>
      <c r="AU5" s="274"/>
      <c r="AV5" s="274"/>
      <c r="AW5" s="274"/>
      <c r="AX5" s="274"/>
      <c r="AY5" s="274"/>
      <c r="AZ5" s="274"/>
      <c r="BA5" s="274"/>
      <c r="BB5" s="274"/>
      <c r="BC5" s="274"/>
      <c r="BD5" s="274"/>
      <c r="BE5" s="274"/>
      <c r="BF5" s="274"/>
      <c r="BG5" s="274"/>
      <c r="BH5" s="274"/>
      <c r="BI5" s="274"/>
      <c r="BJ5" s="274"/>
      <c r="BK5" s="274"/>
      <c r="BL5" s="274"/>
      <c r="BM5" s="274"/>
      <c r="BN5" s="274"/>
      <c r="BO5" s="274"/>
      <c r="BP5" s="274"/>
      <c r="BQ5" s="274"/>
      <c r="BR5" s="274"/>
      <c r="BS5" s="274"/>
      <c r="BT5" s="274"/>
      <c r="BU5" s="274"/>
      <c r="BV5" s="274"/>
      <c r="BW5" s="274"/>
      <c r="BX5" s="275"/>
      <c r="BY5" s="276">
        <f t="shared" ref="BY5:BY16" si="0">SUM(E5:BX5)</f>
        <v>0</v>
      </c>
      <c r="BZ5" s="630">
        <f>SUM(BY5:BY8)</f>
        <v>50000000</v>
      </c>
      <c r="CA5" s="265"/>
      <c r="CB5" s="276">
        <f t="shared" ref="CB5:CB14" si="1">SUM(H5:CA5)</f>
        <v>50000000</v>
      </c>
      <c r="CC5" s="630">
        <f>SUM(CB5:CB8)</f>
        <v>200000000</v>
      </c>
    </row>
    <row r="6" spans="2:81">
      <c r="B6" s="629"/>
      <c r="C6" s="504" t="s">
        <v>252</v>
      </c>
      <c r="D6" s="272" t="s">
        <v>251</v>
      </c>
      <c r="E6" s="274"/>
      <c r="F6" s="274"/>
      <c r="G6" s="274"/>
      <c r="H6" s="274"/>
      <c r="I6" s="274"/>
      <c r="J6" s="274"/>
      <c r="K6" s="274"/>
      <c r="L6" s="274"/>
      <c r="M6" s="274"/>
      <c r="N6" s="274"/>
      <c r="O6" s="274"/>
      <c r="P6" s="274"/>
      <c r="Q6" s="274"/>
      <c r="R6" s="274"/>
      <c r="S6" s="274"/>
      <c r="T6" s="274"/>
      <c r="U6" s="274">
        <v>25000000</v>
      </c>
      <c r="V6" s="274">
        <v>6500000</v>
      </c>
      <c r="W6" s="274">
        <v>1000000</v>
      </c>
      <c r="X6" s="274">
        <v>2000000</v>
      </c>
      <c r="Y6" s="274">
        <v>9500000</v>
      </c>
      <c r="Z6" s="274">
        <v>6000000</v>
      </c>
      <c r="AA6" s="274"/>
      <c r="AB6" s="274"/>
      <c r="AC6" s="274"/>
      <c r="AD6" s="274"/>
      <c r="AE6" s="274"/>
      <c r="AF6" s="274"/>
      <c r="AG6" s="274"/>
      <c r="AH6" s="274"/>
      <c r="AI6" s="274"/>
      <c r="AJ6" s="274"/>
      <c r="AK6" s="274"/>
      <c r="AL6" s="274"/>
      <c r="AM6" s="274"/>
      <c r="AN6" s="274"/>
      <c r="AO6" s="274"/>
      <c r="AP6" s="274"/>
      <c r="AQ6" s="274"/>
      <c r="AR6" s="274"/>
      <c r="AS6" s="274"/>
      <c r="AT6" s="274"/>
      <c r="AU6" s="274"/>
      <c r="AV6" s="274"/>
      <c r="AW6" s="274"/>
      <c r="AX6" s="274"/>
      <c r="AY6" s="274"/>
      <c r="AZ6" s="274"/>
      <c r="BA6" s="274"/>
      <c r="BB6" s="274"/>
      <c r="BC6" s="274"/>
      <c r="BD6" s="274"/>
      <c r="BE6" s="274"/>
      <c r="BF6" s="274"/>
      <c r="BG6" s="274"/>
      <c r="BH6" s="274"/>
      <c r="BI6" s="274"/>
      <c r="BJ6" s="274"/>
      <c r="BK6" s="274"/>
      <c r="BL6" s="274"/>
      <c r="BM6" s="274"/>
      <c r="BN6" s="274"/>
      <c r="BO6" s="274"/>
      <c r="BP6" s="274"/>
      <c r="BQ6" s="274"/>
      <c r="BR6" s="274"/>
      <c r="BS6" s="274"/>
      <c r="BT6" s="274"/>
      <c r="BU6" s="274"/>
      <c r="BV6" s="274"/>
      <c r="BW6" s="274"/>
      <c r="BX6" s="271"/>
      <c r="BY6" s="276">
        <f t="shared" si="0"/>
        <v>50000000</v>
      </c>
      <c r="BZ6" s="631"/>
      <c r="CA6" s="265">
        <v>50000000</v>
      </c>
      <c r="CB6" s="276">
        <f t="shared" si="1"/>
        <v>150000000</v>
      </c>
      <c r="CC6" s="631"/>
    </row>
    <row r="7" spans="2:81">
      <c r="B7" s="629"/>
      <c r="C7" s="504" t="s">
        <v>253</v>
      </c>
      <c r="D7" s="272" t="s">
        <v>251</v>
      </c>
      <c r="E7" s="274"/>
      <c r="F7" s="274"/>
      <c r="G7" s="274"/>
      <c r="H7" s="274"/>
      <c r="I7" s="274"/>
      <c r="J7" s="274"/>
      <c r="K7" s="274"/>
      <c r="L7" s="274"/>
      <c r="M7" s="274"/>
      <c r="N7" s="274"/>
      <c r="O7" s="274"/>
      <c r="P7" s="274"/>
      <c r="Q7" s="274"/>
      <c r="R7" s="274"/>
      <c r="S7" s="274"/>
      <c r="T7" s="274"/>
      <c r="U7" s="274"/>
      <c r="V7" s="274"/>
      <c r="W7" s="274"/>
      <c r="X7" s="274"/>
      <c r="Y7" s="274"/>
      <c r="Z7" s="274"/>
      <c r="AA7" s="274"/>
      <c r="AB7" s="274"/>
      <c r="AC7" s="274"/>
      <c r="AD7" s="274"/>
      <c r="AE7" s="274"/>
      <c r="AF7" s="274"/>
      <c r="AG7" s="274"/>
      <c r="AH7" s="274"/>
      <c r="AI7" s="274"/>
      <c r="AJ7" s="274"/>
      <c r="AK7" s="274"/>
      <c r="AL7" s="274"/>
      <c r="AM7" s="274"/>
      <c r="AN7" s="274"/>
      <c r="AO7" s="274"/>
      <c r="AP7" s="274"/>
      <c r="AQ7" s="274"/>
      <c r="AR7" s="274"/>
      <c r="AS7" s="274"/>
      <c r="AT7" s="274"/>
      <c r="AU7" s="274"/>
      <c r="AV7" s="274"/>
      <c r="AW7" s="274"/>
      <c r="AX7" s="274"/>
      <c r="AY7" s="274"/>
      <c r="AZ7" s="274"/>
      <c r="BA7" s="274"/>
      <c r="BB7" s="274"/>
      <c r="BC7" s="274"/>
      <c r="BD7" s="274"/>
      <c r="BE7" s="274"/>
      <c r="BF7" s="274"/>
      <c r="BG7" s="274"/>
      <c r="BH7" s="274"/>
      <c r="BI7" s="274"/>
      <c r="BJ7" s="274"/>
      <c r="BK7" s="274"/>
      <c r="BL7" s="274"/>
      <c r="BM7" s="274"/>
      <c r="BN7" s="274"/>
      <c r="BO7" s="274"/>
      <c r="BP7" s="274"/>
      <c r="BQ7" s="274"/>
      <c r="BR7" s="274"/>
      <c r="BS7" s="274"/>
      <c r="BT7" s="274"/>
      <c r="BU7" s="274"/>
      <c r="BV7" s="274"/>
      <c r="BW7" s="274"/>
      <c r="BX7" s="271"/>
      <c r="BY7" s="276">
        <f t="shared" si="0"/>
        <v>0</v>
      </c>
      <c r="BZ7" s="631"/>
      <c r="CA7" s="265"/>
      <c r="CB7" s="276">
        <f t="shared" si="1"/>
        <v>0</v>
      </c>
      <c r="CC7" s="631"/>
    </row>
    <row r="8" spans="2:81">
      <c r="B8" s="627"/>
      <c r="C8" s="504" t="s">
        <v>254</v>
      </c>
      <c r="D8" s="505" t="s">
        <v>251</v>
      </c>
      <c r="E8" s="277"/>
      <c r="F8" s="277"/>
      <c r="G8" s="277"/>
      <c r="H8" s="277"/>
      <c r="I8" s="277"/>
      <c r="J8" s="277"/>
      <c r="K8" s="277"/>
      <c r="L8" s="277"/>
      <c r="M8" s="277"/>
      <c r="N8" s="277"/>
      <c r="O8" s="277"/>
      <c r="P8" s="277"/>
      <c r="Q8" s="277"/>
      <c r="R8" s="277"/>
      <c r="S8" s="277"/>
      <c r="T8" s="277"/>
      <c r="U8" s="277"/>
      <c r="V8" s="277"/>
      <c r="W8" s="277"/>
      <c r="X8" s="277"/>
      <c r="Y8" s="277"/>
      <c r="Z8" s="277"/>
      <c r="AA8" s="277"/>
      <c r="AB8" s="277"/>
      <c r="AC8" s="277"/>
      <c r="AD8" s="277"/>
      <c r="AE8" s="277"/>
      <c r="AF8" s="277"/>
      <c r="AG8" s="277"/>
      <c r="AH8" s="277"/>
      <c r="AI8" s="277"/>
      <c r="AJ8" s="277"/>
      <c r="AK8" s="277"/>
      <c r="AL8" s="277"/>
      <c r="AM8" s="277"/>
      <c r="AN8" s="277"/>
      <c r="AO8" s="277"/>
      <c r="AP8" s="277"/>
      <c r="AQ8" s="277"/>
      <c r="AR8" s="277"/>
      <c r="AS8" s="277"/>
      <c r="AT8" s="277"/>
      <c r="AU8" s="277"/>
      <c r="AV8" s="277"/>
      <c r="AW8" s="277"/>
      <c r="AX8" s="277"/>
      <c r="AY8" s="277"/>
      <c r="AZ8" s="277"/>
      <c r="BA8" s="277"/>
      <c r="BB8" s="277"/>
      <c r="BC8" s="277"/>
      <c r="BD8" s="277"/>
      <c r="BE8" s="277"/>
      <c r="BF8" s="277"/>
      <c r="BG8" s="277"/>
      <c r="BH8" s="277"/>
      <c r="BI8" s="277"/>
      <c r="BJ8" s="277"/>
      <c r="BK8" s="277"/>
      <c r="BL8" s="277"/>
      <c r="BM8" s="277"/>
      <c r="BN8" s="277"/>
      <c r="BO8" s="277"/>
      <c r="BP8" s="277"/>
      <c r="BQ8" s="277"/>
      <c r="BR8" s="277"/>
      <c r="BS8" s="277"/>
      <c r="BT8" s="277"/>
      <c r="BU8" s="277"/>
      <c r="BV8" s="277"/>
      <c r="BW8" s="277"/>
      <c r="BX8" s="504"/>
      <c r="BY8" s="506">
        <f t="shared" si="0"/>
        <v>0</v>
      </c>
      <c r="BZ8" s="618"/>
      <c r="CA8" s="265"/>
      <c r="CB8" s="506">
        <f t="shared" si="1"/>
        <v>0</v>
      </c>
      <c r="CC8" s="618"/>
    </row>
    <row r="9" spans="2:81">
      <c r="B9" s="628" t="s">
        <v>255</v>
      </c>
      <c r="C9" s="275" t="s">
        <v>256</v>
      </c>
      <c r="D9" s="272" t="s">
        <v>251</v>
      </c>
      <c r="E9" s="273"/>
      <c r="F9" s="273"/>
      <c r="G9" s="273"/>
      <c r="H9" s="273"/>
      <c r="I9" s="273"/>
      <c r="J9" s="273"/>
      <c r="K9" s="273"/>
      <c r="L9" s="273"/>
      <c r="M9" s="273"/>
      <c r="N9" s="273"/>
      <c r="O9" s="273"/>
      <c r="P9" s="273"/>
      <c r="Q9" s="273"/>
      <c r="R9" s="273"/>
      <c r="S9" s="273"/>
      <c r="T9" s="273"/>
      <c r="U9" s="273"/>
      <c r="V9" s="273"/>
      <c r="W9" s="273"/>
      <c r="X9" s="273"/>
      <c r="Y9" s="273"/>
      <c r="Z9" s="273"/>
      <c r="AA9" s="273"/>
      <c r="AB9" s="273"/>
      <c r="AC9" s="273"/>
      <c r="AD9" s="273"/>
      <c r="AE9" s="273"/>
      <c r="AF9" s="273"/>
      <c r="AG9" s="273"/>
      <c r="AH9" s="273"/>
      <c r="AI9" s="273"/>
      <c r="AJ9" s="273"/>
      <c r="AK9" s="273"/>
      <c r="AL9" s="273"/>
      <c r="AM9" s="273"/>
      <c r="AN9" s="273"/>
      <c r="AO9" s="273"/>
      <c r="AP9" s="273"/>
      <c r="AQ9" s="273"/>
      <c r="AR9" s="273"/>
      <c r="AS9" s="273"/>
      <c r="AT9" s="273"/>
      <c r="AU9" s="273"/>
      <c r="AV9" s="273"/>
      <c r="AW9" s="273"/>
      <c r="AX9" s="273"/>
      <c r="AY9" s="273"/>
      <c r="AZ9" s="273"/>
      <c r="BA9" s="273"/>
      <c r="BB9" s="273"/>
      <c r="BC9" s="273"/>
      <c r="BD9" s="273"/>
      <c r="BE9" s="273"/>
      <c r="BF9" s="273"/>
      <c r="BG9" s="273"/>
      <c r="BH9" s="273"/>
      <c r="BI9" s="273"/>
      <c r="BJ9" s="273"/>
      <c r="BK9" s="273"/>
      <c r="BL9" s="273"/>
      <c r="BM9" s="273"/>
      <c r="BN9" s="273"/>
      <c r="BO9" s="273"/>
      <c r="BP9" s="273"/>
      <c r="BQ9" s="273"/>
      <c r="BR9" s="273"/>
      <c r="BS9" s="273"/>
      <c r="BT9" s="273"/>
      <c r="BU9" s="273"/>
      <c r="BV9" s="273"/>
      <c r="BW9" s="273"/>
      <c r="BX9" s="275"/>
      <c r="BY9" s="276">
        <f t="shared" si="0"/>
        <v>0</v>
      </c>
      <c r="BZ9" s="630">
        <f>SUM(BY9:BY11)</f>
        <v>92604325</v>
      </c>
      <c r="CA9" s="265"/>
      <c r="CB9" s="276">
        <f t="shared" si="1"/>
        <v>92604325</v>
      </c>
      <c r="CC9" s="630">
        <f>SUM(CB9:CB11)</f>
        <v>277812975.64937949</v>
      </c>
    </row>
    <row r="10" spans="2:81">
      <c r="B10" s="629"/>
      <c r="C10" s="275" t="s">
        <v>257</v>
      </c>
      <c r="D10" s="272" t="s">
        <v>251</v>
      </c>
      <c r="E10" s="274"/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4"/>
      <c r="U10" s="274">
        <f t="shared" ref="U10:AH10" si="2">-U61</f>
        <v>0</v>
      </c>
      <c r="V10" s="274">
        <f t="shared" si="2"/>
        <v>0</v>
      </c>
      <c r="W10" s="274">
        <f t="shared" si="2"/>
        <v>0</v>
      </c>
      <c r="X10" s="274">
        <f t="shared" si="2"/>
        <v>0</v>
      </c>
      <c r="Y10" s="274">
        <f t="shared" si="2"/>
        <v>0</v>
      </c>
      <c r="Z10" s="274">
        <f t="shared" si="2"/>
        <v>16250</v>
      </c>
      <c r="AA10" s="274">
        <f t="shared" si="2"/>
        <v>51025</v>
      </c>
      <c r="AB10" s="274">
        <f t="shared" si="2"/>
        <v>85800</v>
      </c>
      <c r="AC10" s="274">
        <f t="shared" si="2"/>
        <v>120575</v>
      </c>
      <c r="AD10" s="274">
        <f t="shared" si="2"/>
        <v>155350</v>
      </c>
      <c r="AE10" s="274">
        <f t="shared" si="2"/>
        <v>190125</v>
      </c>
      <c r="AF10" s="274">
        <f t="shared" si="2"/>
        <v>224900</v>
      </c>
      <c r="AG10" s="274">
        <f t="shared" si="2"/>
        <v>263900</v>
      </c>
      <c r="AH10" s="274">
        <f t="shared" si="2"/>
        <v>296400</v>
      </c>
      <c r="AI10" s="274"/>
      <c r="AJ10" s="274"/>
      <c r="AK10" s="274"/>
      <c r="AL10" s="274"/>
      <c r="AM10" s="274"/>
      <c r="AN10" s="274"/>
      <c r="AO10" s="274"/>
      <c r="AP10" s="274"/>
      <c r="AQ10" s="274"/>
      <c r="AR10" s="274"/>
      <c r="AS10" s="274"/>
      <c r="AT10" s="274"/>
      <c r="AU10" s="274"/>
      <c r="AV10" s="274"/>
      <c r="AW10" s="274"/>
      <c r="AX10" s="274"/>
      <c r="AY10" s="274"/>
      <c r="AZ10" s="274"/>
      <c r="BA10" s="274"/>
      <c r="BB10" s="274"/>
      <c r="BC10" s="274"/>
      <c r="BD10" s="274"/>
      <c r="BE10" s="274"/>
      <c r="BF10" s="274"/>
      <c r="BG10" s="274"/>
      <c r="BH10" s="274"/>
      <c r="BI10" s="274"/>
      <c r="BJ10" s="274"/>
      <c r="BK10" s="274"/>
      <c r="BL10" s="274"/>
      <c r="BM10" s="274"/>
      <c r="BN10" s="274"/>
      <c r="BO10" s="274"/>
      <c r="BP10" s="274"/>
      <c r="BQ10" s="274"/>
      <c r="BR10" s="274"/>
      <c r="BS10" s="274"/>
      <c r="BT10" s="274"/>
      <c r="BU10" s="274"/>
      <c r="BV10" s="274"/>
      <c r="BW10" s="274"/>
      <c r="BX10" s="271"/>
      <c r="BY10" s="276">
        <f t="shared" si="0"/>
        <v>1404325</v>
      </c>
      <c r="BZ10" s="631"/>
      <c r="CA10" s="265"/>
      <c r="CB10" s="276">
        <f t="shared" si="1"/>
        <v>2808650</v>
      </c>
      <c r="CC10" s="631"/>
    </row>
    <row r="11" spans="2:81">
      <c r="B11" s="624"/>
      <c r="C11" s="504" t="s">
        <v>258</v>
      </c>
      <c r="D11" s="505" t="s">
        <v>251</v>
      </c>
      <c r="E11" s="277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P11" s="277"/>
      <c r="Q11" s="277"/>
      <c r="R11" s="277"/>
      <c r="S11" s="277"/>
      <c r="T11" s="277"/>
      <c r="U11" s="277"/>
      <c r="V11" s="277"/>
      <c r="W11" s="277"/>
      <c r="X11" s="277"/>
      <c r="Y11" s="278"/>
      <c r="Z11" s="278">
        <v>5000000</v>
      </c>
      <c r="AA11" s="278">
        <v>10700000</v>
      </c>
      <c r="AB11" s="278">
        <v>10700000</v>
      </c>
      <c r="AC11" s="278">
        <v>10700000</v>
      </c>
      <c r="AD11" s="278">
        <v>10700000</v>
      </c>
      <c r="AE11" s="278">
        <v>10700000</v>
      </c>
      <c r="AF11" s="278">
        <v>10700000</v>
      </c>
      <c r="AG11" s="278">
        <v>12000000</v>
      </c>
      <c r="AH11" s="278">
        <v>10000000</v>
      </c>
      <c r="AI11" s="278"/>
      <c r="AJ11" s="277"/>
      <c r="AK11" s="277"/>
      <c r="AL11" s="277"/>
      <c r="AM11" s="277"/>
      <c r="AN11" s="277"/>
      <c r="AO11" s="279"/>
      <c r="AP11" s="277"/>
      <c r="AQ11" s="277"/>
      <c r="AR11" s="277"/>
      <c r="AS11" s="277"/>
      <c r="AT11" s="277"/>
      <c r="AU11" s="277"/>
      <c r="AV11" s="277"/>
      <c r="AW11" s="277"/>
      <c r="AX11" s="277"/>
      <c r="AY11" s="277"/>
      <c r="AZ11" s="277"/>
      <c r="BA11" s="277"/>
      <c r="BB11" s="277"/>
      <c r="BC11" s="277"/>
      <c r="BD11" s="277"/>
      <c r="BE11" s="277"/>
      <c r="BF11" s="277"/>
      <c r="BG11" s="277"/>
      <c r="BH11" s="277"/>
      <c r="BI11" s="277"/>
      <c r="BJ11" s="277"/>
      <c r="BK11" s="277"/>
      <c r="BL11" s="277"/>
      <c r="BM11" s="277"/>
      <c r="BN11" s="277"/>
      <c r="BO11" s="277"/>
      <c r="BP11" s="277"/>
      <c r="BQ11" s="277"/>
      <c r="BR11" s="277"/>
      <c r="BS11" s="277"/>
      <c r="BT11" s="277"/>
      <c r="BU11" s="277"/>
      <c r="BV11" s="277"/>
      <c r="BW11" s="277"/>
      <c r="BX11" s="504"/>
      <c r="BY11" s="506">
        <f t="shared" si="0"/>
        <v>91200000</v>
      </c>
      <c r="BZ11" s="632"/>
      <c r="CA11" s="280">
        <f>BZ9/(BZ9+BZ5)</f>
        <v>0.6493794981323322</v>
      </c>
      <c r="CB11" s="506">
        <f t="shared" si="1"/>
        <v>182400000.64937949</v>
      </c>
      <c r="CC11" s="632"/>
    </row>
    <row r="12" spans="2:81">
      <c r="B12" s="628" t="s">
        <v>259</v>
      </c>
      <c r="C12" s="271" t="s">
        <v>260</v>
      </c>
      <c r="D12" s="272" t="s">
        <v>251</v>
      </c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  <c r="U12" s="273"/>
      <c r="V12" s="273"/>
      <c r="W12" s="273"/>
      <c r="X12" s="273"/>
      <c r="Y12" s="273"/>
      <c r="Z12" s="273"/>
      <c r="AA12" s="273"/>
      <c r="AB12" s="273"/>
      <c r="AC12" s="273"/>
      <c r="AD12" s="273"/>
      <c r="AE12" s="273"/>
      <c r="AF12" s="273"/>
      <c r="AG12" s="273"/>
      <c r="AH12" s="273">
        <f>Rentroll!$K$13</f>
        <v>1115107.9741666666</v>
      </c>
      <c r="AI12" s="273">
        <f>Rentroll!$K$13</f>
        <v>1115107.9741666666</v>
      </c>
      <c r="AJ12" s="273"/>
      <c r="AK12" s="273"/>
      <c r="AL12" s="273"/>
      <c r="AM12" s="273"/>
      <c r="AN12" s="273"/>
      <c r="AO12" s="273"/>
      <c r="AP12" s="273"/>
      <c r="AQ12" s="273"/>
      <c r="AR12" s="273"/>
      <c r="AS12" s="273"/>
      <c r="AT12" s="273"/>
      <c r="AU12" s="273"/>
      <c r="AV12" s="273"/>
      <c r="AW12" s="273"/>
      <c r="AX12" s="273"/>
      <c r="AY12" s="273"/>
      <c r="AZ12" s="273"/>
      <c r="BA12" s="273"/>
      <c r="BB12" s="273"/>
      <c r="BC12" s="273"/>
      <c r="BD12" s="273"/>
      <c r="BE12" s="273"/>
      <c r="BF12" s="273"/>
      <c r="BG12" s="273"/>
      <c r="BH12" s="273"/>
      <c r="BI12" s="273"/>
      <c r="BJ12" s="273"/>
      <c r="BK12" s="273"/>
      <c r="BL12" s="273"/>
      <c r="BM12" s="273"/>
      <c r="BN12" s="273"/>
      <c r="BO12" s="273"/>
      <c r="BP12" s="273"/>
      <c r="BQ12" s="273"/>
      <c r="BR12" s="273"/>
      <c r="BS12" s="273"/>
      <c r="BT12" s="273"/>
      <c r="BU12" s="273"/>
      <c r="BV12" s="273"/>
      <c r="BW12" s="273"/>
      <c r="BX12" s="275"/>
      <c r="BY12" s="276">
        <f t="shared" si="0"/>
        <v>2230215.9483333332</v>
      </c>
      <c r="BZ12" s="630">
        <f>SUM(BY12:BY16)</f>
        <v>197901484.94833329</v>
      </c>
      <c r="CA12" s="544"/>
      <c r="CB12" s="276">
        <f t="shared" si="1"/>
        <v>202361916.84499997</v>
      </c>
      <c r="CC12" s="630">
        <f>SUM(CB12:CB16)</f>
        <v>609758896.99665534</v>
      </c>
    </row>
    <row r="13" spans="2:81">
      <c r="B13" s="629"/>
      <c r="C13" s="271" t="s">
        <v>261</v>
      </c>
      <c r="D13" s="272" t="s">
        <v>251</v>
      </c>
      <c r="E13" s="273"/>
      <c r="F13" s="273"/>
      <c r="G13" s="273"/>
      <c r="H13" s="273"/>
      <c r="I13" s="273"/>
      <c r="J13" s="273"/>
      <c r="K13" s="273"/>
      <c r="L13" s="273"/>
      <c r="M13" s="273"/>
      <c r="N13" s="273"/>
      <c r="O13" s="273"/>
      <c r="P13" s="273"/>
      <c r="Q13" s="273"/>
      <c r="R13" s="273"/>
      <c r="S13" s="273"/>
      <c r="T13" s="273"/>
      <c r="U13" s="273"/>
      <c r="V13" s="273"/>
      <c r="W13" s="273"/>
      <c r="X13" s="273"/>
      <c r="Y13" s="273"/>
      <c r="Z13" s="273"/>
      <c r="AA13" s="273"/>
      <c r="AB13" s="273"/>
      <c r="AC13" s="273"/>
      <c r="AD13" s="273"/>
      <c r="AE13" s="273"/>
      <c r="AF13" s="273"/>
      <c r="AG13" s="273"/>
      <c r="AH13" s="273"/>
      <c r="AI13" s="273">
        <f>Businessplan_prodej!$J$32</f>
        <v>195671268.99999997</v>
      </c>
      <c r="AJ13" s="273"/>
      <c r="AK13" s="273"/>
      <c r="AL13" s="273"/>
      <c r="AM13" s="273"/>
      <c r="AN13" s="273"/>
      <c r="AO13" s="273"/>
      <c r="AP13" s="273"/>
      <c r="AQ13" s="273"/>
      <c r="AR13" s="273"/>
      <c r="AS13" s="273"/>
      <c r="AT13" s="273"/>
      <c r="AU13" s="273"/>
      <c r="AV13" s="273"/>
      <c r="AW13" s="273"/>
      <c r="AX13" s="273"/>
      <c r="AY13" s="273"/>
      <c r="AZ13" s="273"/>
      <c r="BA13" s="273"/>
      <c r="BB13" s="273"/>
      <c r="BC13" s="273"/>
      <c r="BD13" s="273"/>
      <c r="BE13" s="273"/>
      <c r="BF13" s="273"/>
      <c r="BG13" s="273"/>
      <c r="BH13" s="273"/>
      <c r="BI13" s="273"/>
      <c r="BJ13" s="273"/>
      <c r="BK13" s="273"/>
      <c r="BL13" s="273"/>
      <c r="BM13" s="273"/>
      <c r="BN13" s="273"/>
      <c r="BO13" s="273"/>
      <c r="BP13" s="273"/>
      <c r="BQ13" s="273"/>
      <c r="BR13" s="273"/>
      <c r="BS13" s="273"/>
      <c r="BT13" s="273"/>
      <c r="BU13" s="273"/>
      <c r="BV13" s="273"/>
      <c r="BW13" s="273"/>
      <c r="BX13" s="275"/>
      <c r="BY13" s="276">
        <f t="shared" si="0"/>
        <v>195671268.99999997</v>
      </c>
      <c r="BZ13" s="631"/>
      <c r="CA13" s="265"/>
      <c r="CB13" s="276">
        <f t="shared" si="1"/>
        <v>391342537.99999994</v>
      </c>
      <c r="CC13" s="631"/>
    </row>
    <row r="14" spans="2:81">
      <c r="B14" s="629"/>
      <c r="C14" s="271" t="s">
        <v>10</v>
      </c>
      <c r="D14" s="272" t="s">
        <v>251</v>
      </c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4"/>
      <c r="P14" s="274"/>
      <c r="Q14" s="274"/>
      <c r="R14" s="274"/>
      <c r="S14" s="274"/>
      <c r="T14" s="274"/>
      <c r="U14" s="274"/>
      <c r="V14" s="274">
        <f>-U15</f>
        <v>4026302.2314049602</v>
      </c>
      <c r="W14" s="274"/>
      <c r="X14" s="274">
        <f t="shared" ref="X14:AH14" si="3">-V15</f>
        <v>1327521.5585950408</v>
      </c>
      <c r="Y14" s="274">
        <f t="shared" si="3"/>
        <v>721416.56999999983</v>
      </c>
      <c r="Z14" s="274">
        <f t="shared" si="3"/>
        <v>38026.799999999988</v>
      </c>
      <c r="AA14" s="274">
        <f t="shared" si="3"/>
        <v>181827.40854115388</v>
      </c>
      <c r="AB14" s="274">
        <f t="shared" si="3"/>
        <v>452399.32947865361</v>
      </c>
      <c r="AC14" s="274">
        <f t="shared" si="3"/>
        <v>177996.79455115378</v>
      </c>
      <c r="AD14" s="274">
        <f t="shared" si="3"/>
        <v>155577.40854115377</v>
      </c>
      <c r="AE14" s="274">
        <f t="shared" si="3"/>
        <v>110952.40854115377</v>
      </c>
      <c r="AF14" s="274">
        <f t="shared" si="3"/>
        <v>110952.40854115377</v>
      </c>
      <c r="AG14" s="274">
        <f t="shared" si="3"/>
        <v>110952.40854115377</v>
      </c>
      <c r="AH14" s="274">
        <f t="shared" si="3"/>
        <v>110952.40854115377</v>
      </c>
      <c r="AI14" s="274">
        <f>-AG15-AH15-AI15</f>
        <v>502343.34055096144</v>
      </c>
      <c r="AJ14" s="274"/>
      <c r="AK14" s="274"/>
      <c r="AL14" s="274"/>
      <c r="AM14" s="274"/>
      <c r="AN14" s="274"/>
      <c r="AO14" s="274"/>
      <c r="AP14" s="274"/>
      <c r="AQ14" s="274"/>
      <c r="AR14" s="274"/>
      <c r="AS14" s="274"/>
      <c r="AT14" s="274"/>
      <c r="AU14" s="274"/>
      <c r="AV14" s="274"/>
      <c r="AW14" s="274"/>
      <c r="AX14" s="274"/>
      <c r="AY14" s="274"/>
      <c r="AZ14" s="274"/>
      <c r="BA14" s="274"/>
      <c r="BB14" s="274"/>
      <c r="BC14" s="274"/>
      <c r="BD14" s="274"/>
      <c r="BE14" s="274"/>
      <c r="BF14" s="274"/>
      <c r="BG14" s="274"/>
      <c r="BH14" s="274"/>
      <c r="BI14" s="274"/>
      <c r="BJ14" s="274"/>
      <c r="BK14" s="274"/>
      <c r="BL14" s="274"/>
      <c r="BM14" s="274"/>
      <c r="BN14" s="274"/>
      <c r="BO14" s="274"/>
      <c r="BP14" s="274"/>
      <c r="BQ14" s="274"/>
      <c r="BR14" s="274"/>
      <c r="BS14" s="274"/>
      <c r="BT14" s="274"/>
      <c r="BU14" s="274"/>
      <c r="BV14" s="274"/>
      <c r="BW14" s="274"/>
      <c r="BX14" s="271"/>
      <c r="BY14" s="276">
        <f t="shared" si="0"/>
        <v>8027221.0758276954</v>
      </c>
      <c r="BZ14" s="631"/>
      <c r="CA14" s="265"/>
      <c r="CB14" s="276">
        <f t="shared" si="1"/>
        <v>16054442.151655391</v>
      </c>
      <c r="CC14" s="631"/>
    </row>
    <row r="15" spans="2:81">
      <c r="B15" s="629"/>
      <c r="C15" s="271" t="s">
        <v>10</v>
      </c>
      <c r="D15" s="272" t="s">
        <v>262</v>
      </c>
      <c r="E15" s="274"/>
      <c r="F15" s="274"/>
      <c r="G15" s="274"/>
      <c r="H15" s="274"/>
      <c r="I15" s="274"/>
      <c r="J15" s="274"/>
      <c r="K15" s="274"/>
      <c r="L15" s="274"/>
      <c r="M15" s="274"/>
      <c r="N15" s="274"/>
      <c r="O15" s="274"/>
      <c r="P15" s="274"/>
      <c r="Q15" s="274"/>
      <c r="R15" s="274"/>
      <c r="S15" s="274">
        <f>SUM(S18,S33,S39)*1.21-SUM(S18,S33,S39)</f>
        <v>0</v>
      </c>
      <c r="T15" s="274">
        <f>SUM(T33,T39)*1.21-SUM(T33,T39)</f>
        <v>0</v>
      </c>
      <c r="U15" s="274">
        <f>U19*1.21-U19</f>
        <v>-4026302.2314049602</v>
      </c>
      <c r="V15" s="274">
        <f t="shared" ref="V15:AI15" si="4">SUM(V18,V25,V33,V39)*1.21-SUM(V18,V25,V33,V39)</f>
        <v>-1327521.5585950408</v>
      </c>
      <c r="W15" s="274">
        <f>SUM(W18,W25,W33,W39)*1.21-SUM(W18,W25,W33,W39)</f>
        <v>-721416.56999999983</v>
      </c>
      <c r="X15" s="274">
        <f>SUM(X18,X25,X33,X39)*1.21-SUM(X18,X25,X33,X39)</f>
        <v>-38026.799999999988</v>
      </c>
      <c r="Y15" s="274">
        <f t="shared" si="4"/>
        <v>-181827.40854115388</v>
      </c>
      <c r="Z15" s="274">
        <f t="shared" si="4"/>
        <v>-452399.32947865361</v>
      </c>
      <c r="AA15" s="274">
        <f t="shared" si="4"/>
        <v>-177996.79455115378</v>
      </c>
      <c r="AB15" s="274">
        <f t="shared" si="4"/>
        <v>-155577.40854115377</v>
      </c>
      <c r="AC15" s="274">
        <f t="shared" si="4"/>
        <v>-110952.40854115377</v>
      </c>
      <c r="AD15" s="274">
        <f t="shared" si="4"/>
        <v>-110952.40854115377</v>
      </c>
      <c r="AE15" s="274">
        <f t="shared" si="4"/>
        <v>-110952.40854115377</v>
      </c>
      <c r="AF15" s="274">
        <f t="shared" si="4"/>
        <v>-110952.40854115377</v>
      </c>
      <c r="AG15" s="274">
        <f t="shared" si="4"/>
        <v>-351725.8644536538</v>
      </c>
      <c r="AH15" s="274">
        <f t="shared" si="4"/>
        <v>-133371.79455115378</v>
      </c>
      <c r="AI15" s="274">
        <f t="shared" si="4"/>
        <v>-17245.68154615385</v>
      </c>
      <c r="AJ15" s="274"/>
      <c r="AK15" s="274"/>
      <c r="AL15" s="274"/>
      <c r="AM15" s="274"/>
      <c r="AN15" s="274"/>
      <c r="AO15" s="274"/>
      <c r="AP15" s="274"/>
      <c r="AQ15" s="274"/>
      <c r="AR15" s="274"/>
      <c r="AS15" s="274"/>
      <c r="AT15" s="274"/>
      <c r="AU15" s="274"/>
      <c r="AV15" s="274"/>
      <c r="AW15" s="274"/>
      <c r="AX15" s="274"/>
      <c r="AY15" s="274"/>
      <c r="AZ15" s="274"/>
      <c r="BA15" s="274"/>
      <c r="BB15" s="274"/>
      <c r="BC15" s="274"/>
      <c r="BD15" s="274"/>
      <c r="BE15" s="274"/>
      <c r="BF15" s="274"/>
      <c r="BG15" s="274"/>
      <c r="BH15" s="274"/>
      <c r="BI15" s="274"/>
      <c r="BJ15" s="274"/>
      <c r="BK15" s="274"/>
      <c r="BL15" s="274"/>
      <c r="BM15" s="274"/>
      <c r="BN15" s="274"/>
      <c r="BO15" s="274"/>
      <c r="BP15" s="274"/>
      <c r="BQ15" s="274"/>
      <c r="BR15" s="274"/>
      <c r="BS15" s="274"/>
      <c r="BT15" s="274"/>
      <c r="BU15" s="274"/>
      <c r="BV15" s="274"/>
      <c r="BW15" s="274"/>
      <c r="BX15" s="271"/>
      <c r="BY15" s="276">
        <f t="shared" si="0"/>
        <v>-8027221.0758276945</v>
      </c>
      <c r="BZ15" s="631"/>
      <c r="CA15" s="265"/>
      <c r="CB15" s="282"/>
      <c r="CC15" s="631"/>
    </row>
    <row r="16" spans="2:81">
      <c r="B16" s="624"/>
      <c r="C16" s="504" t="s">
        <v>263</v>
      </c>
      <c r="D16" s="505" t="s">
        <v>264</v>
      </c>
      <c r="E16" s="277"/>
      <c r="F16" s="277"/>
      <c r="G16" s="277"/>
      <c r="H16" s="277"/>
      <c r="I16" s="277"/>
      <c r="J16" s="277"/>
      <c r="K16" s="277"/>
      <c r="L16" s="277"/>
      <c r="M16" s="277"/>
      <c r="N16" s="277"/>
      <c r="O16" s="277"/>
      <c r="P16" s="277"/>
      <c r="Q16" s="277"/>
      <c r="R16" s="277"/>
      <c r="S16" s="277"/>
      <c r="T16" s="277"/>
      <c r="U16" s="277"/>
      <c r="V16" s="277"/>
      <c r="W16" s="277"/>
      <c r="X16" s="277"/>
      <c r="Y16" s="277"/>
      <c r="Z16" s="277"/>
      <c r="AA16" s="277"/>
      <c r="AB16" s="277"/>
      <c r="AC16" s="277"/>
      <c r="AD16" s="277"/>
      <c r="AE16" s="277"/>
      <c r="AF16" s="277"/>
      <c r="AG16" s="277"/>
      <c r="AH16" s="277"/>
      <c r="AI16" s="277"/>
      <c r="AJ16" s="277"/>
      <c r="AK16" s="277"/>
      <c r="AL16" s="277"/>
      <c r="AM16" s="277"/>
      <c r="AN16" s="277"/>
      <c r="AO16" s="277"/>
      <c r="AP16" s="277"/>
      <c r="AQ16" s="277"/>
      <c r="AR16" s="277"/>
      <c r="AS16" s="277"/>
      <c r="AT16" s="277"/>
      <c r="AU16" s="277"/>
      <c r="AV16" s="277"/>
      <c r="AW16" s="277"/>
      <c r="AX16" s="277"/>
      <c r="AY16" s="277"/>
      <c r="AZ16" s="277"/>
      <c r="BA16" s="277"/>
      <c r="BB16" s="277"/>
      <c r="BC16" s="277"/>
      <c r="BD16" s="277"/>
      <c r="BE16" s="277"/>
      <c r="BF16" s="277"/>
      <c r="BG16" s="277"/>
      <c r="BH16" s="277"/>
      <c r="BI16" s="277"/>
      <c r="BJ16" s="277"/>
      <c r="BK16" s="277"/>
      <c r="BL16" s="277"/>
      <c r="BM16" s="277"/>
      <c r="BN16" s="277"/>
      <c r="BO16" s="277"/>
      <c r="BP16" s="277"/>
      <c r="BQ16" s="277"/>
      <c r="BR16" s="277"/>
      <c r="BS16" s="277"/>
      <c r="BT16" s="277"/>
      <c r="BU16" s="277"/>
      <c r="BV16" s="277"/>
      <c r="BW16" s="277"/>
      <c r="BX16" s="504"/>
      <c r="BY16" s="506">
        <f t="shared" si="0"/>
        <v>0</v>
      </c>
      <c r="BZ16" s="632"/>
      <c r="CA16" s="265"/>
      <c r="CB16" s="506">
        <f>SUM(H16:CA16)</f>
        <v>0</v>
      </c>
      <c r="CC16" s="632"/>
    </row>
    <row r="17" spans="2:81" ht="16">
      <c r="B17" s="633" t="s">
        <v>265</v>
      </c>
      <c r="C17" s="618"/>
      <c r="D17" s="283"/>
      <c r="E17" s="284">
        <f t="shared" ref="E17:BX17" si="5">SUM(E5:E16)</f>
        <v>0</v>
      </c>
      <c r="F17" s="284">
        <f t="shared" si="5"/>
        <v>0</v>
      </c>
      <c r="G17" s="284">
        <f t="shared" si="5"/>
        <v>0</v>
      </c>
      <c r="H17" s="284">
        <f t="shared" si="5"/>
        <v>0</v>
      </c>
      <c r="I17" s="284">
        <f t="shared" si="5"/>
        <v>0</v>
      </c>
      <c r="J17" s="284">
        <f t="shared" si="5"/>
        <v>0</v>
      </c>
      <c r="K17" s="284">
        <f t="shared" si="5"/>
        <v>0</v>
      </c>
      <c r="L17" s="284">
        <f t="shared" si="5"/>
        <v>0</v>
      </c>
      <c r="M17" s="284">
        <f t="shared" si="5"/>
        <v>0</v>
      </c>
      <c r="N17" s="284">
        <f t="shared" si="5"/>
        <v>0</v>
      </c>
      <c r="O17" s="284">
        <f t="shared" si="5"/>
        <v>0</v>
      </c>
      <c r="P17" s="284">
        <f t="shared" si="5"/>
        <v>0</v>
      </c>
      <c r="Q17" s="284">
        <f t="shared" si="5"/>
        <v>0</v>
      </c>
      <c r="R17" s="284">
        <f t="shared" si="5"/>
        <v>0</v>
      </c>
      <c r="S17" s="284">
        <f t="shared" si="5"/>
        <v>0</v>
      </c>
      <c r="T17" s="284">
        <f t="shared" si="5"/>
        <v>0</v>
      </c>
      <c r="U17" s="284">
        <f t="shared" si="5"/>
        <v>20973697.76859504</v>
      </c>
      <c r="V17" s="284">
        <f t="shared" si="5"/>
        <v>9198780.6728099193</v>
      </c>
      <c r="W17" s="284">
        <f t="shared" si="5"/>
        <v>278583.43000000017</v>
      </c>
      <c r="X17" s="284">
        <f t="shared" si="5"/>
        <v>3289494.758595041</v>
      </c>
      <c r="Y17" s="284">
        <f t="shared" si="5"/>
        <v>10039589.161458846</v>
      </c>
      <c r="Z17" s="284">
        <f t="shared" si="5"/>
        <v>10601877.470521348</v>
      </c>
      <c r="AA17" s="284">
        <f t="shared" si="5"/>
        <v>10754855.61399</v>
      </c>
      <c r="AB17" s="284">
        <f t="shared" si="5"/>
        <v>11082621.920937499</v>
      </c>
      <c r="AC17" s="284">
        <f t="shared" si="5"/>
        <v>10887619.38601</v>
      </c>
      <c r="AD17" s="284">
        <f t="shared" si="5"/>
        <v>10899975</v>
      </c>
      <c r="AE17" s="284">
        <f t="shared" si="5"/>
        <v>10890125</v>
      </c>
      <c r="AF17" s="284">
        <f t="shared" si="5"/>
        <v>10924900</v>
      </c>
      <c r="AG17" s="284">
        <f t="shared" si="5"/>
        <v>12023126.544087499</v>
      </c>
      <c r="AH17" s="284">
        <f t="shared" si="5"/>
        <v>11389088.588156667</v>
      </c>
      <c r="AI17" s="284">
        <f t="shared" si="5"/>
        <v>197271474.63317144</v>
      </c>
      <c r="AJ17" s="284">
        <f t="shared" si="5"/>
        <v>0</v>
      </c>
      <c r="AK17" s="284">
        <f t="shared" si="5"/>
        <v>0</v>
      </c>
      <c r="AL17" s="284">
        <f t="shared" si="5"/>
        <v>0</v>
      </c>
      <c r="AM17" s="284">
        <f t="shared" si="5"/>
        <v>0</v>
      </c>
      <c r="AN17" s="284">
        <f t="shared" si="5"/>
        <v>0</v>
      </c>
      <c r="AO17" s="284">
        <f t="shared" si="5"/>
        <v>0</v>
      </c>
      <c r="AP17" s="284">
        <f t="shared" si="5"/>
        <v>0</v>
      </c>
      <c r="AQ17" s="284">
        <f t="shared" si="5"/>
        <v>0</v>
      </c>
      <c r="AR17" s="284">
        <f t="shared" si="5"/>
        <v>0</v>
      </c>
      <c r="AS17" s="284">
        <f t="shared" si="5"/>
        <v>0</v>
      </c>
      <c r="AT17" s="284">
        <f t="shared" si="5"/>
        <v>0</v>
      </c>
      <c r="AU17" s="284">
        <f t="shared" si="5"/>
        <v>0</v>
      </c>
      <c r="AV17" s="284">
        <f t="shared" si="5"/>
        <v>0</v>
      </c>
      <c r="AW17" s="284">
        <f t="shared" si="5"/>
        <v>0</v>
      </c>
      <c r="AX17" s="284">
        <f t="shared" si="5"/>
        <v>0</v>
      </c>
      <c r="AY17" s="284">
        <f t="shared" si="5"/>
        <v>0</v>
      </c>
      <c r="AZ17" s="284">
        <f t="shared" si="5"/>
        <v>0</v>
      </c>
      <c r="BA17" s="284">
        <f t="shared" si="5"/>
        <v>0</v>
      </c>
      <c r="BB17" s="284">
        <f t="shared" si="5"/>
        <v>0</v>
      </c>
      <c r="BC17" s="284">
        <f t="shared" si="5"/>
        <v>0</v>
      </c>
      <c r="BD17" s="284">
        <f t="shared" si="5"/>
        <v>0</v>
      </c>
      <c r="BE17" s="284">
        <f t="shared" si="5"/>
        <v>0</v>
      </c>
      <c r="BF17" s="284">
        <f t="shared" si="5"/>
        <v>0</v>
      </c>
      <c r="BG17" s="284">
        <f t="shared" si="5"/>
        <v>0</v>
      </c>
      <c r="BH17" s="284">
        <f t="shared" si="5"/>
        <v>0</v>
      </c>
      <c r="BI17" s="284">
        <f t="shared" si="5"/>
        <v>0</v>
      </c>
      <c r="BJ17" s="284">
        <f t="shared" si="5"/>
        <v>0</v>
      </c>
      <c r="BK17" s="284">
        <f t="shared" si="5"/>
        <v>0</v>
      </c>
      <c r="BL17" s="284">
        <f t="shared" si="5"/>
        <v>0</v>
      </c>
      <c r="BM17" s="284">
        <f t="shared" si="5"/>
        <v>0</v>
      </c>
      <c r="BN17" s="284">
        <f t="shared" si="5"/>
        <v>0</v>
      </c>
      <c r="BO17" s="284">
        <f t="shared" si="5"/>
        <v>0</v>
      </c>
      <c r="BP17" s="284">
        <f t="shared" si="5"/>
        <v>0</v>
      </c>
      <c r="BQ17" s="284">
        <f t="shared" si="5"/>
        <v>0</v>
      </c>
      <c r="BR17" s="284">
        <f t="shared" si="5"/>
        <v>0</v>
      </c>
      <c r="BS17" s="284">
        <f t="shared" si="5"/>
        <v>0</v>
      </c>
      <c r="BT17" s="284">
        <f t="shared" si="5"/>
        <v>0</v>
      </c>
      <c r="BU17" s="284">
        <f t="shared" si="5"/>
        <v>0</v>
      </c>
      <c r="BV17" s="284">
        <f t="shared" si="5"/>
        <v>0</v>
      </c>
      <c r="BW17" s="284">
        <f t="shared" si="5"/>
        <v>0</v>
      </c>
      <c r="BX17" s="284">
        <f t="shared" si="5"/>
        <v>0</v>
      </c>
      <c r="BY17" s="634">
        <f>BZ5+BZ9+BZ12</f>
        <v>340505809.94833326</v>
      </c>
      <c r="BZ17" s="618"/>
      <c r="CA17" s="265"/>
      <c r="CB17" s="634">
        <f>CC5+CC9+CC12</f>
        <v>1087571872.6460347</v>
      </c>
      <c r="CC17" s="618"/>
    </row>
    <row r="18" spans="2:81" ht="16" collapsed="1">
      <c r="B18" s="635" t="s">
        <v>266</v>
      </c>
      <c r="C18" s="285" t="s">
        <v>267</v>
      </c>
      <c r="D18" s="286"/>
      <c r="E18" s="287">
        <f t="shared" ref="E18:BY18" si="6">SUM(E19:E24)</f>
        <v>0</v>
      </c>
      <c r="F18" s="287">
        <f t="shared" si="6"/>
        <v>0</v>
      </c>
      <c r="G18" s="287">
        <f t="shared" si="6"/>
        <v>0</v>
      </c>
      <c r="H18" s="287">
        <f t="shared" si="6"/>
        <v>0</v>
      </c>
      <c r="I18" s="287">
        <f t="shared" si="6"/>
        <v>0</v>
      </c>
      <c r="J18" s="287">
        <f t="shared" si="6"/>
        <v>0</v>
      </c>
      <c r="K18" s="287">
        <f t="shared" si="6"/>
        <v>0</v>
      </c>
      <c r="L18" s="287">
        <f t="shared" si="6"/>
        <v>0</v>
      </c>
      <c r="M18" s="287">
        <f t="shared" si="6"/>
        <v>0</v>
      </c>
      <c r="N18" s="287">
        <f t="shared" si="6"/>
        <v>0</v>
      </c>
      <c r="O18" s="287">
        <f t="shared" si="6"/>
        <v>0</v>
      </c>
      <c r="P18" s="287">
        <f t="shared" si="6"/>
        <v>0</v>
      </c>
      <c r="Q18" s="287">
        <f t="shared" si="6"/>
        <v>0</v>
      </c>
      <c r="R18" s="287">
        <f t="shared" si="6"/>
        <v>0</v>
      </c>
      <c r="S18" s="287">
        <f t="shared" si="6"/>
        <v>0</v>
      </c>
      <c r="T18" s="287">
        <f t="shared" si="6"/>
        <v>0</v>
      </c>
      <c r="U18" s="287">
        <f t="shared" si="6"/>
        <v>-19172867.768595044</v>
      </c>
      <c r="V18" s="287">
        <f t="shared" si="6"/>
        <v>-6321531.2314049564</v>
      </c>
      <c r="W18" s="287">
        <f t="shared" si="6"/>
        <v>-2836223</v>
      </c>
      <c r="X18" s="287">
        <f t="shared" si="6"/>
        <v>0</v>
      </c>
      <c r="Y18" s="287">
        <f t="shared" si="6"/>
        <v>0</v>
      </c>
      <c r="Z18" s="287">
        <f t="shared" si="6"/>
        <v>0</v>
      </c>
      <c r="AA18" s="287">
        <f t="shared" si="6"/>
        <v>0</v>
      </c>
      <c r="AB18" s="287">
        <f t="shared" si="6"/>
        <v>0</v>
      </c>
      <c r="AC18" s="287">
        <f t="shared" si="6"/>
        <v>0</v>
      </c>
      <c r="AD18" s="287">
        <f t="shared" si="6"/>
        <v>0</v>
      </c>
      <c r="AE18" s="287">
        <f t="shared" si="6"/>
        <v>0</v>
      </c>
      <c r="AF18" s="287">
        <f t="shared" si="6"/>
        <v>0</v>
      </c>
      <c r="AG18" s="287">
        <f t="shared" si="6"/>
        <v>0</v>
      </c>
      <c r="AH18" s="287">
        <f t="shared" si="6"/>
        <v>0</v>
      </c>
      <c r="AI18" s="287">
        <f t="shared" si="6"/>
        <v>0</v>
      </c>
      <c r="AJ18" s="287">
        <f t="shared" si="6"/>
        <v>0</v>
      </c>
      <c r="AK18" s="287">
        <f t="shared" si="6"/>
        <v>0</v>
      </c>
      <c r="AL18" s="287">
        <f t="shared" si="6"/>
        <v>0</v>
      </c>
      <c r="AM18" s="287">
        <f t="shared" si="6"/>
        <v>0</v>
      </c>
      <c r="AN18" s="287">
        <f t="shared" si="6"/>
        <v>0</v>
      </c>
      <c r="AO18" s="287">
        <f t="shared" si="6"/>
        <v>0</v>
      </c>
      <c r="AP18" s="287">
        <f t="shared" si="6"/>
        <v>0</v>
      </c>
      <c r="AQ18" s="287">
        <f t="shared" si="6"/>
        <v>0</v>
      </c>
      <c r="AR18" s="287">
        <f t="shared" si="6"/>
        <v>0</v>
      </c>
      <c r="AS18" s="287">
        <f t="shared" si="6"/>
        <v>0</v>
      </c>
      <c r="AT18" s="287">
        <f t="shared" si="6"/>
        <v>0</v>
      </c>
      <c r="AU18" s="287">
        <f t="shared" si="6"/>
        <v>0</v>
      </c>
      <c r="AV18" s="287">
        <f t="shared" si="6"/>
        <v>0</v>
      </c>
      <c r="AW18" s="287">
        <f t="shared" si="6"/>
        <v>0</v>
      </c>
      <c r="AX18" s="287">
        <f t="shared" si="6"/>
        <v>0</v>
      </c>
      <c r="AY18" s="287">
        <f t="shared" si="6"/>
        <v>0</v>
      </c>
      <c r="AZ18" s="287">
        <f t="shared" si="6"/>
        <v>0</v>
      </c>
      <c r="BA18" s="287">
        <f t="shared" si="6"/>
        <v>0</v>
      </c>
      <c r="BB18" s="287">
        <f t="shared" si="6"/>
        <v>0</v>
      </c>
      <c r="BC18" s="287">
        <f t="shared" si="6"/>
        <v>0</v>
      </c>
      <c r="BD18" s="287">
        <f t="shared" si="6"/>
        <v>0</v>
      </c>
      <c r="BE18" s="287">
        <f t="shared" si="6"/>
        <v>0</v>
      </c>
      <c r="BF18" s="287">
        <f t="shared" si="6"/>
        <v>0</v>
      </c>
      <c r="BG18" s="287">
        <f t="shared" si="6"/>
        <v>0</v>
      </c>
      <c r="BH18" s="287">
        <f t="shared" si="6"/>
        <v>0</v>
      </c>
      <c r="BI18" s="287">
        <f t="shared" si="6"/>
        <v>0</v>
      </c>
      <c r="BJ18" s="287">
        <f t="shared" si="6"/>
        <v>0</v>
      </c>
      <c r="BK18" s="287">
        <f t="shared" si="6"/>
        <v>0</v>
      </c>
      <c r="BL18" s="287">
        <f t="shared" si="6"/>
        <v>0</v>
      </c>
      <c r="BM18" s="287">
        <f t="shared" si="6"/>
        <v>0</v>
      </c>
      <c r="BN18" s="287">
        <f t="shared" si="6"/>
        <v>0</v>
      </c>
      <c r="BO18" s="287">
        <f t="shared" si="6"/>
        <v>0</v>
      </c>
      <c r="BP18" s="287">
        <f t="shared" si="6"/>
        <v>0</v>
      </c>
      <c r="BQ18" s="287">
        <f t="shared" si="6"/>
        <v>0</v>
      </c>
      <c r="BR18" s="287">
        <f t="shared" si="6"/>
        <v>0</v>
      </c>
      <c r="BS18" s="287">
        <f t="shared" si="6"/>
        <v>0</v>
      </c>
      <c r="BT18" s="287">
        <f t="shared" si="6"/>
        <v>0</v>
      </c>
      <c r="BU18" s="287">
        <f t="shared" si="6"/>
        <v>0</v>
      </c>
      <c r="BV18" s="287">
        <f t="shared" si="6"/>
        <v>0</v>
      </c>
      <c r="BW18" s="287">
        <f t="shared" si="6"/>
        <v>0</v>
      </c>
      <c r="BX18" s="287">
        <f t="shared" si="6"/>
        <v>0</v>
      </c>
      <c r="BY18" s="288">
        <f t="shared" si="6"/>
        <v>-28330622</v>
      </c>
      <c r="BZ18" s="636">
        <f>BY18+BY25+BY28+BY36+BY39+BY48+BY54+BY62+BY86</f>
        <v>-149653337.87529624</v>
      </c>
      <c r="CA18" s="265"/>
      <c r="CB18" s="289" t="e">
        <f t="array" ref="CB18">SUM(INDEX(E18:BX18, , 1):INDEX(E18:BX18, ,MATCH($CB$4, $E$3:$BX$3,0) ))</f>
        <v>#N/A</v>
      </c>
      <c r="CC18" s="636" t="e">
        <f>CB18+CB25+CB28+CB36+CB39+CB48+CB54+CB62+CB86</f>
        <v>#N/A</v>
      </c>
    </row>
    <row r="19" spans="2:81" ht="16" hidden="1" outlineLevel="1">
      <c r="B19" s="629"/>
      <c r="C19" s="290" t="s">
        <v>268</v>
      </c>
      <c r="D19" s="291" t="s">
        <v>262</v>
      </c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292"/>
      <c r="S19" s="292"/>
      <c r="T19" s="292"/>
      <c r="U19" s="292">
        <f>-23199170/1.21</f>
        <v>-19172867.768595044</v>
      </c>
      <c r="V19" s="292">
        <f>-21090000-3370000-$U$19</f>
        <v>-5287132.2314049564</v>
      </c>
      <c r="W19" s="292"/>
      <c r="X19" s="292"/>
      <c r="Y19" s="292"/>
      <c r="Z19" s="292"/>
      <c r="AA19" s="292"/>
      <c r="AB19" s="292"/>
      <c r="AC19" s="292"/>
      <c r="AD19" s="292"/>
      <c r="AE19" s="292"/>
      <c r="AF19" s="292"/>
      <c r="AG19" s="292"/>
      <c r="AH19" s="292"/>
      <c r="AI19" s="292"/>
      <c r="AJ19" s="292"/>
      <c r="AK19" s="292"/>
      <c r="AL19" s="292"/>
      <c r="AM19" s="292"/>
      <c r="AN19" s="292"/>
      <c r="AO19" s="292"/>
      <c r="AP19" s="292"/>
      <c r="AQ19" s="292"/>
      <c r="AR19" s="292"/>
      <c r="AS19" s="292"/>
      <c r="AT19" s="292"/>
      <c r="AU19" s="292"/>
      <c r="AV19" s="292"/>
      <c r="AW19" s="292"/>
      <c r="AX19" s="292"/>
      <c r="AY19" s="292"/>
      <c r="AZ19" s="292"/>
      <c r="BA19" s="292"/>
      <c r="BB19" s="292"/>
      <c r="BC19" s="292"/>
      <c r="BD19" s="292"/>
      <c r="BE19" s="292"/>
      <c r="BF19" s="292"/>
      <c r="BG19" s="292"/>
      <c r="BH19" s="292"/>
      <c r="BI19" s="292"/>
      <c r="BJ19" s="292"/>
      <c r="BK19" s="292"/>
      <c r="BL19" s="292"/>
      <c r="BM19" s="292"/>
      <c r="BN19" s="292"/>
      <c r="BO19" s="292"/>
      <c r="BP19" s="292"/>
      <c r="BQ19" s="292"/>
      <c r="BR19" s="292"/>
      <c r="BS19" s="292"/>
      <c r="BT19" s="292"/>
      <c r="BU19" s="292"/>
      <c r="BV19" s="292"/>
      <c r="BW19" s="292"/>
      <c r="BX19" s="292"/>
      <c r="BY19" s="293">
        <f t="shared" ref="BY19:BY23" si="7">SUM(E19:BX19)</f>
        <v>-24460000</v>
      </c>
      <c r="BZ19" s="631"/>
      <c r="CA19" s="265"/>
      <c r="CB19" s="289" t="e">
        <f>SUM(INDEX(AC19:BX19, , 1):INDEX(AC19:BX19, ,MATCH($CB$4, $E$3:$BX$3,0) ))</f>
        <v>#N/A</v>
      </c>
      <c r="CC19" s="631"/>
    </row>
    <row r="20" spans="2:81" ht="16" hidden="1" outlineLevel="1">
      <c r="B20" s="629"/>
      <c r="C20" s="290" t="s">
        <v>269</v>
      </c>
      <c r="D20" s="291" t="s">
        <v>262</v>
      </c>
      <c r="E20" s="292"/>
      <c r="F20" s="292"/>
      <c r="G20" s="292"/>
      <c r="H20" s="292"/>
      <c r="I20" s="292"/>
      <c r="J20" s="292"/>
      <c r="K20" s="292"/>
      <c r="L20" s="292"/>
      <c r="M20" s="292"/>
      <c r="N20" s="292"/>
      <c r="O20" s="292"/>
      <c r="P20" s="292"/>
      <c r="Q20" s="292"/>
      <c r="R20" s="292"/>
      <c r="S20" s="292"/>
      <c r="T20" s="292"/>
      <c r="U20" s="292"/>
      <c r="V20" s="292">
        <f>-Businessplan_prodej!$F$9</f>
        <v>-1034399</v>
      </c>
      <c r="W20" s="292"/>
      <c r="X20" s="292"/>
      <c r="Y20" s="292"/>
      <c r="Z20" s="292"/>
      <c r="AA20" s="292"/>
      <c r="AB20" s="292"/>
      <c r="AC20" s="292"/>
      <c r="AD20" s="292"/>
      <c r="AE20" s="292"/>
      <c r="AF20" s="292"/>
      <c r="AG20" s="292"/>
      <c r="AH20" s="292"/>
      <c r="AI20" s="292"/>
      <c r="AJ20" s="292"/>
      <c r="AK20" s="292"/>
      <c r="AL20" s="292"/>
      <c r="AM20" s="292"/>
      <c r="AN20" s="292"/>
      <c r="AO20" s="292"/>
      <c r="AP20" s="292"/>
      <c r="AQ20" s="292"/>
      <c r="AR20" s="292"/>
      <c r="AS20" s="292"/>
      <c r="AT20" s="292"/>
      <c r="AU20" s="292"/>
      <c r="AV20" s="292"/>
      <c r="AW20" s="292"/>
      <c r="AX20" s="292"/>
      <c r="AY20" s="292"/>
      <c r="AZ20" s="292"/>
      <c r="BA20" s="292"/>
      <c r="BB20" s="292"/>
      <c r="BC20" s="292"/>
      <c r="BD20" s="292"/>
      <c r="BE20" s="292"/>
      <c r="BF20" s="292"/>
      <c r="BG20" s="292"/>
      <c r="BH20" s="292"/>
      <c r="BI20" s="292"/>
      <c r="BJ20" s="292"/>
      <c r="BK20" s="292"/>
      <c r="BL20" s="292"/>
      <c r="BM20" s="292"/>
      <c r="BN20" s="292"/>
      <c r="BO20" s="292"/>
      <c r="BP20" s="292"/>
      <c r="BQ20" s="292"/>
      <c r="BR20" s="292"/>
      <c r="BS20" s="292"/>
      <c r="BT20" s="292"/>
      <c r="BU20" s="292"/>
      <c r="BV20" s="292"/>
      <c r="BW20" s="292"/>
      <c r="BX20" s="292"/>
      <c r="BY20" s="293">
        <f t="shared" si="7"/>
        <v>-1034399</v>
      </c>
      <c r="BZ20" s="631"/>
      <c r="CA20" s="265"/>
      <c r="CB20" s="289" t="e">
        <f>SUM(INDEX(AC20:BX20, , 1):INDEX(AC20:BX20, ,MATCH($CB$4, $E$3:$BX$3,0) ))</f>
        <v>#N/A</v>
      </c>
      <c r="CC20" s="631"/>
    </row>
    <row r="21" spans="2:81" ht="16" hidden="1" outlineLevel="1">
      <c r="B21" s="629"/>
      <c r="C21" s="290" t="s">
        <v>270</v>
      </c>
      <c r="D21" s="291" t="s">
        <v>262</v>
      </c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>
        <f>-Businessplan_prodej!$F$10</f>
        <v>-250000</v>
      </c>
      <c r="X21" s="292"/>
      <c r="Y21" s="292"/>
      <c r="Z21" s="292"/>
      <c r="AA21" s="292"/>
      <c r="AB21" s="292"/>
      <c r="AC21" s="292"/>
      <c r="AD21" s="292"/>
      <c r="AE21" s="292"/>
      <c r="AF21" s="292"/>
      <c r="AG21" s="292"/>
      <c r="AH21" s="292"/>
      <c r="AI21" s="292"/>
      <c r="AJ21" s="292"/>
      <c r="AK21" s="292"/>
      <c r="AL21" s="292"/>
      <c r="AM21" s="292"/>
      <c r="AN21" s="292"/>
      <c r="AO21" s="292"/>
      <c r="AP21" s="292"/>
      <c r="AQ21" s="292"/>
      <c r="AR21" s="292"/>
      <c r="AS21" s="292"/>
      <c r="AT21" s="292"/>
      <c r="AU21" s="292"/>
      <c r="AV21" s="292"/>
      <c r="AW21" s="292"/>
      <c r="AX21" s="292"/>
      <c r="AY21" s="292"/>
      <c r="AZ21" s="292"/>
      <c r="BA21" s="292"/>
      <c r="BB21" s="292"/>
      <c r="BC21" s="292"/>
      <c r="BD21" s="292"/>
      <c r="BE21" s="292"/>
      <c r="BF21" s="292"/>
      <c r="BG21" s="292"/>
      <c r="BH21" s="292"/>
      <c r="BI21" s="292"/>
      <c r="BJ21" s="292"/>
      <c r="BK21" s="292"/>
      <c r="BL21" s="292"/>
      <c r="BM21" s="292"/>
      <c r="BN21" s="292"/>
      <c r="BO21" s="292"/>
      <c r="BP21" s="292"/>
      <c r="BQ21" s="292"/>
      <c r="BR21" s="292"/>
      <c r="BS21" s="292"/>
      <c r="BT21" s="292"/>
      <c r="BU21" s="292"/>
      <c r="BV21" s="292"/>
      <c r="BW21" s="292"/>
      <c r="BX21" s="292"/>
      <c r="BY21" s="293">
        <f t="shared" si="7"/>
        <v>-250000</v>
      </c>
      <c r="BZ21" s="631"/>
      <c r="CA21" s="265"/>
      <c r="CB21" s="289" t="e">
        <f>SUM(INDEX(AC21:BX21, , 1):INDEX(AC21:BX21, ,MATCH($CB$4, $E$3:$BX$3,0) ))</f>
        <v>#N/A</v>
      </c>
      <c r="CC21" s="631"/>
    </row>
    <row r="22" spans="2:81" ht="16" hidden="1" outlineLevel="1">
      <c r="B22" s="629"/>
      <c r="C22" s="290" t="s">
        <v>271</v>
      </c>
      <c r="D22" s="291" t="s">
        <v>262</v>
      </c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292"/>
      <c r="W22" s="292">
        <f>-Businessplan_prodej!$F$11</f>
        <v>-1500000</v>
      </c>
      <c r="X22" s="292"/>
      <c r="Y22" s="292"/>
      <c r="Z22" s="292"/>
      <c r="AA22" s="292"/>
      <c r="AB22" s="292"/>
      <c r="AC22" s="292"/>
      <c r="AD22" s="292"/>
      <c r="AE22" s="292"/>
      <c r="AF22" s="292"/>
      <c r="AG22" s="292"/>
      <c r="AH22" s="292"/>
      <c r="AI22" s="292"/>
      <c r="AJ22" s="292"/>
      <c r="AK22" s="292"/>
      <c r="AL22" s="292"/>
      <c r="AM22" s="292"/>
      <c r="AN22" s="292"/>
      <c r="AO22" s="292"/>
      <c r="AP22" s="292"/>
      <c r="AQ22" s="292"/>
      <c r="AR22" s="292"/>
      <c r="AS22" s="292"/>
      <c r="AT22" s="292"/>
      <c r="AU22" s="292"/>
      <c r="AV22" s="292"/>
      <c r="AW22" s="292"/>
      <c r="AX22" s="292"/>
      <c r="AY22" s="292"/>
      <c r="AZ22" s="292"/>
      <c r="BA22" s="292"/>
      <c r="BB22" s="292"/>
      <c r="BC22" s="292"/>
      <c r="BD22" s="292"/>
      <c r="BE22" s="292"/>
      <c r="BF22" s="292"/>
      <c r="BG22" s="292"/>
      <c r="BH22" s="292"/>
      <c r="BI22" s="292"/>
      <c r="BJ22" s="292"/>
      <c r="BK22" s="292"/>
      <c r="BL22" s="292"/>
      <c r="BM22" s="292"/>
      <c r="BN22" s="292"/>
      <c r="BO22" s="292"/>
      <c r="BP22" s="292"/>
      <c r="BQ22" s="292"/>
      <c r="BR22" s="292"/>
      <c r="BS22" s="292"/>
      <c r="BT22" s="292"/>
      <c r="BU22" s="292"/>
      <c r="BV22" s="292"/>
      <c r="BW22" s="292"/>
      <c r="BX22" s="292"/>
      <c r="BY22" s="293">
        <f t="shared" si="7"/>
        <v>-1500000</v>
      </c>
      <c r="BZ22" s="631"/>
      <c r="CA22" s="265"/>
      <c r="CB22" s="289" t="e">
        <f>SUM(INDEX(AC22:BX22, , 1):INDEX(AC22:BX22, ,MATCH($CB$4, $E$3:$BX$3,0) ))</f>
        <v>#N/A</v>
      </c>
      <c r="CC22" s="631"/>
    </row>
    <row r="23" spans="2:81" ht="16" hidden="1" outlineLevel="1">
      <c r="B23" s="629"/>
      <c r="C23" s="290" t="s">
        <v>272</v>
      </c>
      <c r="D23" s="294" t="s">
        <v>262</v>
      </c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2"/>
      <c r="W23" s="292">
        <f>-Businessplan_prodej!$F$12</f>
        <v>-1086223</v>
      </c>
      <c r="X23" s="292"/>
      <c r="Y23" s="292"/>
      <c r="Z23" s="292"/>
      <c r="AA23" s="292"/>
      <c r="AB23" s="292"/>
      <c r="AC23" s="292"/>
      <c r="AD23" s="292"/>
      <c r="AE23" s="292"/>
      <c r="AF23" s="292"/>
      <c r="AG23" s="292"/>
      <c r="AH23" s="292"/>
      <c r="AI23" s="292"/>
      <c r="AJ23" s="292"/>
      <c r="AK23" s="292"/>
      <c r="AL23" s="292"/>
      <c r="AM23" s="292"/>
      <c r="AN23" s="292"/>
      <c r="AO23" s="292"/>
      <c r="AP23" s="292"/>
      <c r="AQ23" s="292"/>
      <c r="AR23" s="292"/>
      <c r="AS23" s="292"/>
      <c r="AT23" s="292"/>
      <c r="AU23" s="292"/>
      <c r="AV23" s="292"/>
      <c r="AW23" s="292"/>
      <c r="AX23" s="292"/>
      <c r="AY23" s="292"/>
      <c r="AZ23" s="292"/>
      <c r="BA23" s="292"/>
      <c r="BB23" s="292"/>
      <c r="BC23" s="292"/>
      <c r="BD23" s="292"/>
      <c r="BE23" s="292"/>
      <c r="BF23" s="292"/>
      <c r="BG23" s="292"/>
      <c r="BH23" s="292"/>
      <c r="BI23" s="292"/>
      <c r="BJ23" s="292"/>
      <c r="BK23" s="292"/>
      <c r="BL23" s="292"/>
      <c r="BM23" s="292"/>
      <c r="BN23" s="292"/>
      <c r="BO23" s="292"/>
      <c r="BP23" s="292"/>
      <c r="BQ23" s="292"/>
      <c r="BR23" s="292"/>
      <c r="BS23" s="292"/>
      <c r="BT23" s="292"/>
      <c r="BU23" s="292"/>
      <c r="BV23" s="292"/>
      <c r="BW23" s="292"/>
      <c r="BX23" s="292"/>
      <c r="BY23" s="293">
        <f t="shared" si="7"/>
        <v>-1086223</v>
      </c>
      <c r="BZ23" s="631"/>
      <c r="CA23" s="265"/>
      <c r="CB23" s="289"/>
      <c r="CC23" s="631"/>
    </row>
    <row r="24" spans="2:81" ht="16" hidden="1" outlineLevel="1">
      <c r="B24" s="629"/>
      <c r="C24" s="290" t="s">
        <v>273</v>
      </c>
      <c r="D24" s="294" t="s">
        <v>262</v>
      </c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292"/>
      <c r="W24" s="292"/>
      <c r="X24" s="292"/>
      <c r="Y24" s="292"/>
      <c r="Z24" s="292"/>
      <c r="AA24" s="292"/>
      <c r="AB24" s="292"/>
      <c r="AC24" s="292"/>
      <c r="AD24" s="292"/>
      <c r="AE24" s="292"/>
      <c r="AF24" s="292"/>
      <c r="AG24" s="292"/>
      <c r="AH24" s="292"/>
      <c r="AI24" s="292"/>
      <c r="AJ24" s="292"/>
      <c r="AK24" s="292"/>
      <c r="AL24" s="292"/>
      <c r="AM24" s="292"/>
      <c r="AN24" s="292"/>
      <c r="AO24" s="292"/>
      <c r="AP24" s="292"/>
      <c r="AQ24" s="292"/>
      <c r="AR24" s="292"/>
      <c r="AS24" s="292"/>
      <c r="AT24" s="292"/>
      <c r="AU24" s="292"/>
      <c r="AV24" s="292"/>
      <c r="AW24" s="292"/>
      <c r="AX24" s="292"/>
      <c r="AY24" s="292"/>
      <c r="AZ24" s="292"/>
      <c r="BA24" s="292"/>
      <c r="BB24" s="292"/>
      <c r="BC24" s="292"/>
      <c r="BD24" s="292"/>
      <c r="BE24" s="292"/>
      <c r="BF24" s="292"/>
      <c r="BG24" s="292"/>
      <c r="BH24" s="292"/>
      <c r="BI24" s="292"/>
      <c r="BJ24" s="292"/>
      <c r="BK24" s="292"/>
      <c r="BL24" s="292"/>
      <c r="BM24" s="292"/>
      <c r="BN24" s="292"/>
      <c r="BO24" s="292"/>
      <c r="BP24" s="292"/>
      <c r="BQ24" s="292"/>
      <c r="BR24" s="292"/>
      <c r="BS24" s="292"/>
      <c r="BT24" s="292"/>
      <c r="BU24" s="292"/>
      <c r="BV24" s="292"/>
      <c r="BW24" s="292"/>
      <c r="BX24" s="292"/>
      <c r="BY24" s="293">
        <f>SUM(E24:BX24)</f>
        <v>0</v>
      </c>
      <c r="BZ24" s="631"/>
      <c r="CA24" s="265"/>
      <c r="CB24" s="289" t="e">
        <f t="array" ref="CB24">SUM(INDEX(AC24:BX24, , 1):INDEX(AC24:BX24, ,MATCH($CB$4, $E$3:$BX$3,0) ))</f>
        <v>#N/A</v>
      </c>
      <c r="CC24" s="631"/>
    </row>
    <row r="25" spans="2:81" ht="16" collapsed="1">
      <c r="B25" s="629"/>
      <c r="C25" s="285" t="s">
        <v>274</v>
      </c>
      <c r="D25" s="286"/>
      <c r="E25" s="287">
        <f t="shared" ref="E25:BY25" si="8">SUM(E26:E27)</f>
        <v>0</v>
      </c>
      <c r="F25" s="287">
        <f t="shared" si="8"/>
        <v>0</v>
      </c>
      <c r="G25" s="287">
        <f t="shared" si="8"/>
        <v>0</v>
      </c>
      <c r="H25" s="287">
        <f t="shared" si="8"/>
        <v>0</v>
      </c>
      <c r="I25" s="287">
        <f t="shared" si="8"/>
        <v>0</v>
      </c>
      <c r="J25" s="287">
        <f t="shared" si="8"/>
        <v>0</v>
      </c>
      <c r="K25" s="287">
        <f t="shared" si="8"/>
        <v>0</v>
      </c>
      <c r="L25" s="287">
        <f t="shared" si="8"/>
        <v>0</v>
      </c>
      <c r="M25" s="287">
        <f t="shared" si="8"/>
        <v>0</v>
      </c>
      <c r="N25" s="287">
        <f t="shared" si="8"/>
        <v>0</v>
      </c>
      <c r="O25" s="287">
        <f t="shared" si="8"/>
        <v>0</v>
      </c>
      <c r="P25" s="287">
        <f t="shared" si="8"/>
        <v>0</v>
      </c>
      <c r="Q25" s="287">
        <f t="shared" si="8"/>
        <v>0</v>
      </c>
      <c r="R25" s="287">
        <f t="shared" si="8"/>
        <v>0</v>
      </c>
      <c r="S25" s="287">
        <f t="shared" si="8"/>
        <v>0</v>
      </c>
      <c r="T25" s="287">
        <f t="shared" si="8"/>
        <v>0</v>
      </c>
      <c r="U25" s="287">
        <f t="shared" si="8"/>
        <v>0</v>
      </c>
      <c r="V25" s="287">
        <f t="shared" si="8"/>
        <v>0</v>
      </c>
      <c r="W25" s="287">
        <f t="shared" si="8"/>
        <v>0</v>
      </c>
      <c r="X25" s="287">
        <f t="shared" si="8"/>
        <v>0</v>
      </c>
      <c r="Y25" s="287">
        <f t="shared" si="8"/>
        <v>-212500</v>
      </c>
      <c r="Z25" s="287">
        <f t="shared" si="8"/>
        <v>-212500</v>
      </c>
      <c r="AA25" s="287">
        <f t="shared" si="8"/>
        <v>-212500</v>
      </c>
      <c r="AB25" s="287">
        <f t="shared" si="8"/>
        <v>-212500</v>
      </c>
      <c r="AC25" s="287">
        <f t="shared" si="8"/>
        <v>0</v>
      </c>
      <c r="AD25" s="287">
        <f t="shared" si="8"/>
        <v>0</v>
      </c>
      <c r="AE25" s="287">
        <f t="shared" si="8"/>
        <v>0</v>
      </c>
      <c r="AF25" s="287">
        <f t="shared" si="8"/>
        <v>0</v>
      </c>
      <c r="AG25" s="287">
        <f t="shared" si="8"/>
        <v>0</v>
      </c>
      <c r="AH25" s="287">
        <f t="shared" si="8"/>
        <v>0</v>
      </c>
      <c r="AI25" s="287">
        <f t="shared" si="8"/>
        <v>0</v>
      </c>
      <c r="AJ25" s="287">
        <f t="shared" si="8"/>
        <v>0</v>
      </c>
      <c r="AK25" s="287">
        <f t="shared" si="8"/>
        <v>0</v>
      </c>
      <c r="AL25" s="287">
        <f t="shared" si="8"/>
        <v>0</v>
      </c>
      <c r="AM25" s="287">
        <f t="shared" si="8"/>
        <v>0</v>
      </c>
      <c r="AN25" s="287">
        <f t="shared" si="8"/>
        <v>0</v>
      </c>
      <c r="AO25" s="287">
        <f t="shared" si="8"/>
        <v>0</v>
      </c>
      <c r="AP25" s="287">
        <f t="shared" si="8"/>
        <v>0</v>
      </c>
      <c r="AQ25" s="287">
        <f t="shared" si="8"/>
        <v>0</v>
      </c>
      <c r="AR25" s="287">
        <f t="shared" si="8"/>
        <v>0</v>
      </c>
      <c r="AS25" s="287">
        <f t="shared" si="8"/>
        <v>0</v>
      </c>
      <c r="AT25" s="287">
        <f t="shared" si="8"/>
        <v>0</v>
      </c>
      <c r="AU25" s="287">
        <f t="shared" si="8"/>
        <v>0</v>
      </c>
      <c r="AV25" s="287">
        <f t="shared" si="8"/>
        <v>0</v>
      </c>
      <c r="AW25" s="287">
        <f t="shared" si="8"/>
        <v>0</v>
      </c>
      <c r="AX25" s="287">
        <f t="shared" si="8"/>
        <v>0</v>
      </c>
      <c r="AY25" s="287">
        <f t="shared" si="8"/>
        <v>0</v>
      </c>
      <c r="AZ25" s="287">
        <f t="shared" si="8"/>
        <v>0</v>
      </c>
      <c r="BA25" s="287">
        <f t="shared" si="8"/>
        <v>0</v>
      </c>
      <c r="BB25" s="287">
        <f t="shared" si="8"/>
        <v>0</v>
      </c>
      <c r="BC25" s="287">
        <f t="shared" si="8"/>
        <v>0</v>
      </c>
      <c r="BD25" s="287">
        <f t="shared" si="8"/>
        <v>0</v>
      </c>
      <c r="BE25" s="287">
        <f t="shared" si="8"/>
        <v>0</v>
      </c>
      <c r="BF25" s="287">
        <f t="shared" si="8"/>
        <v>0</v>
      </c>
      <c r="BG25" s="287">
        <f t="shared" si="8"/>
        <v>0</v>
      </c>
      <c r="BH25" s="287">
        <f t="shared" si="8"/>
        <v>0</v>
      </c>
      <c r="BI25" s="287">
        <f t="shared" si="8"/>
        <v>0</v>
      </c>
      <c r="BJ25" s="287">
        <f t="shared" si="8"/>
        <v>0</v>
      </c>
      <c r="BK25" s="287">
        <f t="shared" si="8"/>
        <v>0</v>
      </c>
      <c r="BL25" s="287">
        <f t="shared" si="8"/>
        <v>0</v>
      </c>
      <c r="BM25" s="287">
        <f t="shared" si="8"/>
        <v>0</v>
      </c>
      <c r="BN25" s="287">
        <f t="shared" si="8"/>
        <v>0</v>
      </c>
      <c r="BO25" s="287">
        <f t="shared" si="8"/>
        <v>0</v>
      </c>
      <c r="BP25" s="287">
        <f t="shared" si="8"/>
        <v>0</v>
      </c>
      <c r="BQ25" s="287">
        <f t="shared" si="8"/>
        <v>0</v>
      </c>
      <c r="BR25" s="287">
        <f t="shared" si="8"/>
        <v>0</v>
      </c>
      <c r="BS25" s="287">
        <f t="shared" si="8"/>
        <v>0</v>
      </c>
      <c r="BT25" s="287">
        <f t="shared" si="8"/>
        <v>0</v>
      </c>
      <c r="BU25" s="287">
        <f t="shared" si="8"/>
        <v>0</v>
      </c>
      <c r="BV25" s="287">
        <f t="shared" si="8"/>
        <v>0</v>
      </c>
      <c r="BW25" s="287">
        <f t="shared" si="8"/>
        <v>0</v>
      </c>
      <c r="BX25" s="287">
        <f t="shared" si="8"/>
        <v>0</v>
      </c>
      <c r="BY25" s="288">
        <f t="shared" si="8"/>
        <v>-850000</v>
      </c>
      <c r="BZ25" s="631"/>
      <c r="CA25" s="265"/>
      <c r="CB25" s="289" t="e">
        <f t="array" ref="CB25">SUM(INDEX(E25:BX25, , 1):INDEX(E25:BX25, ,MATCH($CB$4, $E$3:$BX$3,0) ))</f>
        <v>#N/A</v>
      </c>
      <c r="CC25" s="631"/>
    </row>
    <row r="26" spans="2:81" ht="16" hidden="1" outlineLevel="1">
      <c r="B26" s="629"/>
      <c r="C26" s="290" t="s">
        <v>275</v>
      </c>
      <c r="D26" s="294" t="s">
        <v>262</v>
      </c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>
        <f>-Businessplan_prodej!$F$21/4</f>
        <v>-212500</v>
      </c>
      <c r="Z26" s="295">
        <f>-Businessplan_prodej!$F$21/4</f>
        <v>-212500</v>
      </c>
      <c r="AA26" s="295">
        <f>-Businessplan_prodej!$F$21/4</f>
        <v>-212500</v>
      </c>
      <c r="AB26" s="295">
        <f>-Businessplan_prodej!$F$21/4</f>
        <v>-212500</v>
      </c>
      <c r="AC26" s="295"/>
      <c r="AD26" s="295"/>
      <c r="AE26" s="295"/>
      <c r="AF26" s="295"/>
      <c r="AG26" s="295"/>
      <c r="AH26" s="295"/>
      <c r="AI26" s="295"/>
      <c r="AJ26" s="295"/>
      <c r="AK26" s="295"/>
      <c r="AL26" s="295"/>
      <c r="AM26" s="295"/>
      <c r="AN26" s="295"/>
      <c r="AO26" s="295"/>
      <c r="AP26" s="295"/>
      <c r="AQ26" s="295"/>
      <c r="AR26" s="295"/>
      <c r="AS26" s="295"/>
      <c r="AT26" s="295"/>
      <c r="AU26" s="295"/>
      <c r="AV26" s="295"/>
      <c r="AW26" s="295"/>
      <c r="AX26" s="295"/>
      <c r="AY26" s="295"/>
      <c r="AZ26" s="295"/>
      <c r="BA26" s="295"/>
      <c r="BB26" s="295"/>
      <c r="BC26" s="295"/>
      <c r="BD26" s="295"/>
      <c r="BE26" s="295"/>
      <c r="BF26" s="295"/>
      <c r="BG26" s="295"/>
      <c r="BH26" s="295"/>
      <c r="BI26" s="295"/>
      <c r="BJ26" s="295"/>
      <c r="BK26" s="295"/>
      <c r="BL26" s="295"/>
      <c r="BM26" s="295"/>
      <c r="BN26" s="295"/>
      <c r="BO26" s="295"/>
      <c r="BP26" s="295"/>
      <c r="BQ26" s="295"/>
      <c r="BR26" s="295"/>
      <c r="BS26" s="295"/>
      <c r="BT26" s="295"/>
      <c r="BU26" s="295"/>
      <c r="BV26" s="295"/>
      <c r="BW26" s="295"/>
      <c r="BX26" s="295"/>
      <c r="BY26" s="296">
        <f t="shared" ref="BY26:BY27" si="9">SUM(E26:BX26)</f>
        <v>-850000</v>
      </c>
      <c r="BZ26" s="631"/>
      <c r="CA26" s="265"/>
      <c r="CB26" s="289" t="e">
        <f>SUM(INDEX(AC26:BX26, , 1):INDEX(AC26:BX26, ,MATCH(#REF!, $E$3:$BX$3,0) ))</f>
        <v>#REF!</v>
      </c>
      <c r="CC26" s="631"/>
    </row>
    <row r="27" spans="2:81" ht="16" hidden="1" outlineLevel="1">
      <c r="B27" s="629"/>
      <c r="C27" s="290" t="s">
        <v>276</v>
      </c>
      <c r="D27" s="294" t="s">
        <v>262</v>
      </c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  <c r="AA27" s="295"/>
      <c r="AB27" s="295"/>
      <c r="AC27" s="295"/>
      <c r="AD27" s="295"/>
      <c r="AE27" s="295"/>
      <c r="AF27" s="295"/>
      <c r="AG27" s="295"/>
      <c r="AH27" s="295"/>
      <c r="AI27" s="295"/>
      <c r="AJ27" s="295"/>
      <c r="AK27" s="295"/>
      <c r="AL27" s="295"/>
      <c r="AM27" s="295"/>
      <c r="AN27" s="295"/>
      <c r="AO27" s="295"/>
      <c r="AP27" s="295"/>
      <c r="AQ27" s="295"/>
      <c r="AR27" s="295"/>
      <c r="AS27" s="295"/>
      <c r="AT27" s="295"/>
      <c r="AU27" s="295"/>
      <c r="AV27" s="295"/>
      <c r="AW27" s="295"/>
      <c r="AX27" s="295"/>
      <c r="AY27" s="295"/>
      <c r="AZ27" s="295"/>
      <c r="BA27" s="295"/>
      <c r="BB27" s="295"/>
      <c r="BC27" s="295"/>
      <c r="BD27" s="295"/>
      <c r="BE27" s="295"/>
      <c r="BF27" s="295"/>
      <c r="BG27" s="295"/>
      <c r="BH27" s="295"/>
      <c r="BI27" s="295"/>
      <c r="BJ27" s="295"/>
      <c r="BK27" s="295"/>
      <c r="BL27" s="295"/>
      <c r="BM27" s="295"/>
      <c r="BN27" s="295"/>
      <c r="BO27" s="295"/>
      <c r="BP27" s="295"/>
      <c r="BQ27" s="295"/>
      <c r="BR27" s="295"/>
      <c r="BS27" s="295"/>
      <c r="BT27" s="295"/>
      <c r="BU27" s="295"/>
      <c r="BV27" s="295"/>
      <c r="BW27" s="295"/>
      <c r="BX27" s="295"/>
      <c r="BY27" s="296">
        <f t="shared" si="9"/>
        <v>0</v>
      </c>
      <c r="BZ27" s="631"/>
      <c r="CA27" s="265"/>
      <c r="CB27" s="289" t="e">
        <f>SUM(INDEX(AC27:BX27, , 1):INDEX(AC27:BX27, ,MATCH(#REF!, $E$3:$BX$3,0) ))</f>
        <v>#REF!</v>
      </c>
      <c r="CC27" s="631"/>
    </row>
    <row r="28" spans="2:81" ht="16">
      <c r="B28" s="629"/>
      <c r="C28" s="285" t="s">
        <v>277</v>
      </c>
      <c r="D28" s="286"/>
      <c r="E28" s="287">
        <f t="shared" ref="E28:BX28" si="10">SUM(E29:E35)</f>
        <v>0</v>
      </c>
      <c r="F28" s="287">
        <f t="shared" si="10"/>
        <v>0</v>
      </c>
      <c r="G28" s="287">
        <f t="shared" si="10"/>
        <v>0</v>
      </c>
      <c r="H28" s="287">
        <f t="shared" si="10"/>
        <v>0</v>
      </c>
      <c r="I28" s="287">
        <f t="shared" si="10"/>
        <v>0</v>
      </c>
      <c r="J28" s="287">
        <f t="shared" si="10"/>
        <v>0</v>
      </c>
      <c r="K28" s="287">
        <f t="shared" si="10"/>
        <v>0</v>
      </c>
      <c r="L28" s="287">
        <f t="shared" si="10"/>
        <v>0</v>
      </c>
      <c r="M28" s="287">
        <f t="shared" si="10"/>
        <v>0</v>
      </c>
      <c r="N28" s="287">
        <f t="shared" si="10"/>
        <v>0</v>
      </c>
      <c r="O28" s="287">
        <f t="shared" si="10"/>
        <v>0</v>
      </c>
      <c r="P28" s="287">
        <f t="shared" si="10"/>
        <v>0</v>
      </c>
      <c r="Q28" s="287">
        <f t="shared" si="10"/>
        <v>0</v>
      </c>
      <c r="R28" s="287">
        <f t="shared" si="10"/>
        <v>0</v>
      </c>
      <c r="S28" s="287">
        <f t="shared" si="10"/>
        <v>0</v>
      </c>
      <c r="T28" s="287">
        <f t="shared" si="10"/>
        <v>0</v>
      </c>
      <c r="U28" s="287">
        <f t="shared" si="10"/>
        <v>0</v>
      </c>
      <c r="V28" s="287">
        <f t="shared" si="10"/>
        <v>0</v>
      </c>
      <c r="W28" s="287">
        <f t="shared" si="10"/>
        <v>0</v>
      </c>
      <c r="X28" s="287">
        <f t="shared" si="10"/>
        <v>0</v>
      </c>
      <c r="Y28" s="287">
        <f t="shared" si="10"/>
        <v>-10355898.1</v>
      </c>
      <c r="Z28" s="287">
        <f t="shared" si="10"/>
        <v>-10355898.1</v>
      </c>
      <c r="AA28" s="287">
        <f t="shared" si="10"/>
        <v>-10355898.1</v>
      </c>
      <c r="AB28" s="287">
        <f t="shared" si="10"/>
        <v>-10355898.1</v>
      </c>
      <c r="AC28" s="287">
        <f t="shared" si="10"/>
        <v>-10355898.1</v>
      </c>
      <c r="AD28" s="287">
        <f t="shared" si="10"/>
        <v>-10355898.1</v>
      </c>
      <c r="AE28" s="287">
        <f t="shared" si="10"/>
        <v>-10355898.1</v>
      </c>
      <c r="AF28" s="287">
        <f t="shared" si="10"/>
        <v>-10355898.1</v>
      </c>
      <c r="AG28" s="287">
        <f t="shared" si="10"/>
        <v>-10355898.1</v>
      </c>
      <c r="AH28" s="287">
        <f t="shared" si="10"/>
        <v>-10355898.1</v>
      </c>
      <c r="AI28" s="287">
        <f t="shared" si="10"/>
        <v>0</v>
      </c>
      <c r="AJ28" s="287">
        <f t="shared" si="10"/>
        <v>0</v>
      </c>
      <c r="AK28" s="287">
        <f t="shared" si="10"/>
        <v>0</v>
      </c>
      <c r="AL28" s="287">
        <f t="shared" si="10"/>
        <v>0</v>
      </c>
      <c r="AM28" s="287">
        <f t="shared" si="10"/>
        <v>0</v>
      </c>
      <c r="AN28" s="287">
        <f t="shared" si="10"/>
        <v>0</v>
      </c>
      <c r="AO28" s="287">
        <f t="shared" si="10"/>
        <v>0</v>
      </c>
      <c r="AP28" s="287">
        <f t="shared" si="10"/>
        <v>0</v>
      </c>
      <c r="AQ28" s="287">
        <f t="shared" si="10"/>
        <v>0</v>
      </c>
      <c r="AR28" s="287">
        <f t="shared" si="10"/>
        <v>0</v>
      </c>
      <c r="AS28" s="287">
        <f t="shared" si="10"/>
        <v>0</v>
      </c>
      <c r="AT28" s="287">
        <f t="shared" si="10"/>
        <v>0</v>
      </c>
      <c r="AU28" s="287">
        <f t="shared" si="10"/>
        <v>0</v>
      </c>
      <c r="AV28" s="287">
        <f t="shared" si="10"/>
        <v>0</v>
      </c>
      <c r="AW28" s="287">
        <f t="shared" si="10"/>
        <v>0</v>
      </c>
      <c r="AX28" s="287">
        <f t="shared" si="10"/>
        <v>0</v>
      </c>
      <c r="AY28" s="287">
        <f t="shared" si="10"/>
        <v>0</v>
      </c>
      <c r="AZ28" s="287">
        <f t="shared" si="10"/>
        <v>0</v>
      </c>
      <c r="BA28" s="287">
        <f t="shared" si="10"/>
        <v>0</v>
      </c>
      <c r="BB28" s="287">
        <f t="shared" si="10"/>
        <v>0</v>
      </c>
      <c r="BC28" s="287">
        <f t="shared" si="10"/>
        <v>0</v>
      </c>
      <c r="BD28" s="287">
        <f t="shared" si="10"/>
        <v>0</v>
      </c>
      <c r="BE28" s="287">
        <f t="shared" si="10"/>
        <v>0</v>
      </c>
      <c r="BF28" s="287">
        <f t="shared" si="10"/>
        <v>0</v>
      </c>
      <c r="BG28" s="287">
        <f t="shared" si="10"/>
        <v>0</v>
      </c>
      <c r="BH28" s="287">
        <f t="shared" si="10"/>
        <v>0</v>
      </c>
      <c r="BI28" s="287">
        <f t="shared" si="10"/>
        <v>0</v>
      </c>
      <c r="BJ28" s="287">
        <f t="shared" si="10"/>
        <v>0</v>
      </c>
      <c r="BK28" s="287">
        <f t="shared" si="10"/>
        <v>0</v>
      </c>
      <c r="BL28" s="287">
        <f t="shared" si="10"/>
        <v>0</v>
      </c>
      <c r="BM28" s="287">
        <f t="shared" si="10"/>
        <v>0</v>
      </c>
      <c r="BN28" s="287">
        <f t="shared" si="10"/>
        <v>0</v>
      </c>
      <c r="BO28" s="287">
        <f t="shared" si="10"/>
        <v>0</v>
      </c>
      <c r="BP28" s="287">
        <f t="shared" si="10"/>
        <v>0</v>
      </c>
      <c r="BQ28" s="287">
        <f t="shared" si="10"/>
        <v>0</v>
      </c>
      <c r="BR28" s="287">
        <f t="shared" si="10"/>
        <v>0</v>
      </c>
      <c r="BS28" s="287">
        <f t="shared" si="10"/>
        <v>0</v>
      </c>
      <c r="BT28" s="287">
        <f t="shared" si="10"/>
        <v>0</v>
      </c>
      <c r="BU28" s="287">
        <f t="shared" si="10"/>
        <v>0</v>
      </c>
      <c r="BV28" s="287">
        <f t="shared" si="10"/>
        <v>0</v>
      </c>
      <c r="BW28" s="287">
        <f t="shared" si="10"/>
        <v>0</v>
      </c>
      <c r="BX28" s="287">
        <f t="shared" si="10"/>
        <v>0</v>
      </c>
      <c r="BY28" s="289">
        <f>SUM(BY29:BY35)</f>
        <v>-103558981</v>
      </c>
      <c r="BZ28" s="631"/>
      <c r="CA28" s="265"/>
      <c r="CB28" s="289" t="e">
        <f t="array" ref="CB28">SUM(INDEX(E28:BX28, , 1):INDEX(E28:BX28, ,MATCH($CB$4, $E$3:$BX$3,0) ))</f>
        <v>#N/A</v>
      </c>
      <c r="CC28" s="631"/>
    </row>
    <row r="29" spans="2:81" ht="16" outlineLevel="1">
      <c r="B29" s="629"/>
      <c r="C29" s="290" t="s">
        <v>278</v>
      </c>
      <c r="D29" s="291" t="s">
        <v>262</v>
      </c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2"/>
      <c r="P29" s="292"/>
      <c r="Q29" s="292"/>
      <c r="R29" s="292"/>
      <c r="S29" s="292"/>
      <c r="T29" s="292"/>
      <c r="U29" s="292"/>
      <c r="V29" s="292"/>
      <c r="W29" s="292"/>
      <c r="X29" s="292"/>
      <c r="Y29" s="292">
        <f>-Businessplan_prodej!$F$30/10</f>
        <v>-9787000</v>
      </c>
      <c r="Z29" s="292">
        <f>-Businessplan_prodej!$F$30/10</f>
        <v>-9787000</v>
      </c>
      <c r="AA29" s="292">
        <f>-Businessplan_prodej!$F$30/10</f>
        <v>-9787000</v>
      </c>
      <c r="AB29" s="292">
        <f>-Businessplan_prodej!$F$30/10</f>
        <v>-9787000</v>
      </c>
      <c r="AC29" s="292">
        <f>-Businessplan_prodej!$F$30/10</f>
        <v>-9787000</v>
      </c>
      <c r="AD29" s="292">
        <f>-Businessplan_prodej!$F$30/10</f>
        <v>-9787000</v>
      </c>
      <c r="AE29" s="292">
        <f>-Businessplan_prodej!$F$30/10</f>
        <v>-9787000</v>
      </c>
      <c r="AF29" s="292">
        <f>-Businessplan_prodej!$F$30/10</f>
        <v>-9787000</v>
      </c>
      <c r="AG29" s="292">
        <f>-Businessplan_prodej!$F$30/10</f>
        <v>-9787000</v>
      </c>
      <c r="AH29" s="292">
        <f>-Businessplan_prodej!$F$30/10</f>
        <v>-9787000</v>
      </c>
      <c r="AI29" s="292"/>
      <c r="AJ29" s="292"/>
      <c r="AK29" s="292"/>
      <c r="AL29" s="292"/>
      <c r="AM29" s="292"/>
      <c r="AN29" s="292"/>
      <c r="AO29" s="292"/>
      <c r="AP29" s="292"/>
      <c r="AQ29" s="292"/>
      <c r="AR29" s="292"/>
      <c r="AS29" s="292"/>
      <c r="AT29" s="292"/>
      <c r="AU29" s="292"/>
      <c r="AV29" s="292"/>
      <c r="AW29" s="292"/>
      <c r="AX29" s="292"/>
      <c r="AY29" s="292"/>
      <c r="AZ29" s="292"/>
      <c r="BA29" s="292"/>
      <c r="BB29" s="292"/>
      <c r="BC29" s="292"/>
      <c r="BD29" s="292"/>
      <c r="BE29" s="292"/>
      <c r="BF29" s="292"/>
      <c r="BG29" s="292"/>
      <c r="BH29" s="292"/>
      <c r="BI29" s="292"/>
      <c r="BJ29" s="292"/>
      <c r="BK29" s="292"/>
      <c r="BL29" s="292"/>
      <c r="BM29" s="292"/>
      <c r="BN29" s="292"/>
      <c r="BO29" s="292"/>
      <c r="BP29" s="292"/>
      <c r="BQ29" s="292"/>
      <c r="BR29" s="292"/>
      <c r="BS29" s="292"/>
      <c r="BT29" s="292"/>
      <c r="BU29" s="292"/>
      <c r="BV29" s="292"/>
      <c r="BW29" s="292"/>
      <c r="BX29" s="297"/>
      <c r="BY29" s="298">
        <f t="shared" ref="BY29:BY35" si="11">SUM(E29:BX29)</f>
        <v>-97870000</v>
      </c>
      <c r="BZ29" s="631"/>
      <c r="CA29" s="265"/>
      <c r="CB29" s="289" t="e">
        <f>SUM(INDEX(AC29:BX29, , 1):INDEX(AC29:BX29, ,MATCH(#REF!, $E$3:$BX$3,0) ))</f>
        <v>#REF!</v>
      </c>
      <c r="CC29" s="631"/>
    </row>
    <row r="30" spans="2:81" ht="16" outlineLevel="1">
      <c r="B30" s="629"/>
      <c r="C30" s="290" t="s">
        <v>363</v>
      </c>
      <c r="D30" s="291" t="s">
        <v>262</v>
      </c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/>
      <c r="R30" s="292"/>
      <c r="S30" s="292"/>
      <c r="T30" s="292"/>
      <c r="U30" s="292"/>
      <c r="V30" s="292"/>
      <c r="W30" s="292"/>
      <c r="X30" s="292"/>
      <c r="Y30" s="292"/>
      <c r="Z30" s="292"/>
      <c r="AA30" s="292"/>
      <c r="AB30" s="292"/>
      <c r="AC30" s="292"/>
      <c r="AD30" s="292"/>
      <c r="AE30" s="292"/>
      <c r="AF30" s="292"/>
      <c r="AG30" s="292"/>
      <c r="AH30" s="292"/>
      <c r="AI30" s="292"/>
      <c r="AJ30" s="292"/>
      <c r="AK30" s="292"/>
      <c r="AL30" s="292"/>
      <c r="AM30" s="292"/>
      <c r="AN30" s="292"/>
      <c r="AO30" s="292"/>
      <c r="AP30" s="292"/>
      <c r="AQ30" s="292"/>
      <c r="AR30" s="292"/>
      <c r="AS30" s="292"/>
      <c r="AT30" s="292"/>
      <c r="AU30" s="292"/>
      <c r="AV30" s="292"/>
      <c r="AW30" s="292"/>
      <c r="AX30" s="292"/>
      <c r="AY30" s="292"/>
      <c r="AZ30" s="292"/>
      <c r="BA30" s="292"/>
      <c r="BB30" s="292"/>
      <c r="BC30" s="292"/>
      <c r="BD30" s="292"/>
      <c r="BE30" s="292"/>
      <c r="BF30" s="292"/>
      <c r="BG30" s="292"/>
      <c r="BH30" s="292"/>
      <c r="BI30" s="292"/>
      <c r="BJ30" s="292"/>
      <c r="BK30" s="292"/>
      <c r="BL30" s="292"/>
      <c r="BM30" s="292"/>
      <c r="BN30" s="292"/>
      <c r="BO30" s="292"/>
      <c r="BP30" s="292"/>
      <c r="BQ30" s="292"/>
      <c r="BR30" s="292"/>
      <c r="BS30" s="292"/>
      <c r="BT30" s="292"/>
      <c r="BU30" s="292"/>
      <c r="BV30" s="292"/>
      <c r="BW30" s="292"/>
      <c r="BX30" s="297"/>
      <c r="BY30" s="299">
        <f t="shared" si="11"/>
        <v>0</v>
      </c>
      <c r="BZ30" s="631"/>
      <c r="CA30" s="265"/>
      <c r="CB30" s="289" t="e">
        <f>SUM(INDEX(AC30:BX30, , 1):INDEX(AC30:BX30, ,MATCH(#REF!, $E$3:$BX$3,0) ))</f>
        <v>#REF!</v>
      </c>
      <c r="CC30" s="631"/>
    </row>
    <row r="31" spans="2:81" ht="16" outlineLevel="1">
      <c r="B31" s="629"/>
      <c r="C31" s="290" t="s">
        <v>279</v>
      </c>
      <c r="D31" s="291" t="s">
        <v>262</v>
      </c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  <c r="V31" s="292"/>
      <c r="W31" s="292"/>
      <c r="X31" s="292"/>
      <c r="Y31" s="292"/>
      <c r="Z31" s="292"/>
      <c r="AA31" s="292"/>
      <c r="AB31" s="292"/>
      <c r="AC31" s="292"/>
      <c r="AD31" s="292"/>
      <c r="AE31" s="292"/>
      <c r="AF31" s="292"/>
      <c r="AG31" s="292"/>
      <c r="AH31" s="292"/>
      <c r="AI31" s="292"/>
      <c r="AJ31" s="292"/>
      <c r="AK31" s="292"/>
      <c r="AL31" s="292"/>
      <c r="AM31" s="292"/>
      <c r="AN31" s="292"/>
      <c r="AO31" s="292"/>
      <c r="AP31" s="292"/>
      <c r="AQ31" s="292"/>
      <c r="AR31" s="292"/>
      <c r="AS31" s="292"/>
      <c r="AT31" s="292"/>
      <c r="AU31" s="292"/>
      <c r="AV31" s="292"/>
      <c r="AW31" s="292"/>
      <c r="AX31" s="292"/>
      <c r="AY31" s="292"/>
      <c r="AZ31" s="292"/>
      <c r="BA31" s="292"/>
      <c r="BB31" s="292"/>
      <c r="BC31" s="292"/>
      <c r="BD31" s="292"/>
      <c r="BE31" s="292"/>
      <c r="BF31" s="292"/>
      <c r="BG31" s="292"/>
      <c r="BH31" s="292"/>
      <c r="BI31" s="292"/>
      <c r="BJ31" s="292"/>
      <c r="BK31" s="292"/>
      <c r="BL31" s="292"/>
      <c r="BM31" s="292"/>
      <c r="BN31" s="292"/>
      <c r="BO31" s="292"/>
      <c r="BP31" s="292"/>
      <c r="BQ31" s="292"/>
      <c r="BR31" s="292"/>
      <c r="BS31" s="292"/>
      <c r="BT31" s="292"/>
      <c r="BU31" s="292"/>
      <c r="BV31" s="292"/>
      <c r="BW31" s="292"/>
      <c r="BX31" s="297"/>
      <c r="BY31" s="299">
        <f t="shared" si="11"/>
        <v>0</v>
      </c>
      <c r="BZ31" s="631"/>
      <c r="CA31" s="265"/>
      <c r="CB31" s="289" t="e">
        <f>SUM(INDEX(AC31:BX31, , 1):INDEX(AC31:BX31, ,MATCH(#REF!, $E$3:$BX$3,0) ))</f>
        <v>#REF!</v>
      </c>
      <c r="CC31" s="631"/>
    </row>
    <row r="32" spans="2:81" ht="16" outlineLevel="1">
      <c r="B32" s="629"/>
      <c r="C32" s="290" t="s">
        <v>280</v>
      </c>
      <c r="D32" s="291" t="s">
        <v>262</v>
      </c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S32" s="292"/>
      <c r="T32" s="292"/>
      <c r="U32" s="292"/>
      <c r="V32" s="292"/>
      <c r="W32" s="292"/>
      <c r="X32" s="292"/>
      <c r="Y32" s="292"/>
      <c r="Z32" s="292"/>
      <c r="AA32" s="292"/>
      <c r="AB32" s="292"/>
      <c r="AC32" s="292"/>
      <c r="AD32" s="292"/>
      <c r="AE32" s="292"/>
      <c r="AF32" s="292"/>
      <c r="AG32" s="292"/>
      <c r="AH32" s="292"/>
      <c r="AI32" s="292"/>
      <c r="AJ32" s="292"/>
      <c r="AK32" s="292"/>
      <c r="AL32" s="292"/>
      <c r="AM32" s="292"/>
      <c r="AN32" s="292"/>
      <c r="AO32" s="292"/>
      <c r="AP32" s="292"/>
      <c r="AQ32" s="292"/>
      <c r="AR32" s="292"/>
      <c r="AS32" s="292"/>
      <c r="AT32" s="292"/>
      <c r="AU32" s="292"/>
      <c r="AV32" s="292"/>
      <c r="AW32" s="292"/>
      <c r="AX32" s="292"/>
      <c r="AY32" s="292"/>
      <c r="AZ32" s="292"/>
      <c r="BA32" s="292"/>
      <c r="BB32" s="292"/>
      <c r="BC32" s="292"/>
      <c r="BD32" s="292"/>
      <c r="BE32" s="292"/>
      <c r="BF32" s="292"/>
      <c r="BG32" s="292"/>
      <c r="BH32" s="292"/>
      <c r="BI32" s="292"/>
      <c r="BJ32" s="292"/>
      <c r="BK32" s="292"/>
      <c r="BL32" s="292"/>
      <c r="BM32" s="292"/>
      <c r="BN32" s="292"/>
      <c r="BO32" s="292"/>
      <c r="BP32" s="292"/>
      <c r="BQ32" s="292"/>
      <c r="BR32" s="292"/>
      <c r="BS32" s="292"/>
      <c r="BT32" s="292"/>
      <c r="BU32" s="292"/>
      <c r="BV32" s="292"/>
      <c r="BW32" s="292"/>
      <c r="BX32" s="297"/>
      <c r="BY32" s="299">
        <f t="shared" si="11"/>
        <v>0</v>
      </c>
      <c r="BZ32" s="631"/>
      <c r="CA32" s="265"/>
      <c r="CB32" s="289" t="e">
        <f>SUM(INDEX(AC32:BX32, , 1):INDEX(AC32:BX32, ,MATCH(#REF!, $E$3:$BX$3,0) ))</f>
        <v>#REF!</v>
      </c>
      <c r="CC32" s="631"/>
    </row>
    <row r="33" spans="2:81" ht="16" outlineLevel="1">
      <c r="B33" s="629"/>
      <c r="C33" s="290" t="s">
        <v>281</v>
      </c>
      <c r="D33" s="291" t="s">
        <v>262</v>
      </c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  <c r="V33" s="292"/>
      <c r="W33" s="292"/>
      <c r="X33" s="292"/>
      <c r="Y33" s="292">
        <f>-Businessplan_prodej!$F$37/10</f>
        <v>-60522</v>
      </c>
      <c r="Z33" s="292">
        <f>-Businessplan_prodej!$F$37/10</f>
        <v>-60522</v>
      </c>
      <c r="AA33" s="292">
        <f>-Businessplan_prodej!$F$37/10</f>
        <v>-60522</v>
      </c>
      <c r="AB33" s="292">
        <f>-Businessplan_prodej!$F$37/10</f>
        <v>-60522</v>
      </c>
      <c r="AC33" s="292">
        <f>-Businessplan_prodej!$F$37/10</f>
        <v>-60522</v>
      </c>
      <c r="AD33" s="292">
        <f>-Businessplan_prodej!$F$37/10</f>
        <v>-60522</v>
      </c>
      <c r="AE33" s="292">
        <f>-Businessplan_prodej!$F$37/10</f>
        <v>-60522</v>
      </c>
      <c r="AF33" s="292">
        <f>-Businessplan_prodej!$F$37/10</f>
        <v>-60522</v>
      </c>
      <c r="AG33" s="292">
        <f>-Businessplan_prodej!$F$37/10</f>
        <v>-60522</v>
      </c>
      <c r="AH33" s="292">
        <f>-Businessplan_prodej!$F$37/10</f>
        <v>-60522</v>
      </c>
      <c r="AI33" s="292"/>
      <c r="AJ33" s="292"/>
      <c r="AK33" s="292"/>
      <c r="AL33" s="292"/>
      <c r="AM33" s="292"/>
      <c r="AN33" s="292"/>
      <c r="AO33" s="292"/>
      <c r="AP33" s="292"/>
      <c r="AQ33" s="292"/>
      <c r="AR33" s="292"/>
      <c r="AS33" s="292"/>
      <c r="AT33" s="292"/>
      <c r="AU33" s="292"/>
      <c r="AV33" s="292"/>
      <c r="AW33" s="292"/>
      <c r="AX33" s="292"/>
      <c r="AY33" s="292"/>
      <c r="AZ33" s="292"/>
      <c r="BA33" s="292"/>
      <c r="BB33" s="292"/>
      <c r="BC33" s="292"/>
      <c r="BD33" s="292"/>
      <c r="BE33" s="292"/>
      <c r="BF33" s="292"/>
      <c r="BG33" s="292"/>
      <c r="BH33" s="292"/>
      <c r="BI33" s="292"/>
      <c r="BJ33" s="292"/>
      <c r="BK33" s="292"/>
      <c r="BL33" s="292"/>
      <c r="BM33" s="292"/>
      <c r="BN33" s="292"/>
      <c r="BO33" s="292"/>
      <c r="BP33" s="292"/>
      <c r="BQ33" s="292"/>
      <c r="BR33" s="292"/>
      <c r="BS33" s="292"/>
      <c r="BT33" s="292"/>
      <c r="BU33" s="292"/>
      <c r="BV33" s="292"/>
      <c r="BW33" s="292"/>
      <c r="BX33" s="297"/>
      <c r="BY33" s="299">
        <f t="shared" si="11"/>
        <v>-605220</v>
      </c>
      <c r="BZ33" s="631"/>
      <c r="CA33" s="265"/>
      <c r="CB33" s="289" t="e">
        <f>SUM(INDEX(AC33:BX33, , 1):INDEX(AC33:BX33, ,MATCH(#REF!, $E$3:$BX$3,0) ))</f>
        <v>#REF!</v>
      </c>
      <c r="CC33" s="631"/>
    </row>
    <row r="34" spans="2:81" ht="16" outlineLevel="1">
      <c r="B34" s="629"/>
      <c r="C34" s="300" t="s">
        <v>364</v>
      </c>
      <c r="D34" s="291" t="s">
        <v>262</v>
      </c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/>
      <c r="R34" s="292"/>
      <c r="S34" s="292"/>
      <c r="T34" s="292"/>
      <c r="U34" s="292"/>
      <c r="V34" s="292"/>
      <c r="W34" s="292"/>
      <c r="X34" s="292"/>
      <c r="Y34" s="292"/>
      <c r="Z34" s="292"/>
      <c r="AA34" s="292"/>
      <c r="AB34" s="292"/>
      <c r="AC34" s="292"/>
      <c r="AD34" s="292"/>
      <c r="AE34" s="292"/>
      <c r="AF34" s="292"/>
      <c r="AG34" s="292"/>
      <c r="AH34" s="292"/>
      <c r="AI34" s="292"/>
      <c r="AJ34" s="292"/>
      <c r="AK34" s="292"/>
      <c r="AL34" s="292"/>
      <c r="AM34" s="292"/>
      <c r="AN34" s="292"/>
      <c r="AO34" s="292"/>
      <c r="AP34" s="292"/>
      <c r="AQ34" s="292"/>
      <c r="AR34" s="292"/>
      <c r="AS34" s="292"/>
      <c r="AT34" s="292"/>
      <c r="AU34" s="292"/>
      <c r="AV34" s="292"/>
      <c r="AW34" s="292"/>
      <c r="AX34" s="292"/>
      <c r="AY34" s="292"/>
      <c r="AZ34" s="292"/>
      <c r="BA34" s="292"/>
      <c r="BB34" s="292"/>
      <c r="BC34" s="292"/>
      <c r="BD34" s="292"/>
      <c r="BE34" s="292"/>
      <c r="BF34" s="292"/>
      <c r="BG34" s="292"/>
      <c r="BH34" s="292"/>
      <c r="BI34" s="292"/>
      <c r="BJ34" s="292"/>
      <c r="BK34" s="292"/>
      <c r="BL34" s="292"/>
      <c r="BM34" s="292"/>
      <c r="BN34" s="292"/>
      <c r="BO34" s="292"/>
      <c r="BP34" s="292"/>
      <c r="BQ34" s="292"/>
      <c r="BR34" s="292"/>
      <c r="BS34" s="292"/>
      <c r="BT34" s="292"/>
      <c r="BU34" s="292"/>
      <c r="BV34" s="292"/>
      <c r="BW34" s="292"/>
      <c r="BX34" s="297"/>
      <c r="BY34" s="299">
        <f t="shared" si="11"/>
        <v>0</v>
      </c>
      <c r="BZ34" s="631"/>
      <c r="CA34" s="265"/>
      <c r="CB34" s="289" t="e">
        <f>SUM(INDEX(AC34:BX34, , 1):INDEX(AC34:BX34, ,MATCH(#REF!, $E$3:$BX$3,0) ))</f>
        <v>#REF!</v>
      </c>
      <c r="CC34" s="631"/>
    </row>
    <row r="35" spans="2:81" ht="16" outlineLevel="1">
      <c r="B35" s="629"/>
      <c r="C35" s="290" t="s">
        <v>282</v>
      </c>
      <c r="D35" s="294" t="s">
        <v>262</v>
      </c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  <c r="V35" s="292"/>
      <c r="W35" s="292"/>
      <c r="X35" s="292"/>
      <c r="Y35" s="292">
        <f>-Businessplan_prodej!$F$39/10</f>
        <v>-508376.1</v>
      </c>
      <c r="Z35" s="292">
        <f>-Businessplan_prodej!$F$39/10</f>
        <v>-508376.1</v>
      </c>
      <c r="AA35" s="292">
        <f>-Businessplan_prodej!$F$39/10</f>
        <v>-508376.1</v>
      </c>
      <c r="AB35" s="292">
        <f>-Businessplan_prodej!$F$39/10</f>
        <v>-508376.1</v>
      </c>
      <c r="AC35" s="292">
        <f>-Businessplan_prodej!$F$39/10</f>
        <v>-508376.1</v>
      </c>
      <c r="AD35" s="292">
        <f>-Businessplan_prodej!$F$39/10</f>
        <v>-508376.1</v>
      </c>
      <c r="AE35" s="292">
        <f>-Businessplan_prodej!$F$39/10</f>
        <v>-508376.1</v>
      </c>
      <c r="AF35" s="292">
        <f>-Businessplan_prodej!$F$39/10</f>
        <v>-508376.1</v>
      </c>
      <c r="AG35" s="292">
        <f>-Businessplan_prodej!$F$39/10</f>
        <v>-508376.1</v>
      </c>
      <c r="AH35" s="292">
        <f>-Businessplan_prodej!$F$39/10</f>
        <v>-508376.1</v>
      </c>
      <c r="AI35" s="292"/>
      <c r="AJ35" s="292"/>
      <c r="AK35" s="292"/>
      <c r="AL35" s="292"/>
      <c r="AM35" s="292"/>
      <c r="AN35" s="292"/>
      <c r="AO35" s="292"/>
      <c r="AP35" s="292"/>
      <c r="AQ35" s="292"/>
      <c r="AR35" s="292"/>
      <c r="AS35" s="292"/>
      <c r="AT35" s="292"/>
      <c r="AU35" s="292"/>
      <c r="AV35" s="292"/>
      <c r="AW35" s="292"/>
      <c r="AX35" s="292"/>
      <c r="AY35" s="292"/>
      <c r="AZ35" s="292"/>
      <c r="BA35" s="292"/>
      <c r="BB35" s="292"/>
      <c r="BC35" s="292"/>
      <c r="BD35" s="292"/>
      <c r="BE35" s="292"/>
      <c r="BF35" s="292"/>
      <c r="BG35" s="292"/>
      <c r="BH35" s="292"/>
      <c r="BI35" s="292"/>
      <c r="BJ35" s="292"/>
      <c r="BK35" s="292"/>
      <c r="BL35" s="292"/>
      <c r="BM35" s="292"/>
      <c r="BN35" s="292"/>
      <c r="BO35" s="292"/>
      <c r="BP35" s="292"/>
      <c r="BQ35" s="292"/>
      <c r="BR35" s="292"/>
      <c r="BS35" s="292"/>
      <c r="BT35" s="292"/>
      <c r="BU35" s="292"/>
      <c r="BV35" s="292"/>
      <c r="BW35" s="292"/>
      <c r="BX35" s="297"/>
      <c r="BY35" s="301">
        <f t="shared" si="11"/>
        <v>-5083761</v>
      </c>
      <c r="BZ35" s="631"/>
      <c r="CA35" s="265"/>
      <c r="CB35" s="289" t="e">
        <f>SUM(INDEX(AC35:BX35, , 1):INDEX(AC35:BX35, ,MATCH(#REF!, $E$3:$BX$3,0) ))</f>
        <v>#REF!</v>
      </c>
      <c r="CC35" s="631"/>
    </row>
    <row r="36" spans="2:81" ht="16" collapsed="1">
      <c r="B36" s="629"/>
      <c r="C36" s="285" t="s">
        <v>283</v>
      </c>
      <c r="D36" s="286"/>
      <c r="E36" s="287">
        <f t="shared" ref="E36:BX36" si="12">SUM(E37:E38)</f>
        <v>0</v>
      </c>
      <c r="F36" s="287">
        <f t="shared" si="12"/>
        <v>0</v>
      </c>
      <c r="G36" s="287">
        <f t="shared" si="12"/>
        <v>0</v>
      </c>
      <c r="H36" s="287">
        <f t="shared" si="12"/>
        <v>0</v>
      </c>
      <c r="I36" s="287">
        <f t="shared" si="12"/>
        <v>0</v>
      </c>
      <c r="J36" s="287">
        <f t="shared" si="12"/>
        <v>0</v>
      </c>
      <c r="K36" s="287">
        <f t="shared" si="12"/>
        <v>0</v>
      </c>
      <c r="L36" s="287">
        <f t="shared" si="12"/>
        <v>0</v>
      </c>
      <c r="M36" s="287">
        <f t="shared" si="12"/>
        <v>0</v>
      </c>
      <c r="N36" s="287">
        <f t="shared" si="12"/>
        <v>0</v>
      </c>
      <c r="O36" s="287">
        <f t="shared" si="12"/>
        <v>0</v>
      </c>
      <c r="P36" s="287">
        <f t="shared" si="12"/>
        <v>0</v>
      </c>
      <c r="Q36" s="287">
        <f t="shared" si="12"/>
        <v>0</v>
      </c>
      <c r="R36" s="287">
        <f t="shared" si="12"/>
        <v>0</v>
      </c>
      <c r="S36" s="287">
        <f t="shared" si="12"/>
        <v>0</v>
      </c>
      <c r="T36" s="287">
        <f t="shared" si="12"/>
        <v>0</v>
      </c>
      <c r="U36" s="287">
        <f t="shared" si="12"/>
        <v>0</v>
      </c>
      <c r="V36" s="287">
        <f t="shared" si="12"/>
        <v>0</v>
      </c>
      <c r="W36" s="287">
        <f t="shared" si="12"/>
        <v>0</v>
      </c>
      <c r="X36" s="287">
        <f t="shared" si="12"/>
        <v>0</v>
      </c>
      <c r="Y36" s="287">
        <f t="shared" si="12"/>
        <v>0</v>
      </c>
      <c r="Z36" s="287">
        <f t="shared" si="12"/>
        <v>0</v>
      </c>
      <c r="AA36" s="287">
        <f t="shared" si="12"/>
        <v>0</v>
      </c>
      <c r="AB36" s="287">
        <f t="shared" si="12"/>
        <v>0</v>
      </c>
      <c r="AC36" s="287">
        <f t="shared" si="12"/>
        <v>0</v>
      </c>
      <c r="AD36" s="287">
        <f t="shared" si="12"/>
        <v>0</v>
      </c>
      <c r="AE36" s="287">
        <f t="shared" si="12"/>
        <v>0</v>
      </c>
      <c r="AF36" s="287">
        <f t="shared" si="12"/>
        <v>0</v>
      </c>
      <c r="AG36" s="287">
        <f t="shared" si="12"/>
        <v>0</v>
      </c>
      <c r="AH36" s="287">
        <f t="shared" si="12"/>
        <v>0</v>
      </c>
      <c r="AI36" s="287">
        <f t="shared" si="12"/>
        <v>0</v>
      </c>
      <c r="AJ36" s="287">
        <f t="shared" si="12"/>
        <v>0</v>
      </c>
      <c r="AK36" s="287">
        <f t="shared" si="12"/>
        <v>0</v>
      </c>
      <c r="AL36" s="287">
        <f t="shared" si="12"/>
        <v>0</v>
      </c>
      <c r="AM36" s="287">
        <f t="shared" si="12"/>
        <v>0</v>
      </c>
      <c r="AN36" s="287">
        <f t="shared" si="12"/>
        <v>0</v>
      </c>
      <c r="AO36" s="287">
        <f t="shared" si="12"/>
        <v>0</v>
      </c>
      <c r="AP36" s="287">
        <f t="shared" si="12"/>
        <v>0</v>
      </c>
      <c r="AQ36" s="287">
        <f t="shared" si="12"/>
        <v>0</v>
      </c>
      <c r="AR36" s="287">
        <f t="shared" si="12"/>
        <v>0</v>
      </c>
      <c r="AS36" s="287">
        <f t="shared" si="12"/>
        <v>0</v>
      </c>
      <c r="AT36" s="287">
        <f t="shared" si="12"/>
        <v>0</v>
      </c>
      <c r="AU36" s="287">
        <f t="shared" si="12"/>
        <v>0</v>
      </c>
      <c r="AV36" s="287">
        <f t="shared" si="12"/>
        <v>0</v>
      </c>
      <c r="AW36" s="287">
        <f t="shared" si="12"/>
        <v>0</v>
      </c>
      <c r="AX36" s="287">
        <f t="shared" si="12"/>
        <v>0</v>
      </c>
      <c r="AY36" s="287">
        <f t="shared" si="12"/>
        <v>0</v>
      </c>
      <c r="AZ36" s="287">
        <f t="shared" si="12"/>
        <v>0</v>
      </c>
      <c r="BA36" s="287">
        <f t="shared" si="12"/>
        <v>0</v>
      </c>
      <c r="BB36" s="287">
        <f t="shared" si="12"/>
        <v>0</v>
      </c>
      <c r="BC36" s="287">
        <f t="shared" si="12"/>
        <v>0</v>
      </c>
      <c r="BD36" s="287">
        <f t="shared" si="12"/>
        <v>0</v>
      </c>
      <c r="BE36" s="287">
        <f t="shared" si="12"/>
        <v>0</v>
      </c>
      <c r="BF36" s="287">
        <f t="shared" si="12"/>
        <v>0</v>
      </c>
      <c r="BG36" s="287">
        <f t="shared" si="12"/>
        <v>0</v>
      </c>
      <c r="BH36" s="287">
        <f t="shared" si="12"/>
        <v>0</v>
      </c>
      <c r="BI36" s="287">
        <f t="shared" si="12"/>
        <v>0</v>
      </c>
      <c r="BJ36" s="287">
        <f t="shared" si="12"/>
        <v>0</v>
      </c>
      <c r="BK36" s="287">
        <f t="shared" si="12"/>
        <v>0</v>
      </c>
      <c r="BL36" s="287">
        <f t="shared" si="12"/>
        <v>0</v>
      </c>
      <c r="BM36" s="287">
        <f t="shared" si="12"/>
        <v>0</v>
      </c>
      <c r="BN36" s="287">
        <f t="shared" si="12"/>
        <v>0</v>
      </c>
      <c r="BO36" s="287">
        <f t="shared" si="12"/>
        <v>0</v>
      </c>
      <c r="BP36" s="287">
        <f t="shared" si="12"/>
        <v>0</v>
      </c>
      <c r="BQ36" s="287">
        <f t="shared" si="12"/>
        <v>0</v>
      </c>
      <c r="BR36" s="287">
        <f t="shared" si="12"/>
        <v>0</v>
      </c>
      <c r="BS36" s="287">
        <f t="shared" si="12"/>
        <v>0</v>
      </c>
      <c r="BT36" s="287">
        <f t="shared" si="12"/>
        <v>0</v>
      </c>
      <c r="BU36" s="287">
        <f t="shared" si="12"/>
        <v>0</v>
      </c>
      <c r="BV36" s="287">
        <f t="shared" si="12"/>
        <v>0</v>
      </c>
      <c r="BW36" s="287">
        <f t="shared" si="12"/>
        <v>0</v>
      </c>
      <c r="BX36" s="287">
        <f t="shared" si="12"/>
        <v>0</v>
      </c>
      <c r="BY36" s="289">
        <f>SUM(BY37:BY38)</f>
        <v>0</v>
      </c>
      <c r="BZ36" s="631"/>
      <c r="CA36" s="265"/>
      <c r="CB36" s="289" t="e">
        <f t="array" ref="CB36">SUM(INDEX(E36:BX36, , 1):INDEX(E36:BX36, ,MATCH($CB$4, $E$3:$BX$3,0) ))</f>
        <v>#N/A</v>
      </c>
      <c r="CC36" s="631"/>
    </row>
    <row r="37" spans="2:81" ht="16" hidden="1" outlineLevel="1">
      <c r="B37" s="629"/>
      <c r="C37" s="290" t="s">
        <v>284</v>
      </c>
      <c r="D37" s="291" t="s">
        <v>262</v>
      </c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/>
      <c r="R37" s="292"/>
      <c r="S37" s="302"/>
      <c r="T37" s="292"/>
      <c r="U37" s="292"/>
      <c r="V37" s="292"/>
      <c r="W37" s="292"/>
      <c r="X37" s="292"/>
      <c r="Y37" s="292"/>
      <c r="Z37" s="292"/>
      <c r="AA37" s="292"/>
      <c r="AB37" s="292"/>
      <c r="AC37" s="292"/>
      <c r="AD37" s="292"/>
      <c r="AE37" s="292"/>
      <c r="AF37" s="292"/>
      <c r="AG37" s="292"/>
      <c r="AH37" s="292"/>
      <c r="AI37" s="292"/>
      <c r="AJ37" s="292"/>
      <c r="AK37" s="292"/>
      <c r="AL37" s="292"/>
      <c r="AM37" s="292"/>
      <c r="AN37" s="292"/>
      <c r="AO37" s="292"/>
      <c r="AP37" s="292"/>
      <c r="AQ37" s="292"/>
      <c r="AR37" s="292"/>
      <c r="AS37" s="292"/>
      <c r="AT37" s="292"/>
      <c r="AU37" s="292"/>
      <c r="AV37" s="292"/>
      <c r="AW37" s="292"/>
      <c r="AX37" s="292"/>
      <c r="AY37" s="292"/>
      <c r="AZ37" s="292"/>
      <c r="BA37" s="292"/>
      <c r="BB37" s="292"/>
      <c r="BC37" s="292"/>
      <c r="BD37" s="292"/>
      <c r="BE37" s="292"/>
      <c r="BF37" s="292"/>
      <c r="BG37" s="292"/>
      <c r="BH37" s="292"/>
      <c r="BI37" s="292"/>
      <c r="BJ37" s="292"/>
      <c r="BK37" s="292"/>
      <c r="BL37" s="292"/>
      <c r="BM37" s="292"/>
      <c r="BN37" s="292"/>
      <c r="BO37" s="292"/>
      <c r="BP37" s="292"/>
      <c r="BQ37" s="292"/>
      <c r="BR37" s="292"/>
      <c r="BS37" s="292"/>
      <c r="BT37" s="292"/>
      <c r="BU37" s="292"/>
      <c r="BV37" s="292"/>
      <c r="BW37" s="292"/>
      <c r="BX37" s="297"/>
      <c r="BY37" s="298">
        <f t="shared" ref="BY37:BY38" si="13">SUM(E37:BX37)</f>
        <v>0</v>
      </c>
      <c r="BZ37" s="631"/>
      <c r="CA37" s="265"/>
      <c r="CB37" s="289" t="e">
        <f>SUM(INDEX(AC37:BX37, , 1):INDEX(AC37:BX37, ,MATCH(#REF!, $E$3:$BX$3,0) ))</f>
        <v>#REF!</v>
      </c>
      <c r="CC37" s="631"/>
    </row>
    <row r="38" spans="2:81" ht="16" hidden="1" outlineLevel="1">
      <c r="B38" s="629"/>
      <c r="C38" s="290" t="s">
        <v>285</v>
      </c>
      <c r="D38" s="294" t="s">
        <v>262</v>
      </c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/>
      <c r="R38" s="292"/>
      <c r="S38" s="302"/>
      <c r="T38" s="292"/>
      <c r="U38" s="292"/>
      <c r="V38" s="292"/>
      <c r="W38" s="292"/>
      <c r="X38" s="292"/>
      <c r="Y38" s="292"/>
      <c r="Z38" s="292"/>
      <c r="AA38" s="292"/>
      <c r="AB38" s="292"/>
      <c r="AC38" s="292"/>
      <c r="AD38" s="292"/>
      <c r="AE38" s="292"/>
      <c r="AF38" s="292"/>
      <c r="AG38" s="292"/>
      <c r="AH38" s="292"/>
      <c r="AI38" s="292"/>
      <c r="AJ38" s="292"/>
      <c r="AK38" s="292"/>
      <c r="AL38" s="292"/>
      <c r="AM38" s="292"/>
      <c r="AN38" s="292"/>
      <c r="AO38" s="292"/>
      <c r="AP38" s="292"/>
      <c r="AQ38" s="292"/>
      <c r="AR38" s="292"/>
      <c r="AS38" s="292"/>
      <c r="AT38" s="292"/>
      <c r="AU38" s="292"/>
      <c r="AV38" s="292"/>
      <c r="AW38" s="292"/>
      <c r="AX38" s="292"/>
      <c r="AY38" s="292"/>
      <c r="AZ38" s="292"/>
      <c r="BA38" s="292"/>
      <c r="BB38" s="292"/>
      <c r="BC38" s="292"/>
      <c r="BD38" s="292"/>
      <c r="BE38" s="292"/>
      <c r="BF38" s="292"/>
      <c r="BG38" s="292"/>
      <c r="BH38" s="292"/>
      <c r="BI38" s="292"/>
      <c r="BJ38" s="292"/>
      <c r="BK38" s="292"/>
      <c r="BL38" s="292"/>
      <c r="BM38" s="292"/>
      <c r="BN38" s="292"/>
      <c r="BO38" s="292"/>
      <c r="BP38" s="292"/>
      <c r="BQ38" s="292"/>
      <c r="BR38" s="292"/>
      <c r="BS38" s="292"/>
      <c r="BT38" s="292"/>
      <c r="BU38" s="292"/>
      <c r="BV38" s="292"/>
      <c r="BW38" s="292"/>
      <c r="BX38" s="297"/>
      <c r="BY38" s="301">
        <f t="shared" si="13"/>
        <v>0</v>
      </c>
      <c r="BZ38" s="631"/>
      <c r="CA38" s="265"/>
      <c r="CB38" s="289" t="e">
        <f>SUM(INDEX(AC38:BX38, , 1):INDEX(AC38:BX38, ,MATCH(#REF!, $E$3:$BX$3,0) ))</f>
        <v>#REF!</v>
      </c>
      <c r="CC38" s="631"/>
    </row>
    <row r="39" spans="2:81" ht="16">
      <c r="B39" s="629"/>
      <c r="C39" s="285" t="s">
        <v>286</v>
      </c>
      <c r="D39" s="286"/>
      <c r="E39" s="287">
        <f t="shared" ref="E39:AJ39" si="14">SUM(E40:E47)</f>
        <v>0</v>
      </c>
      <c r="F39" s="287">
        <f t="shared" si="14"/>
        <v>0</v>
      </c>
      <c r="G39" s="287">
        <f t="shared" si="14"/>
        <v>0</v>
      </c>
      <c r="H39" s="287">
        <f t="shared" si="14"/>
        <v>0</v>
      </c>
      <c r="I39" s="287">
        <f t="shared" si="14"/>
        <v>0</v>
      </c>
      <c r="J39" s="287">
        <f t="shared" si="14"/>
        <v>0</v>
      </c>
      <c r="K39" s="287">
        <f t="shared" si="14"/>
        <v>0</v>
      </c>
      <c r="L39" s="287">
        <f t="shared" si="14"/>
        <v>0</v>
      </c>
      <c r="M39" s="287">
        <f t="shared" si="14"/>
        <v>0</v>
      </c>
      <c r="N39" s="287">
        <f t="shared" si="14"/>
        <v>0</v>
      </c>
      <c r="O39" s="287">
        <f t="shared" si="14"/>
        <v>0</v>
      </c>
      <c r="P39" s="287">
        <f t="shared" si="14"/>
        <v>0</v>
      </c>
      <c r="Q39" s="287">
        <f t="shared" si="14"/>
        <v>0</v>
      </c>
      <c r="R39" s="287">
        <f t="shared" si="14"/>
        <v>0</v>
      </c>
      <c r="S39" s="287">
        <f t="shared" si="14"/>
        <v>0</v>
      </c>
      <c r="T39" s="287">
        <f t="shared" si="14"/>
        <v>0</v>
      </c>
      <c r="U39" s="287">
        <f t="shared" si="14"/>
        <v>0</v>
      </c>
      <c r="V39" s="287">
        <f t="shared" si="14"/>
        <v>0</v>
      </c>
      <c r="W39" s="287">
        <f t="shared" si="14"/>
        <v>-599094</v>
      </c>
      <c r="X39" s="287">
        <f t="shared" si="14"/>
        <v>-181080</v>
      </c>
      <c r="Y39" s="287">
        <f t="shared" si="14"/>
        <v>-592822.80257692316</v>
      </c>
      <c r="Z39" s="287">
        <f t="shared" si="14"/>
        <v>-1881260.5213269233</v>
      </c>
      <c r="AA39" s="287">
        <f t="shared" si="14"/>
        <v>-574581.78357692307</v>
      </c>
      <c r="AB39" s="287">
        <f t="shared" si="14"/>
        <v>-467822.80257692304</v>
      </c>
      <c r="AC39" s="287">
        <f t="shared" si="14"/>
        <v>-467822.80257692304</v>
      </c>
      <c r="AD39" s="287">
        <f t="shared" si="14"/>
        <v>-467822.80257692304</v>
      </c>
      <c r="AE39" s="287">
        <f t="shared" si="14"/>
        <v>-467822.80257692304</v>
      </c>
      <c r="AF39" s="287">
        <f t="shared" si="14"/>
        <v>-467822.80257692304</v>
      </c>
      <c r="AG39" s="287">
        <f t="shared" si="14"/>
        <v>-1614363.0688269231</v>
      </c>
      <c r="AH39" s="287">
        <f t="shared" si="14"/>
        <v>-574581.78357692307</v>
      </c>
      <c r="AI39" s="287">
        <f t="shared" si="14"/>
        <v>-82122.293076923088</v>
      </c>
      <c r="AJ39" s="287">
        <f t="shared" si="14"/>
        <v>0</v>
      </c>
      <c r="AK39" s="287">
        <f t="shared" ref="AK39:BP39" si="15">SUM(AK40:AK47)</f>
        <v>0</v>
      </c>
      <c r="AL39" s="287">
        <f t="shared" si="15"/>
        <v>0</v>
      </c>
      <c r="AM39" s="287">
        <f t="shared" si="15"/>
        <v>0</v>
      </c>
      <c r="AN39" s="287">
        <f t="shared" si="15"/>
        <v>0</v>
      </c>
      <c r="AO39" s="287">
        <f t="shared" si="15"/>
        <v>0</v>
      </c>
      <c r="AP39" s="287">
        <f t="shared" si="15"/>
        <v>0</v>
      </c>
      <c r="AQ39" s="287">
        <f t="shared" si="15"/>
        <v>0</v>
      </c>
      <c r="AR39" s="287">
        <f t="shared" si="15"/>
        <v>0</v>
      </c>
      <c r="AS39" s="287">
        <f t="shared" si="15"/>
        <v>0</v>
      </c>
      <c r="AT39" s="287">
        <f t="shared" si="15"/>
        <v>0</v>
      </c>
      <c r="AU39" s="287">
        <f t="shared" si="15"/>
        <v>0</v>
      </c>
      <c r="AV39" s="287">
        <f t="shared" si="15"/>
        <v>0</v>
      </c>
      <c r="AW39" s="287">
        <f t="shared" si="15"/>
        <v>0</v>
      </c>
      <c r="AX39" s="287">
        <f t="shared" si="15"/>
        <v>0</v>
      </c>
      <c r="AY39" s="287">
        <f t="shared" si="15"/>
        <v>0</v>
      </c>
      <c r="AZ39" s="287">
        <f t="shared" si="15"/>
        <v>0</v>
      </c>
      <c r="BA39" s="287">
        <f t="shared" si="15"/>
        <v>0</v>
      </c>
      <c r="BB39" s="287">
        <f t="shared" si="15"/>
        <v>0</v>
      </c>
      <c r="BC39" s="287">
        <f t="shared" si="15"/>
        <v>0</v>
      </c>
      <c r="BD39" s="287">
        <f t="shared" si="15"/>
        <v>0</v>
      </c>
      <c r="BE39" s="287">
        <f t="shared" si="15"/>
        <v>0</v>
      </c>
      <c r="BF39" s="287">
        <f t="shared" si="15"/>
        <v>0</v>
      </c>
      <c r="BG39" s="287">
        <f t="shared" si="15"/>
        <v>0</v>
      </c>
      <c r="BH39" s="287">
        <f t="shared" si="15"/>
        <v>0</v>
      </c>
      <c r="BI39" s="287">
        <f t="shared" si="15"/>
        <v>0</v>
      </c>
      <c r="BJ39" s="287">
        <f t="shared" si="15"/>
        <v>0</v>
      </c>
      <c r="BK39" s="287">
        <f t="shared" si="15"/>
        <v>0</v>
      </c>
      <c r="BL39" s="287">
        <f t="shared" si="15"/>
        <v>0</v>
      </c>
      <c r="BM39" s="287">
        <f t="shared" si="15"/>
        <v>0</v>
      </c>
      <c r="BN39" s="287">
        <f t="shared" si="15"/>
        <v>0</v>
      </c>
      <c r="BO39" s="287">
        <f t="shared" si="15"/>
        <v>0</v>
      </c>
      <c r="BP39" s="287">
        <f t="shared" si="15"/>
        <v>0</v>
      </c>
      <c r="BQ39" s="287">
        <f t="shared" ref="BQ39:BY39" si="16">SUM(BQ40:BQ47)</f>
        <v>0</v>
      </c>
      <c r="BR39" s="287">
        <f t="shared" si="16"/>
        <v>0</v>
      </c>
      <c r="BS39" s="287">
        <f t="shared" si="16"/>
        <v>0</v>
      </c>
      <c r="BT39" s="287">
        <f t="shared" si="16"/>
        <v>0</v>
      </c>
      <c r="BU39" s="287">
        <f t="shared" si="16"/>
        <v>0</v>
      </c>
      <c r="BV39" s="287">
        <f t="shared" si="16"/>
        <v>0</v>
      </c>
      <c r="BW39" s="287">
        <f t="shared" si="16"/>
        <v>0</v>
      </c>
      <c r="BX39" s="287">
        <f t="shared" si="16"/>
        <v>0</v>
      </c>
      <c r="BY39" s="289">
        <f t="shared" si="16"/>
        <v>-8439020.2658461537</v>
      </c>
      <c r="BZ39" s="631"/>
      <c r="CA39" s="265"/>
      <c r="CB39" s="289" t="e">
        <f t="array" ref="CB39">SUM(INDEX(E39:BX39, , 1):INDEX(E39:BX39, ,MATCH($CB$4, $E$3:$BX$3,0) ))</f>
        <v>#N/A</v>
      </c>
      <c r="CC39" s="631"/>
    </row>
    <row r="40" spans="2:81" ht="16" outlineLevel="1">
      <c r="B40" s="629"/>
      <c r="C40" s="300" t="s">
        <v>287</v>
      </c>
      <c r="D40" s="291" t="s">
        <v>262</v>
      </c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2"/>
      <c r="R40" s="292"/>
      <c r="S40" s="292"/>
      <c r="T40" s="292"/>
      <c r="U40" s="292"/>
      <c r="V40" s="292"/>
      <c r="W40" s="292">
        <f>-Businessplan_prodej!$F$54/12</f>
        <v>-181080</v>
      </c>
      <c r="X40" s="292">
        <f>-Businessplan_prodej!$F$54/12</f>
        <v>-181080</v>
      </c>
      <c r="Y40" s="292">
        <f>-Businessplan_prodej!$F$54/12</f>
        <v>-181080</v>
      </c>
      <c r="Z40" s="292">
        <f>-Businessplan_prodej!$F$54/12</f>
        <v>-181080</v>
      </c>
      <c r="AA40" s="292">
        <f>-Businessplan_prodej!$F$54/12</f>
        <v>-181080</v>
      </c>
      <c r="AB40" s="292">
        <f>-Businessplan_prodej!$F$54/12</f>
        <v>-181080</v>
      </c>
      <c r="AC40" s="292">
        <f>-Businessplan_prodej!$F$54/12</f>
        <v>-181080</v>
      </c>
      <c r="AD40" s="292">
        <f>-Businessplan_prodej!$F$54/12</f>
        <v>-181080</v>
      </c>
      <c r="AE40" s="292">
        <f>-Businessplan_prodej!$F$54/12</f>
        <v>-181080</v>
      </c>
      <c r="AF40" s="292">
        <f>-Businessplan_prodej!$F$54/12</f>
        <v>-181080</v>
      </c>
      <c r="AG40" s="292">
        <f>-Businessplan_prodej!$F$54/12</f>
        <v>-181080</v>
      </c>
      <c r="AH40" s="292">
        <f>-Businessplan_prodej!$F$54/12</f>
        <v>-181080</v>
      </c>
      <c r="AI40" s="292"/>
      <c r="AJ40" s="292"/>
      <c r="AK40" s="292"/>
      <c r="AL40" s="295"/>
      <c r="AM40" s="295"/>
      <c r="AN40" s="295"/>
      <c r="AO40" s="295"/>
      <c r="AP40" s="295"/>
      <c r="AQ40" s="295"/>
      <c r="AR40" s="295"/>
      <c r="AS40" s="295"/>
      <c r="AT40" s="295"/>
      <c r="AU40" s="295"/>
      <c r="AV40" s="295"/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/>
      <c r="BN40" s="295"/>
      <c r="BO40" s="295"/>
      <c r="BP40" s="295"/>
      <c r="BQ40" s="295"/>
      <c r="BR40" s="295"/>
      <c r="BS40" s="295"/>
      <c r="BT40" s="295"/>
      <c r="BU40" s="295"/>
      <c r="BV40" s="295"/>
      <c r="BW40" s="295"/>
      <c r="BX40" s="304"/>
      <c r="BY40" s="298">
        <f t="shared" ref="BY40:BY47" si="17">SUM(E40:BX40)</f>
        <v>-2172960</v>
      </c>
      <c r="BZ40" s="631"/>
      <c r="CA40" s="265"/>
      <c r="CB40" s="289" t="e">
        <f>SUM(INDEX(AC40:BX40, , 1):INDEX(AC40:BX40, ,MATCH(#REF!, $E$3:$BX$3,0) ))</f>
        <v>#REF!</v>
      </c>
      <c r="CC40" s="631"/>
    </row>
    <row r="41" spans="2:81" ht="16" outlineLevel="1">
      <c r="B41" s="629"/>
      <c r="C41" s="300" t="s">
        <v>288</v>
      </c>
      <c r="D41" s="291" t="s">
        <v>262</v>
      </c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2"/>
      <c r="Q41" s="292"/>
      <c r="R41" s="292"/>
      <c r="S41" s="292"/>
      <c r="T41" s="292"/>
      <c r="U41" s="292"/>
      <c r="V41" s="292"/>
      <c r="W41" s="292"/>
      <c r="X41" s="292"/>
      <c r="Y41" s="292">
        <f t="shared" ref="Y41:AH41" si="18">-258000</f>
        <v>-258000</v>
      </c>
      <c r="Z41" s="292">
        <f t="shared" si="18"/>
        <v>-258000</v>
      </c>
      <c r="AA41" s="292">
        <f t="shared" si="18"/>
        <v>-258000</v>
      </c>
      <c r="AB41" s="292">
        <f t="shared" si="18"/>
        <v>-258000</v>
      </c>
      <c r="AC41" s="292">
        <f t="shared" si="18"/>
        <v>-258000</v>
      </c>
      <c r="AD41" s="292">
        <f t="shared" si="18"/>
        <v>-258000</v>
      </c>
      <c r="AE41" s="292">
        <f t="shared" si="18"/>
        <v>-258000</v>
      </c>
      <c r="AF41" s="292">
        <f t="shared" si="18"/>
        <v>-258000</v>
      </c>
      <c r="AG41" s="292">
        <f t="shared" si="18"/>
        <v>-258000</v>
      </c>
      <c r="AH41" s="292">
        <f t="shared" si="18"/>
        <v>-258000</v>
      </c>
      <c r="AI41" s="292"/>
      <c r="AJ41" s="292"/>
      <c r="AK41" s="292"/>
      <c r="AL41" s="292"/>
      <c r="AM41" s="292"/>
      <c r="AN41" s="292"/>
      <c r="AO41" s="292"/>
      <c r="AP41" s="292"/>
      <c r="AQ41" s="292"/>
      <c r="AR41" s="292"/>
      <c r="AS41" s="292"/>
      <c r="AT41" s="292"/>
      <c r="AU41" s="292"/>
      <c r="AV41" s="292"/>
      <c r="AW41" s="292"/>
      <c r="AX41" s="292"/>
      <c r="AY41" s="292"/>
      <c r="AZ41" s="292"/>
      <c r="BA41" s="292"/>
      <c r="BB41" s="292"/>
      <c r="BC41" s="292"/>
      <c r="BD41" s="292"/>
      <c r="BE41" s="292"/>
      <c r="BF41" s="292"/>
      <c r="BG41" s="292"/>
      <c r="BH41" s="292"/>
      <c r="BI41" s="292"/>
      <c r="BJ41" s="292"/>
      <c r="BK41" s="292"/>
      <c r="BL41" s="292"/>
      <c r="BM41" s="292"/>
      <c r="BN41" s="295"/>
      <c r="BO41" s="295"/>
      <c r="BP41" s="295"/>
      <c r="BQ41" s="295"/>
      <c r="BR41" s="295"/>
      <c r="BS41" s="295"/>
      <c r="BT41" s="295"/>
      <c r="BU41" s="295"/>
      <c r="BV41" s="295"/>
      <c r="BW41" s="295"/>
      <c r="BX41" s="304"/>
      <c r="BY41" s="299">
        <f t="shared" si="17"/>
        <v>-2580000</v>
      </c>
      <c r="BZ41" s="631"/>
      <c r="CA41" s="265"/>
      <c r="CB41" s="289"/>
      <c r="CC41" s="631"/>
    </row>
    <row r="42" spans="2:81" ht="16" outlineLevel="1">
      <c r="B42" s="629"/>
      <c r="C42" s="539" t="str">
        <f>Businessplan_prodej!B60</f>
        <v>cost management VŘ GD</v>
      </c>
      <c r="D42" s="291" t="s">
        <v>262</v>
      </c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2"/>
      <c r="Q42" s="292"/>
      <c r="R42" s="292"/>
      <c r="S42" s="292"/>
      <c r="T42" s="292"/>
      <c r="U42" s="292"/>
      <c r="V42" s="292"/>
      <c r="W42" s="292"/>
      <c r="X42" s="292"/>
      <c r="Y42" s="292">
        <f>-Businessplan_prodej!$F$60</f>
        <v>-125000</v>
      </c>
      <c r="Z42" s="292"/>
      <c r="AA42" s="292"/>
      <c r="AB42" s="292"/>
      <c r="AC42" s="292"/>
      <c r="AD42" s="292"/>
      <c r="AE42" s="292"/>
      <c r="AF42" s="292"/>
      <c r="AG42" s="292"/>
      <c r="AH42" s="292"/>
      <c r="AI42" s="292"/>
      <c r="AJ42" s="295"/>
      <c r="AK42" s="295"/>
      <c r="AL42" s="295"/>
      <c r="AM42" s="295"/>
      <c r="AN42" s="295"/>
      <c r="AO42" s="295"/>
      <c r="AP42" s="295"/>
      <c r="AQ42" s="295"/>
      <c r="AR42" s="295"/>
      <c r="AS42" s="295"/>
      <c r="AT42" s="295"/>
      <c r="AU42" s="295"/>
      <c r="AV42" s="295"/>
      <c r="AW42" s="295"/>
      <c r="AX42" s="295"/>
      <c r="AY42" s="295"/>
      <c r="AZ42" s="295"/>
      <c r="BA42" s="295"/>
      <c r="BB42" s="295"/>
      <c r="BC42" s="295"/>
      <c r="BD42" s="295"/>
      <c r="BE42" s="295"/>
      <c r="BF42" s="295"/>
      <c r="BG42" s="295"/>
      <c r="BH42" s="295"/>
      <c r="BI42" s="295"/>
      <c r="BJ42" s="295"/>
      <c r="BK42" s="295"/>
      <c r="BL42" s="295"/>
      <c r="BM42" s="295"/>
      <c r="BN42" s="295"/>
      <c r="BO42" s="295"/>
      <c r="BP42" s="295"/>
      <c r="BQ42" s="295"/>
      <c r="BR42" s="295"/>
      <c r="BS42" s="295"/>
      <c r="BT42" s="295"/>
      <c r="BU42" s="295"/>
      <c r="BV42" s="295"/>
      <c r="BW42" s="295"/>
      <c r="BX42" s="304"/>
      <c r="BY42" s="299">
        <f t="shared" si="17"/>
        <v>-125000</v>
      </c>
      <c r="BZ42" s="631"/>
      <c r="CA42" s="265"/>
      <c r="CB42" s="289" t="e">
        <f t="shared" ref="CB42" si="19">SUM(INDEX(AC42:BX42, , 1):INDEX(AC42:BX42, ,MATCH(#REF!, $E$3:$BX$3,0) ))</f>
        <v>#REF!</v>
      </c>
      <c r="CC42" s="631"/>
    </row>
    <row r="43" spans="2:81" ht="16" outlineLevel="1">
      <c r="B43" s="629"/>
      <c r="C43" s="290" t="s">
        <v>289</v>
      </c>
      <c r="D43" s="291" t="s">
        <v>262</v>
      </c>
      <c r="E43" s="292"/>
      <c r="F43" s="292"/>
      <c r="G43" s="292"/>
      <c r="H43" s="292"/>
      <c r="I43" s="292"/>
      <c r="J43" s="292"/>
      <c r="K43" s="292"/>
      <c r="L43" s="292"/>
      <c r="M43" s="292"/>
      <c r="N43" s="292"/>
      <c r="O43" s="292"/>
      <c r="P43" s="302"/>
      <c r="Q43" s="302"/>
      <c r="R43" s="302"/>
      <c r="S43" s="302"/>
      <c r="T43" s="302"/>
      <c r="U43" s="292"/>
      <c r="V43" s="292"/>
      <c r="W43" s="292"/>
      <c r="X43" s="292"/>
      <c r="Y43" s="292">
        <f>-Businessplan_prodej!$F$62/13</f>
        <v>-12318.343961538463</v>
      </c>
      <c r="Z43" s="292">
        <f>-Businessplan_prodej!$F$62/13</f>
        <v>-12318.343961538463</v>
      </c>
      <c r="AA43" s="292">
        <f>-Businessplan_prodej!$F$62/13</f>
        <v>-12318.343961538463</v>
      </c>
      <c r="AB43" s="292">
        <f>-Businessplan_prodej!$F$62/13</f>
        <v>-12318.343961538463</v>
      </c>
      <c r="AC43" s="292">
        <f>-Businessplan_prodej!$F$62/13</f>
        <v>-12318.343961538463</v>
      </c>
      <c r="AD43" s="292">
        <f>-Businessplan_prodej!$F$62/13</f>
        <v>-12318.343961538463</v>
      </c>
      <c r="AE43" s="292">
        <f>-Businessplan_prodej!$F$62/13</f>
        <v>-12318.343961538463</v>
      </c>
      <c r="AF43" s="292">
        <f>-Businessplan_prodej!$F$62/13</f>
        <v>-12318.343961538463</v>
      </c>
      <c r="AG43" s="292">
        <f>-Businessplan_prodej!$F$62/13</f>
        <v>-12318.343961538463</v>
      </c>
      <c r="AH43" s="292">
        <f>-Businessplan_prodej!$F$62/13</f>
        <v>-12318.343961538463</v>
      </c>
      <c r="AI43" s="292">
        <f>-Businessplan_prodej!$F$62/13</f>
        <v>-12318.343961538463</v>
      </c>
      <c r="AJ43" s="302"/>
      <c r="AK43" s="292"/>
      <c r="AL43" s="292"/>
      <c r="AM43" s="292"/>
      <c r="AN43" s="292"/>
      <c r="AO43" s="292"/>
      <c r="AP43" s="292"/>
      <c r="AQ43" s="292"/>
      <c r="AR43" s="292"/>
      <c r="AS43" s="292"/>
      <c r="AT43" s="292"/>
      <c r="AU43" s="292"/>
      <c r="AV43" s="292"/>
      <c r="AW43" s="292"/>
      <c r="AX43" s="292"/>
      <c r="AY43" s="292"/>
      <c r="AZ43" s="292"/>
      <c r="BA43" s="292"/>
      <c r="BB43" s="292"/>
      <c r="BC43" s="292"/>
      <c r="BD43" s="292"/>
      <c r="BE43" s="292"/>
      <c r="BF43" s="292"/>
      <c r="BG43" s="292"/>
      <c r="BH43" s="292"/>
      <c r="BI43" s="292"/>
      <c r="BJ43" s="292"/>
      <c r="BK43" s="292"/>
      <c r="BL43" s="292"/>
      <c r="BM43" s="292"/>
      <c r="BN43" s="292"/>
      <c r="BO43" s="292"/>
      <c r="BP43" s="292"/>
      <c r="BQ43" s="292"/>
      <c r="BR43" s="292"/>
      <c r="BS43" s="292"/>
      <c r="BT43" s="292"/>
      <c r="BU43" s="292"/>
      <c r="BV43" s="292"/>
      <c r="BW43" s="292"/>
      <c r="BX43" s="297"/>
      <c r="BY43" s="299">
        <f t="shared" si="17"/>
        <v>-135501.78357692307</v>
      </c>
      <c r="BZ43" s="631"/>
      <c r="CA43" s="265"/>
      <c r="CB43" s="289" t="e">
        <f>SUM(INDEX(AC43:BX43, , 1):INDEX(AC43:BX43, ,MATCH(#REF!, $E$3:$BX$3,0) ))</f>
        <v>#REF!</v>
      </c>
      <c r="CC43" s="631"/>
    </row>
    <row r="44" spans="2:81" ht="16" outlineLevel="1">
      <c r="B44" s="629"/>
      <c r="C44" s="290" t="s">
        <v>290</v>
      </c>
      <c r="D44" s="291" t="s">
        <v>262</v>
      </c>
      <c r="E44" s="292"/>
      <c r="F44" s="292"/>
      <c r="G44" s="292"/>
      <c r="H44" s="292"/>
      <c r="I44" s="292"/>
      <c r="J44" s="292"/>
      <c r="K44" s="292"/>
      <c r="L44" s="292"/>
      <c r="M44" s="292"/>
      <c r="N44" s="292"/>
      <c r="O44" s="292"/>
      <c r="P44" s="292"/>
      <c r="Q44" s="292"/>
      <c r="R44" s="292"/>
      <c r="S44" s="292"/>
      <c r="T44" s="292"/>
      <c r="U44" s="292"/>
      <c r="V44" s="292"/>
      <c r="W44" s="292"/>
      <c r="X44" s="292"/>
      <c r="Y44" s="292">
        <f>-Businessplan_prodej!$F$63/13</f>
        <v>-16424.458615384614</v>
      </c>
      <c r="Z44" s="292">
        <f>-Businessplan_prodej!$F$63/13</f>
        <v>-16424.458615384614</v>
      </c>
      <c r="AA44" s="292">
        <f>-Businessplan_prodej!$F$63/13</f>
        <v>-16424.458615384614</v>
      </c>
      <c r="AB44" s="292">
        <f>-Businessplan_prodej!$F$63/13</f>
        <v>-16424.458615384614</v>
      </c>
      <c r="AC44" s="292">
        <f>-Businessplan_prodej!$F$63/13</f>
        <v>-16424.458615384614</v>
      </c>
      <c r="AD44" s="292">
        <f>-Businessplan_prodej!$F$63/13</f>
        <v>-16424.458615384614</v>
      </c>
      <c r="AE44" s="292">
        <f>-Businessplan_prodej!$F$63/13</f>
        <v>-16424.458615384614</v>
      </c>
      <c r="AF44" s="292">
        <f>-Businessplan_prodej!$F$63/13</f>
        <v>-16424.458615384614</v>
      </c>
      <c r="AG44" s="292">
        <f>-Businessplan_prodej!$F$63/13</f>
        <v>-16424.458615384614</v>
      </c>
      <c r="AH44" s="292">
        <f>-Businessplan_prodej!$F$63/13</f>
        <v>-16424.458615384614</v>
      </c>
      <c r="AI44" s="292">
        <f>-Businessplan_prodej!$F$63/13</f>
        <v>-16424.458615384614</v>
      </c>
      <c r="AJ44" s="292"/>
      <c r="AK44" s="292"/>
      <c r="AL44" s="292"/>
      <c r="AM44" s="292"/>
      <c r="AN44" s="292"/>
      <c r="AO44" s="292"/>
      <c r="AP44" s="292"/>
      <c r="AQ44" s="292"/>
      <c r="AR44" s="292"/>
      <c r="AS44" s="292"/>
      <c r="AT44" s="292"/>
      <c r="AU44" s="292"/>
      <c r="AV44" s="292"/>
      <c r="AW44" s="292"/>
      <c r="AX44" s="292"/>
      <c r="AY44" s="292"/>
      <c r="AZ44" s="292"/>
      <c r="BA44" s="292"/>
      <c r="BB44" s="292"/>
      <c r="BC44" s="292"/>
      <c r="BD44" s="292"/>
      <c r="BE44" s="292"/>
      <c r="BF44" s="292"/>
      <c r="BG44" s="292"/>
      <c r="BH44" s="292"/>
      <c r="BI44" s="292"/>
      <c r="BJ44" s="292"/>
      <c r="BK44" s="292"/>
      <c r="BL44" s="292"/>
      <c r="BM44" s="292"/>
      <c r="BN44" s="292"/>
      <c r="BO44" s="292"/>
      <c r="BP44" s="292"/>
      <c r="BQ44" s="292"/>
      <c r="BR44" s="292"/>
      <c r="BS44" s="292"/>
      <c r="BT44" s="292"/>
      <c r="BU44" s="292"/>
      <c r="BV44" s="292"/>
      <c r="BW44" s="292"/>
      <c r="BX44" s="297"/>
      <c r="BY44" s="299">
        <f t="shared" si="17"/>
        <v>-180669.04476923076</v>
      </c>
      <c r="BZ44" s="631"/>
      <c r="CA44" s="265"/>
      <c r="CB44" s="289" t="e">
        <f>SUM(INDEX(AC44:BX44, , 1):INDEX(AC44:BX44, ,MATCH(#REF!, $E$3:$BX$3,0) ))</f>
        <v>#REF!</v>
      </c>
      <c r="CC44" s="631"/>
    </row>
    <row r="45" spans="2:81" ht="14.25" customHeight="1" outlineLevel="1">
      <c r="B45" s="629"/>
      <c r="C45" s="290" t="s">
        <v>291</v>
      </c>
      <c r="D45" s="291" t="s">
        <v>262</v>
      </c>
      <c r="E45" s="292"/>
      <c r="F45" s="292"/>
      <c r="G45" s="292"/>
      <c r="H45" s="292"/>
      <c r="I45" s="292"/>
      <c r="J45" s="292"/>
      <c r="K45" s="292"/>
      <c r="L45" s="292"/>
      <c r="M45" s="292"/>
      <c r="N45" s="292"/>
      <c r="O45" s="292"/>
      <c r="P45" s="292"/>
      <c r="Q45" s="292"/>
      <c r="R45" s="292"/>
      <c r="S45" s="292"/>
      <c r="T45" s="292"/>
      <c r="U45" s="292"/>
      <c r="V45" s="292"/>
      <c r="W45" s="292"/>
      <c r="X45" s="292"/>
      <c r="Y45" s="292"/>
      <c r="Z45" s="292">
        <f>-Businessplan_prodej!$F$64*0.5</f>
        <v>-266897.45250000001</v>
      </c>
      <c r="AA45" s="292">
        <f>-Businessplan_prodej!$F$64*0.2</f>
        <v>-106758.98100000001</v>
      </c>
      <c r="AB45" s="292"/>
      <c r="AC45" s="292"/>
      <c r="AD45" s="292"/>
      <c r="AE45" s="292"/>
      <c r="AF45" s="292"/>
      <c r="AG45" s="292"/>
      <c r="AH45" s="292">
        <f>-Businessplan_prodej!$F$64*0.2</f>
        <v>-106758.98100000001</v>
      </c>
      <c r="AI45" s="292">
        <f>-Businessplan_prodej!$F$64*0.1</f>
        <v>-53379.490500000007</v>
      </c>
      <c r="AJ45" s="292"/>
      <c r="AK45" s="292"/>
      <c r="AL45" s="292"/>
      <c r="AM45" s="292"/>
      <c r="AN45" s="292"/>
      <c r="AO45" s="292"/>
      <c r="AP45" s="292"/>
      <c r="AQ45" s="292"/>
      <c r="AR45" s="292"/>
      <c r="AS45" s="292"/>
      <c r="AT45" s="292"/>
      <c r="AU45" s="292"/>
      <c r="AV45" s="292"/>
      <c r="AW45" s="292"/>
      <c r="AX45" s="292"/>
      <c r="AY45" s="292"/>
      <c r="AZ45" s="292"/>
      <c r="BA45" s="292"/>
      <c r="BB45" s="292"/>
      <c r="BC45" s="292"/>
      <c r="BD45" s="292"/>
      <c r="BE45" s="292"/>
      <c r="BF45" s="292"/>
      <c r="BG45" s="292"/>
      <c r="BH45" s="292"/>
      <c r="BI45" s="292"/>
      <c r="BJ45" s="292"/>
      <c r="BK45" s="292"/>
      <c r="BL45" s="292"/>
      <c r="BM45" s="292"/>
      <c r="BN45" s="292"/>
      <c r="BO45" s="292"/>
      <c r="BP45" s="292"/>
      <c r="BQ45" s="292"/>
      <c r="BR45" s="292"/>
      <c r="BS45" s="292"/>
      <c r="BT45" s="292"/>
      <c r="BU45" s="292"/>
      <c r="BV45" s="292"/>
      <c r="BW45" s="292"/>
      <c r="BX45" s="297"/>
      <c r="BY45" s="299">
        <f t="shared" si="17"/>
        <v>-533794.90500000003</v>
      </c>
      <c r="BZ45" s="631"/>
      <c r="CA45" s="265"/>
      <c r="CB45" s="289" t="e">
        <f>SUM(INDEX(AC45:BX45, , 1):INDEX(AC45:BX45, ,MATCH(CB1, $E$3:$BX$3,0) ))</f>
        <v>#N/A</v>
      </c>
      <c r="CC45" s="631"/>
    </row>
    <row r="46" spans="2:81" ht="14.25" customHeight="1" outlineLevel="1">
      <c r="B46" s="629"/>
      <c r="C46" s="290"/>
      <c r="D46" s="291" t="s">
        <v>262</v>
      </c>
      <c r="E46" s="292"/>
      <c r="F46" s="292"/>
      <c r="G46" s="292"/>
      <c r="H46" s="292"/>
      <c r="I46" s="292"/>
      <c r="J46" s="292"/>
      <c r="K46" s="292"/>
      <c r="L46" s="292"/>
      <c r="M46" s="292"/>
      <c r="N46" s="292"/>
      <c r="O46" s="292"/>
      <c r="P46" s="292"/>
      <c r="Q46" s="292"/>
      <c r="R46" s="292"/>
      <c r="S46" s="292"/>
      <c r="T46" s="292"/>
      <c r="U46" s="292"/>
      <c r="V46" s="292"/>
      <c r="W46" s="292">
        <f>-418014</f>
        <v>-418014</v>
      </c>
      <c r="X46" s="292"/>
      <c r="Y46" s="292"/>
      <c r="Z46" s="292"/>
      <c r="AA46" s="292"/>
      <c r="AB46" s="292"/>
      <c r="AC46" s="292"/>
      <c r="AD46" s="292"/>
      <c r="AE46" s="292"/>
      <c r="AF46" s="292"/>
      <c r="AG46" s="292"/>
      <c r="AH46" s="292"/>
      <c r="AI46" s="292"/>
      <c r="AJ46" s="292"/>
      <c r="AK46" s="292"/>
      <c r="AL46" s="292"/>
      <c r="AM46" s="292"/>
      <c r="AN46" s="292"/>
      <c r="AO46" s="292"/>
      <c r="AP46" s="292"/>
      <c r="AQ46" s="292"/>
      <c r="AR46" s="292"/>
      <c r="AS46" s="292"/>
      <c r="AT46" s="292"/>
      <c r="AU46" s="292"/>
      <c r="AV46" s="292"/>
      <c r="AW46" s="292"/>
      <c r="AX46" s="292"/>
      <c r="AY46" s="292"/>
      <c r="AZ46" s="292"/>
      <c r="BA46" s="292"/>
      <c r="BB46" s="292"/>
      <c r="BC46" s="292"/>
      <c r="BD46" s="292"/>
      <c r="BE46" s="292"/>
      <c r="BF46" s="292"/>
      <c r="BG46" s="292"/>
      <c r="BH46" s="292"/>
      <c r="BI46" s="292"/>
      <c r="BJ46" s="292"/>
      <c r="BK46" s="292"/>
      <c r="BL46" s="292"/>
      <c r="BM46" s="292"/>
      <c r="BN46" s="292"/>
      <c r="BO46" s="292"/>
      <c r="BP46" s="292"/>
      <c r="BQ46" s="292"/>
      <c r="BR46" s="292"/>
      <c r="BS46" s="292"/>
      <c r="BT46" s="292"/>
      <c r="BU46" s="292"/>
      <c r="BV46" s="292"/>
      <c r="BW46" s="292"/>
      <c r="BX46" s="297"/>
      <c r="BY46" s="299">
        <f t="shared" si="17"/>
        <v>-418014</v>
      </c>
      <c r="BZ46" s="631"/>
      <c r="CA46" s="265"/>
      <c r="CB46" s="289" t="e">
        <f>SUM(INDEX(AC46:BX46, , 1):INDEX(AC46:BX46, ,MATCH(CB2, $E$3:$BX$3,0) ))</f>
        <v>#N/A</v>
      </c>
      <c r="CC46" s="631"/>
    </row>
    <row r="47" spans="2:81" ht="14.25" customHeight="1" outlineLevel="1">
      <c r="B47" s="629"/>
      <c r="C47" s="290" t="s">
        <v>292</v>
      </c>
      <c r="D47" s="294" t="s">
        <v>262</v>
      </c>
      <c r="E47" s="292"/>
      <c r="F47" s="292"/>
      <c r="G47" s="292"/>
      <c r="H47" s="292"/>
      <c r="I47" s="292"/>
      <c r="J47" s="292"/>
      <c r="K47" s="292"/>
      <c r="L47" s="292"/>
      <c r="M47" s="292"/>
      <c r="N47" s="292"/>
      <c r="O47" s="292"/>
      <c r="P47" s="292"/>
      <c r="Q47" s="292"/>
      <c r="R47" s="292"/>
      <c r="S47" s="292"/>
      <c r="T47" s="292"/>
      <c r="U47" s="292"/>
      <c r="V47" s="292"/>
      <c r="W47" s="292"/>
      <c r="X47" s="292"/>
      <c r="Y47" s="292"/>
      <c r="Z47" s="292">
        <f>-Businessplan_prodej!$F$66/2</f>
        <v>-1146540.2662500001</v>
      </c>
      <c r="AA47" s="292"/>
      <c r="AB47" s="292"/>
      <c r="AC47" s="292"/>
      <c r="AD47" s="292"/>
      <c r="AE47" s="292"/>
      <c r="AF47" s="292"/>
      <c r="AG47" s="292">
        <f>-Businessplan_prodej!$F$66/2</f>
        <v>-1146540.2662500001</v>
      </c>
      <c r="AH47" s="292"/>
      <c r="AI47" s="292"/>
      <c r="AJ47" s="292"/>
      <c r="AK47" s="292"/>
      <c r="AL47" s="292"/>
      <c r="AM47" s="292"/>
      <c r="AN47" s="292"/>
      <c r="AO47" s="292"/>
      <c r="AP47" s="292"/>
      <c r="AQ47" s="292"/>
      <c r="AR47" s="292"/>
      <c r="AS47" s="292"/>
      <c r="AT47" s="292"/>
      <c r="AU47" s="292"/>
      <c r="AV47" s="292"/>
      <c r="AW47" s="292"/>
      <c r="AX47" s="292"/>
      <c r="AY47" s="292"/>
      <c r="AZ47" s="292"/>
      <c r="BA47" s="292"/>
      <c r="BB47" s="292"/>
      <c r="BC47" s="292"/>
      <c r="BD47" s="292"/>
      <c r="BE47" s="292"/>
      <c r="BF47" s="292"/>
      <c r="BG47" s="292"/>
      <c r="BH47" s="292"/>
      <c r="BI47" s="292"/>
      <c r="BJ47" s="292"/>
      <c r="BK47" s="292"/>
      <c r="BL47" s="292"/>
      <c r="BM47" s="292"/>
      <c r="BN47" s="292"/>
      <c r="BO47" s="292"/>
      <c r="BP47" s="292"/>
      <c r="BQ47" s="292"/>
      <c r="BR47" s="292"/>
      <c r="BS47" s="292"/>
      <c r="BT47" s="292"/>
      <c r="BU47" s="292"/>
      <c r="BV47" s="292"/>
      <c r="BW47" s="292"/>
      <c r="BX47" s="297"/>
      <c r="BY47" s="299">
        <f t="shared" si="17"/>
        <v>-2293080.5325000002</v>
      </c>
      <c r="BZ47" s="631"/>
      <c r="CA47" s="265"/>
      <c r="CB47" s="289" t="e">
        <f>SUM(INDEX(AC47:BX47, , 1):INDEX(AC47:BX47, ,MATCH(CB3, $E$3:$BX$3,0) ))</f>
        <v>#N/A</v>
      </c>
      <c r="CC47" s="631"/>
    </row>
    <row r="48" spans="2:81" ht="16">
      <c r="B48" s="629"/>
      <c r="C48" s="285" t="s">
        <v>293</v>
      </c>
      <c r="D48" s="286"/>
      <c r="E48" s="287">
        <f t="shared" ref="E48:BX48" si="20">SUM(E49:E53)</f>
        <v>0</v>
      </c>
      <c r="F48" s="287">
        <f t="shared" si="20"/>
        <v>0</v>
      </c>
      <c r="G48" s="287">
        <f t="shared" si="20"/>
        <v>0</v>
      </c>
      <c r="H48" s="287">
        <f t="shared" si="20"/>
        <v>0</v>
      </c>
      <c r="I48" s="287">
        <f t="shared" si="20"/>
        <v>0</v>
      </c>
      <c r="J48" s="287">
        <f t="shared" si="20"/>
        <v>0</v>
      </c>
      <c r="K48" s="287">
        <f t="shared" si="20"/>
        <v>0</v>
      </c>
      <c r="L48" s="287">
        <f t="shared" si="20"/>
        <v>0</v>
      </c>
      <c r="M48" s="287">
        <f t="shared" si="20"/>
        <v>0</v>
      </c>
      <c r="N48" s="287">
        <f t="shared" si="20"/>
        <v>0</v>
      </c>
      <c r="O48" s="287">
        <f t="shared" si="20"/>
        <v>0</v>
      </c>
      <c r="P48" s="287">
        <f t="shared" si="20"/>
        <v>0</v>
      </c>
      <c r="Q48" s="287">
        <f t="shared" si="20"/>
        <v>0</v>
      </c>
      <c r="R48" s="287">
        <f t="shared" si="20"/>
        <v>0</v>
      </c>
      <c r="S48" s="287">
        <f t="shared" si="20"/>
        <v>0</v>
      </c>
      <c r="T48" s="287">
        <f t="shared" si="20"/>
        <v>0</v>
      </c>
      <c r="U48" s="287">
        <f t="shared" si="20"/>
        <v>0</v>
      </c>
      <c r="V48" s="287">
        <f t="shared" si="20"/>
        <v>0</v>
      </c>
      <c r="W48" s="287">
        <f t="shared" si="20"/>
        <v>-1090.909090909091</v>
      </c>
      <c r="X48" s="287">
        <f t="shared" si="20"/>
        <v>-1090.909090909091</v>
      </c>
      <c r="Y48" s="287">
        <f t="shared" si="20"/>
        <v>-1090.909090909091</v>
      </c>
      <c r="Z48" s="287">
        <f t="shared" si="20"/>
        <v>-515714.14035915909</v>
      </c>
      <c r="AA48" s="287">
        <f t="shared" si="20"/>
        <v>-1090.909090909091</v>
      </c>
      <c r="AB48" s="287">
        <f t="shared" si="20"/>
        <v>-1090.909090909091</v>
      </c>
      <c r="AC48" s="287">
        <f t="shared" si="20"/>
        <v>-1090.909090909091</v>
      </c>
      <c r="AD48" s="287">
        <f t="shared" si="20"/>
        <v>-1090.909090909091</v>
      </c>
      <c r="AE48" s="287">
        <f t="shared" si="20"/>
        <v>-1090.909090909091</v>
      </c>
      <c r="AF48" s="287">
        <f t="shared" si="20"/>
        <v>-1090.909090909091</v>
      </c>
      <c r="AG48" s="287">
        <f t="shared" si="20"/>
        <v>-1090.909090909091</v>
      </c>
      <c r="AH48" s="287">
        <f t="shared" si="20"/>
        <v>-1090.909090909091</v>
      </c>
      <c r="AI48" s="287">
        <f t="shared" si="20"/>
        <v>-1090.909090909091</v>
      </c>
      <c r="AJ48" s="287">
        <f t="shared" si="20"/>
        <v>0</v>
      </c>
      <c r="AK48" s="287">
        <f t="shared" si="20"/>
        <v>0</v>
      </c>
      <c r="AL48" s="287">
        <f t="shared" si="20"/>
        <v>0</v>
      </c>
      <c r="AM48" s="287">
        <f t="shared" si="20"/>
        <v>0</v>
      </c>
      <c r="AN48" s="287">
        <f t="shared" si="20"/>
        <v>0</v>
      </c>
      <c r="AO48" s="287">
        <f t="shared" si="20"/>
        <v>0</v>
      </c>
      <c r="AP48" s="287">
        <f t="shared" si="20"/>
        <v>0</v>
      </c>
      <c r="AQ48" s="287">
        <f t="shared" si="20"/>
        <v>0</v>
      </c>
      <c r="AR48" s="287">
        <f t="shared" si="20"/>
        <v>0</v>
      </c>
      <c r="AS48" s="287">
        <f t="shared" si="20"/>
        <v>0</v>
      </c>
      <c r="AT48" s="287">
        <f t="shared" si="20"/>
        <v>0</v>
      </c>
      <c r="AU48" s="287">
        <f t="shared" si="20"/>
        <v>0</v>
      </c>
      <c r="AV48" s="287">
        <f t="shared" si="20"/>
        <v>0</v>
      </c>
      <c r="AW48" s="287">
        <f t="shared" si="20"/>
        <v>0</v>
      </c>
      <c r="AX48" s="287">
        <f t="shared" si="20"/>
        <v>0</v>
      </c>
      <c r="AY48" s="287">
        <f t="shared" si="20"/>
        <v>0</v>
      </c>
      <c r="AZ48" s="287">
        <f t="shared" si="20"/>
        <v>0</v>
      </c>
      <c r="BA48" s="287">
        <f t="shared" si="20"/>
        <v>0</v>
      </c>
      <c r="BB48" s="287">
        <f t="shared" si="20"/>
        <v>0</v>
      </c>
      <c r="BC48" s="287">
        <f t="shared" si="20"/>
        <v>0</v>
      </c>
      <c r="BD48" s="287">
        <f t="shared" si="20"/>
        <v>0</v>
      </c>
      <c r="BE48" s="287">
        <f t="shared" si="20"/>
        <v>0</v>
      </c>
      <c r="BF48" s="287">
        <f t="shared" si="20"/>
        <v>0</v>
      </c>
      <c r="BG48" s="287">
        <f t="shared" si="20"/>
        <v>0</v>
      </c>
      <c r="BH48" s="287">
        <f t="shared" si="20"/>
        <v>0</v>
      </c>
      <c r="BI48" s="287">
        <f t="shared" si="20"/>
        <v>0</v>
      </c>
      <c r="BJ48" s="287">
        <f t="shared" si="20"/>
        <v>0</v>
      </c>
      <c r="BK48" s="287">
        <f t="shared" si="20"/>
        <v>0</v>
      </c>
      <c r="BL48" s="287">
        <f t="shared" si="20"/>
        <v>0</v>
      </c>
      <c r="BM48" s="287">
        <f t="shared" si="20"/>
        <v>0</v>
      </c>
      <c r="BN48" s="287">
        <f t="shared" si="20"/>
        <v>0</v>
      </c>
      <c r="BO48" s="287">
        <f t="shared" si="20"/>
        <v>0</v>
      </c>
      <c r="BP48" s="287">
        <f t="shared" si="20"/>
        <v>0</v>
      </c>
      <c r="BQ48" s="287">
        <f t="shared" si="20"/>
        <v>0</v>
      </c>
      <c r="BR48" s="287">
        <f t="shared" si="20"/>
        <v>0</v>
      </c>
      <c r="BS48" s="287">
        <f t="shared" si="20"/>
        <v>0</v>
      </c>
      <c r="BT48" s="287">
        <f t="shared" si="20"/>
        <v>0</v>
      </c>
      <c r="BU48" s="287">
        <f t="shared" si="20"/>
        <v>0</v>
      </c>
      <c r="BV48" s="287">
        <f t="shared" si="20"/>
        <v>0</v>
      </c>
      <c r="BW48" s="287">
        <f t="shared" si="20"/>
        <v>0</v>
      </c>
      <c r="BX48" s="287">
        <f t="shared" si="20"/>
        <v>0</v>
      </c>
      <c r="BY48" s="289">
        <f>SUM(BY49:BY53)</f>
        <v>-528805.04945006815</v>
      </c>
      <c r="BZ48" s="631"/>
      <c r="CA48" s="265"/>
      <c r="CB48" s="289" t="e">
        <f t="array" ref="CB48">SUM(INDEX(E48:BX48, , 1):INDEX(E48:BX48, ,MATCH($CB$4, $E$3:$BX$3,0) ))</f>
        <v>#N/A</v>
      </c>
      <c r="CC48" s="631"/>
    </row>
    <row r="49" spans="2:81" ht="16" outlineLevel="1">
      <c r="B49" s="629"/>
      <c r="C49" s="290" t="s">
        <v>294</v>
      </c>
      <c r="D49" s="291" t="s">
        <v>262</v>
      </c>
      <c r="E49" s="292"/>
      <c r="F49" s="292"/>
      <c r="G49" s="292"/>
      <c r="H49" s="292"/>
      <c r="I49" s="292"/>
      <c r="J49" s="292"/>
      <c r="K49" s="292"/>
      <c r="L49" s="292"/>
      <c r="M49" s="292"/>
      <c r="N49" s="292"/>
      <c r="O49" s="292"/>
      <c r="P49" s="292"/>
      <c r="Q49" s="292"/>
      <c r="R49" s="292"/>
      <c r="S49" s="292"/>
      <c r="T49" s="292"/>
      <c r="U49" s="292"/>
      <c r="V49" s="292"/>
      <c r="W49" s="292"/>
      <c r="X49" s="292"/>
      <c r="Y49" s="292"/>
      <c r="Z49" s="292">
        <f>-Businessplan_prodej!$F$73</f>
        <v>-514623.23126824998</v>
      </c>
      <c r="AA49" s="292"/>
      <c r="AB49" s="292"/>
      <c r="AC49" s="292"/>
      <c r="AD49" s="292"/>
      <c r="AE49" s="292"/>
      <c r="AF49" s="292"/>
      <c r="AG49" s="292"/>
      <c r="AH49" s="292"/>
      <c r="AI49" s="292"/>
      <c r="AJ49" s="292"/>
      <c r="AK49" s="292"/>
      <c r="AL49" s="292"/>
      <c r="AM49" s="292"/>
      <c r="AN49" s="292"/>
      <c r="AO49" s="292"/>
      <c r="AP49" s="292"/>
      <c r="AQ49" s="292"/>
      <c r="AR49" s="292"/>
      <c r="AS49" s="292"/>
      <c r="AT49" s="292"/>
      <c r="AU49" s="292"/>
      <c r="AV49" s="292"/>
      <c r="AW49" s="292"/>
      <c r="AX49" s="292"/>
      <c r="AY49" s="292"/>
      <c r="AZ49" s="292"/>
      <c r="BA49" s="292"/>
      <c r="BB49" s="292"/>
      <c r="BC49" s="292"/>
      <c r="BD49" s="292"/>
      <c r="BE49" s="292"/>
      <c r="BF49" s="292"/>
      <c r="BG49" s="292"/>
      <c r="BH49" s="292"/>
      <c r="BI49" s="292"/>
      <c r="BJ49" s="292"/>
      <c r="BK49" s="292"/>
      <c r="BL49" s="292"/>
      <c r="BM49" s="292"/>
      <c r="BN49" s="292"/>
      <c r="BO49" s="292"/>
      <c r="BP49" s="292"/>
      <c r="BQ49" s="292"/>
      <c r="BR49" s="292"/>
      <c r="BS49" s="292"/>
      <c r="BT49" s="292"/>
      <c r="BU49" s="292"/>
      <c r="BV49" s="292"/>
      <c r="BW49" s="292"/>
      <c r="BX49" s="297"/>
      <c r="BY49" s="298">
        <f t="shared" ref="BY49:BY53" si="21">SUM(E49:BX49)</f>
        <v>-514623.23126824998</v>
      </c>
      <c r="BZ49" s="631"/>
      <c r="CA49" s="265"/>
      <c r="CB49" s="289" t="e">
        <f>SUM(INDEX(AC49:BX49, , 1):INDEX(AC49:BX49, ,MATCH(CB5, E4:BX4,0) ))</f>
        <v>#N/A</v>
      </c>
      <c r="CC49" s="631"/>
    </row>
    <row r="50" spans="2:81" ht="16" outlineLevel="1">
      <c r="B50" s="629"/>
      <c r="C50" s="290" t="s">
        <v>295</v>
      </c>
      <c r="D50" s="291" t="s">
        <v>262</v>
      </c>
      <c r="E50" s="292"/>
      <c r="F50" s="292"/>
      <c r="G50" s="292"/>
      <c r="H50" s="292"/>
      <c r="I50" s="292"/>
      <c r="J50" s="292"/>
      <c r="K50" s="292"/>
      <c r="L50" s="292"/>
      <c r="M50" s="292"/>
      <c r="N50" s="292"/>
      <c r="O50" s="292"/>
      <c r="P50" s="292"/>
      <c r="Q50" s="292"/>
      <c r="R50" s="292"/>
      <c r="S50" s="292"/>
      <c r="T50" s="292"/>
      <c r="U50" s="292"/>
      <c r="V50" s="292"/>
      <c r="W50" s="292"/>
      <c r="X50" s="292"/>
      <c r="Y50" s="292"/>
      <c r="Z50" s="292"/>
      <c r="AA50" s="292"/>
      <c r="AB50" s="292"/>
      <c r="AC50" s="292"/>
      <c r="AD50" s="292"/>
      <c r="AE50" s="292"/>
      <c r="AF50" s="292"/>
      <c r="AG50" s="292"/>
      <c r="AH50" s="292"/>
      <c r="AI50" s="292"/>
      <c r="AJ50" s="292"/>
      <c r="AK50" s="292"/>
      <c r="AL50" s="292"/>
      <c r="AM50" s="292"/>
      <c r="AN50" s="292"/>
      <c r="AO50" s="292"/>
      <c r="AP50" s="292"/>
      <c r="AQ50" s="292"/>
      <c r="AR50" s="292"/>
      <c r="AS50" s="292"/>
      <c r="AT50" s="292"/>
      <c r="AU50" s="292"/>
      <c r="AV50" s="292"/>
      <c r="AW50" s="292"/>
      <c r="AX50" s="292"/>
      <c r="AY50" s="292"/>
      <c r="AZ50" s="292"/>
      <c r="BA50" s="292"/>
      <c r="BB50" s="292"/>
      <c r="BC50" s="292"/>
      <c r="BD50" s="292"/>
      <c r="BE50" s="292"/>
      <c r="BF50" s="292"/>
      <c r="BG50" s="292"/>
      <c r="BH50" s="292"/>
      <c r="BI50" s="292"/>
      <c r="BJ50" s="292"/>
      <c r="BK50" s="292"/>
      <c r="BL50" s="292"/>
      <c r="BM50" s="292"/>
      <c r="BN50" s="292"/>
      <c r="BO50" s="292"/>
      <c r="BP50" s="292"/>
      <c r="BQ50" s="292"/>
      <c r="BR50" s="292"/>
      <c r="BS50" s="292"/>
      <c r="BT50" s="292"/>
      <c r="BU50" s="292"/>
      <c r="BV50" s="292"/>
      <c r="BW50" s="292"/>
      <c r="BX50" s="297"/>
      <c r="BY50" s="298">
        <f t="shared" si="21"/>
        <v>0</v>
      </c>
      <c r="BZ50" s="631"/>
      <c r="CA50" s="265"/>
      <c r="CB50" s="289" t="e">
        <f>SUM(INDEX(AC50:BX50, , 1):INDEX(AC50:BX50, ,MATCH(CB6, E5:BX5,0) ))</f>
        <v>#N/A</v>
      </c>
      <c r="CC50" s="631"/>
    </row>
    <row r="51" spans="2:81" ht="16" outlineLevel="1">
      <c r="B51" s="629"/>
      <c r="C51" s="290" t="s">
        <v>296</v>
      </c>
      <c r="D51" s="291" t="s">
        <v>262</v>
      </c>
      <c r="E51" s="292"/>
      <c r="F51" s="292"/>
      <c r="G51" s="292"/>
      <c r="H51" s="292"/>
      <c r="I51" s="292"/>
      <c r="J51" s="292"/>
      <c r="K51" s="292"/>
      <c r="L51" s="292"/>
      <c r="M51" s="292"/>
      <c r="N51" s="292"/>
      <c r="O51" s="292"/>
      <c r="P51" s="292"/>
      <c r="Q51" s="292"/>
      <c r="R51" s="292"/>
      <c r="S51" s="292"/>
      <c r="T51" s="292"/>
      <c r="U51" s="292"/>
      <c r="V51" s="292"/>
      <c r="W51" s="292"/>
      <c r="X51" s="292"/>
      <c r="Y51" s="292"/>
      <c r="Z51" s="292"/>
      <c r="AA51" s="292"/>
      <c r="AB51" s="292"/>
      <c r="AC51" s="292"/>
      <c r="AD51" s="292"/>
      <c r="AE51" s="292"/>
      <c r="AF51" s="292"/>
      <c r="AG51" s="292"/>
      <c r="AH51" s="292"/>
      <c r="AI51" s="292"/>
      <c r="AJ51" s="292"/>
      <c r="AK51" s="292"/>
      <c r="AL51" s="292"/>
      <c r="AM51" s="292"/>
      <c r="AN51" s="292"/>
      <c r="AO51" s="292"/>
      <c r="AP51" s="292"/>
      <c r="AQ51" s="292"/>
      <c r="AR51" s="292"/>
      <c r="AS51" s="292"/>
      <c r="AT51" s="292"/>
      <c r="AU51" s="292"/>
      <c r="AV51" s="292"/>
      <c r="AW51" s="292"/>
      <c r="AX51" s="292"/>
      <c r="AY51" s="292"/>
      <c r="AZ51" s="292"/>
      <c r="BA51" s="292"/>
      <c r="BB51" s="292"/>
      <c r="BC51" s="292"/>
      <c r="BD51" s="292"/>
      <c r="BE51" s="292"/>
      <c r="BF51" s="292"/>
      <c r="BG51" s="292"/>
      <c r="BH51" s="292"/>
      <c r="BI51" s="292"/>
      <c r="BJ51" s="292"/>
      <c r="BK51" s="292"/>
      <c r="BL51" s="292"/>
      <c r="BM51" s="292"/>
      <c r="BN51" s="292"/>
      <c r="BO51" s="292"/>
      <c r="BP51" s="292"/>
      <c r="BQ51" s="292"/>
      <c r="BR51" s="292"/>
      <c r="BS51" s="292"/>
      <c r="BT51" s="292"/>
      <c r="BU51" s="292"/>
      <c r="BV51" s="292"/>
      <c r="BW51" s="292"/>
      <c r="BX51" s="297"/>
      <c r="BY51" s="298">
        <f t="shared" si="21"/>
        <v>0</v>
      </c>
      <c r="BZ51" s="631"/>
      <c r="CA51" s="265"/>
      <c r="CB51" s="289" t="e">
        <f>SUM(INDEX(AC51:BX51, , 1):INDEX(AC51:BX51, ,MATCH(CB7, E6:BX6,0) ))</f>
        <v>#N/A</v>
      </c>
      <c r="CC51" s="631"/>
    </row>
    <row r="52" spans="2:81" ht="16" outlineLevel="1">
      <c r="B52" s="629"/>
      <c r="C52" s="290" t="s">
        <v>297</v>
      </c>
      <c r="D52" s="291" t="s">
        <v>262</v>
      </c>
      <c r="E52" s="292"/>
      <c r="F52" s="292"/>
      <c r="G52" s="292"/>
      <c r="H52" s="292"/>
      <c r="I52" s="292"/>
      <c r="J52" s="292"/>
      <c r="K52" s="292"/>
      <c r="L52" s="292"/>
      <c r="M52" s="292"/>
      <c r="N52" s="292"/>
      <c r="O52" s="292"/>
      <c r="P52" s="292"/>
      <c r="Q52" s="292"/>
      <c r="R52" s="292"/>
      <c r="S52" s="292"/>
      <c r="T52" s="292"/>
      <c r="U52" s="292"/>
      <c r="V52" s="292"/>
      <c r="W52" s="292">
        <f>-Businessplan_prodej!$F$76/11</f>
        <v>-1090.909090909091</v>
      </c>
      <c r="X52" s="292">
        <f>-Businessplan_prodej!$F$76/11</f>
        <v>-1090.909090909091</v>
      </c>
      <c r="Y52" s="292">
        <f>-Businessplan_prodej!$F$76/11</f>
        <v>-1090.909090909091</v>
      </c>
      <c r="Z52" s="292">
        <f>-Businessplan_prodej!$F$76/11</f>
        <v>-1090.909090909091</v>
      </c>
      <c r="AA52" s="292">
        <f>-Businessplan_prodej!$F$76/11</f>
        <v>-1090.909090909091</v>
      </c>
      <c r="AB52" s="292">
        <f>-Businessplan_prodej!$F$76/11</f>
        <v>-1090.909090909091</v>
      </c>
      <c r="AC52" s="292">
        <f>-Businessplan_prodej!$F$76/11</f>
        <v>-1090.909090909091</v>
      </c>
      <c r="AD52" s="292">
        <f>-Businessplan_prodej!$F$76/11</f>
        <v>-1090.909090909091</v>
      </c>
      <c r="AE52" s="292">
        <f>-Businessplan_prodej!$F$76/11</f>
        <v>-1090.909090909091</v>
      </c>
      <c r="AF52" s="292">
        <f>-Businessplan_prodej!$F$76/11</f>
        <v>-1090.909090909091</v>
      </c>
      <c r="AG52" s="292">
        <f>-Businessplan_prodej!$F$76/11</f>
        <v>-1090.909090909091</v>
      </c>
      <c r="AH52" s="292">
        <f>-Businessplan_prodej!$F$76/11</f>
        <v>-1090.909090909091</v>
      </c>
      <c r="AI52" s="292">
        <f>-Businessplan_prodej!$F$76/11</f>
        <v>-1090.909090909091</v>
      </c>
      <c r="AJ52" s="292"/>
      <c r="AK52" s="292"/>
      <c r="AL52" s="292"/>
      <c r="AM52" s="292"/>
      <c r="AN52" s="292"/>
      <c r="AO52" s="292"/>
      <c r="AP52" s="292"/>
      <c r="AQ52" s="292"/>
      <c r="AR52" s="292"/>
      <c r="AS52" s="292"/>
      <c r="AT52" s="292"/>
      <c r="AU52" s="292"/>
      <c r="AV52" s="292"/>
      <c r="AW52" s="292"/>
      <c r="AX52" s="292"/>
      <c r="AY52" s="292"/>
      <c r="AZ52" s="292"/>
      <c r="BA52" s="292"/>
      <c r="BB52" s="292"/>
      <c r="BC52" s="292"/>
      <c r="BD52" s="292"/>
      <c r="BE52" s="292"/>
      <c r="BF52" s="292"/>
      <c r="BG52" s="292"/>
      <c r="BH52" s="292"/>
      <c r="BI52" s="292"/>
      <c r="BJ52" s="292"/>
      <c r="BK52" s="292"/>
      <c r="BL52" s="292"/>
      <c r="BM52" s="292"/>
      <c r="BN52" s="292"/>
      <c r="BO52" s="292"/>
      <c r="BP52" s="292"/>
      <c r="BQ52" s="292"/>
      <c r="BR52" s="292"/>
      <c r="BS52" s="292"/>
      <c r="BT52" s="292"/>
      <c r="BU52" s="292"/>
      <c r="BV52" s="292"/>
      <c r="BW52" s="292"/>
      <c r="BX52" s="297"/>
      <c r="BY52" s="299">
        <f t="shared" si="21"/>
        <v>-14181.818181818187</v>
      </c>
      <c r="BZ52" s="631"/>
      <c r="CA52" s="265"/>
      <c r="CB52" s="289" t="e">
        <f>SUM(INDEX(AC52:BX52, , 1):INDEX(AC52:BX52, ,MATCH(CB8, E7:BX7,0) ))</f>
        <v>#N/A</v>
      </c>
      <c r="CC52" s="631"/>
    </row>
    <row r="53" spans="2:81" ht="16" outlineLevel="1">
      <c r="B53" s="629"/>
      <c r="C53" s="290" t="s">
        <v>298</v>
      </c>
      <c r="D53" s="294" t="s">
        <v>262</v>
      </c>
      <c r="E53" s="295"/>
      <c r="F53" s="295"/>
      <c r="G53" s="292"/>
      <c r="H53" s="292"/>
      <c r="I53" s="292"/>
      <c r="J53" s="292"/>
      <c r="K53" s="292"/>
      <c r="L53" s="292"/>
      <c r="M53" s="292"/>
      <c r="N53" s="292"/>
      <c r="O53" s="292"/>
      <c r="P53" s="292"/>
      <c r="Q53" s="292"/>
      <c r="R53" s="292"/>
      <c r="S53" s="292"/>
      <c r="T53" s="292"/>
      <c r="U53" s="292"/>
      <c r="V53" s="292"/>
      <c r="W53" s="292"/>
      <c r="X53" s="292"/>
      <c r="Y53" s="292"/>
      <c r="Z53" s="292"/>
      <c r="AA53" s="292"/>
      <c r="AB53" s="292"/>
      <c r="AC53" s="292"/>
      <c r="AD53" s="292"/>
      <c r="AE53" s="292"/>
      <c r="AF53" s="292"/>
      <c r="AG53" s="292"/>
      <c r="AH53" s="292"/>
      <c r="AI53" s="292"/>
      <c r="AJ53" s="292"/>
      <c r="AK53" s="292"/>
      <c r="AL53" s="292"/>
      <c r="AM53" s="292"/>
      <c r="AN53" s="292"/>
      <c r="AO53" s="292"/>
      <c r="AP53" s="292"/>
      <c r="AQ53" s="292"/>
      <c r="AR53" s="292"/>
      <c r="AS53" s="292"/>
      <c r="AT53" s="292"/>
      <c r="AU53" s="292"/>
      <c r="AV53" s="292"/>
      <c r="AW53" s="292"/>
      <c r="AX53" s="292"/>
      <c r="AY53" s="292"/>
      <c r="AZ53" s="292"/>
      <c r="BA53" s="292"/>
      <c r="BB53" s="292"/>
      <c r="BC53" s="292"/>
      <c r="BD53" s="292"/>
      <c r="BE53" s="292"/>
      <c r="BF53" s="292"/>
      <c r="BG53" s="292"/>
      <c r="BH53" s="292"/>
      <c r="BI53" s="292"/>
      <c r="BJ53" s="292"/>
      <c r="BK53" s="292"/>
      <c r="BL53" s="292"/>
      <c r="BM53" s="292"/>
      <c r="BN53" s="292"/>
      <c r="BO53" s="292"/>
      <c r="BP53" s="292"/>
      <c r="BQ53" s="292"/>
      <c r="BR53" s="292"/>
      <c r="BS53" s="292"/>
      <c r="BT53" s="292"/>
      <c r="BU53" s="292"/>
      <c r="BV53" s="292"/>
      <c r="BW53" s="292"/>
      <c r="BX53" s="297"/>
      <c r="BY53" s="301">
        <f t="shared" si="21"/>
        <v>0</v>
      </c>
      <c r="BZ53" s="631"/>
      <c r="CA53" s="265"/>
      <c r="CB53" s="289" t="e">
        <f>SUM(INDEX(AC53:BX53, , 1):INDEX(AC53:BX53, ,MATCH(CB9, E8:BX8,0) ))</f>
        <v>#N/A</v>
      </c>
      <c r="CC53" s="631"/>
    </row>
    <row r="54" spans="2:81" ht="16" collapsed="1">
      <c r="B54" s="629"/>
      <c r="C54" s="285" t="s">
        <v>299</v>
      </c>
      <c r="D54" s="286"/>
      <c r="E54" s="287">
        <f t="shared" ref="E54:BX54" si="22">SUM(E55:E61)</f>
        <v>0</v>
      </c>
      <c r="F54" s="287">
        <f t="shared" si="22"/>
        <v>0</v>
      </c>
      <c r="G54" s="287">
        <f t="shared" si="22"/>
        <v>0</v>
      </c>
      <c r="H54" s="287">
        <f t="shared" si="22"/>
        <v>0</v>
      </c>
      <c r="I54" s="287">
        <f t="shared" si="22"/>
        <v>0</v>
      </c>
      <c r="J54" s="287">
        <f t="shared" si="22"/>
        <v>0</v>
      </c>
      <c r="K54" s="287">
        <f t="shared" si="22"/>
        <v>0</v>
      </c>
      <c r="L54" s="287">
        <f t="shared" si="22"/>
        <v>0</v>
      </c>
      <c r="M54" s="287">
        <f t="shared" si="22"/>
        <v>0</v>
      </c>
      <c r="N54" s="287">
        <f t="shared" si="22"/>
        <v>0</v>
      </c>
      <c r="O54" s="287">
        <f t="shared" si="22"/>
        <v>0</v>
      </c>
      <c r="P54" s="287">
        <f t="shared" si="22"/>
        <v>0</v>
      </c>
      <c r="Q54" s="287">
        <f t="shared" si="22"/>
        <v>0</v>
      </c>
      <c r="R54" s="287">
        <f t="shared" si="22"/>
        <v>0</v>
      </c>
      <c r="S54" s="287">
        <f t="shared" si="22"/>
        <v>0</v>
      </c>
      <c r="T54" s="287">
        <f t="shared" si="22"/>
        <v>0</v>
      </c>
      <c r="U54" s="287">
        <f t="shared" si="22"/>
        <v>0</v>
      </c>
      <c r="V54" s="287">
        <f t="shared" si="22"/>
        <v>0</v>
      </c>
      <c r="W54" s="287">
        <f t="shared" si="22"/>
        <v>0</v>
      </c>
      <c r="X54" s="287">
        <f t="shared" si="22"/>
        <v>0</v>
      </c>
      <c r="Y54" s="287">
        <f t="shared" si="22"/>
        <v>0</v>
      </c>
      <c r="Z54" s="287">
        <f t="shared" si="22"/>
        <v>-16250</v>
      </c>
      <c r="AA54" s="287">
        <f t="shared" si="22"/>
        <v>-51025</v>
      </c>
      <c r="AB54" s="287">
        <f t="shared" si="22"/>
        <v>-85800</v>
      </c>
      <c r="AC54" s="287">
        <f t="shared" si="22"/>
        <v>-120575</v>
      </c>
      <c r="AD54" s="287">
        <f t="shared" si="22"/>
        <v>-155350</v>
      </c>
      <c r="AE54" s="287">
        <f t="shared" si="22"/>
        <v>-190125</v>
      </c>
      <c r="AF54" s="287">
        <f t="shared" si="22"/>
        <v>-224900</v>
      </c>
      <c r="AG54" s="287">
        <f t="shared" si="22"/>
        <v>-263900</v>
      </c>
      <c r="AH54" s="287">
        <f t="shared" si="22"/>
        <v>-296400</v>
      </c>
      <c r="AI54" s="287">
        <f t="shared" si="22"/>
        <v>-6415149.9999999991</v>
      </c>
      <c r="AJ54" s="287">
        <f t="shared" si="22"/>
        <v>0</v>
      </c>
      <c r="AK54" s="287">
        <f t="shared" si="22"/>
        <v>0</v>
      </c>
      <c r="AL54" s="287">
        <f t="shared" si="22"/>
        <v>0</v>
      </c>
      <c r="AM54" s="287">
        <f t="shared" si="22"/>
        <v>0</v>
      </c>
      <c r="AN54" s="287">
        <f t="shared" si="22"/>
        <v>0</v>
      </c>
      <c r="AO54" s="287">
        <f t="shared" si="22"/>
        <v>0</v>
      </c>
      <c r="AP54" s="287">
        <f t="shared" si="22"/>
        <v>0</v>
      </c>
      <c r="AQ54" s="287">
        <f t="shared" si="22"/>
        <v>0</v>
      </c>
      <c r="AR54" s="287">
        <f t="shared" si="22"/>
        <v>0</v>
      </c>
      <c r="AS54" s="287">
        <f t="shared" si="22"/>
        <v>0</v>
      </c>
      <c r="AT54" s="287">
        <f t="shared" si="22"/>
        <v>0</v>
      </c>
      <c r="AU54" s="287">
        <f t="shared" si="22"/>
        <v>0</v>
      </c>
      <c r="AV54" s="287">
        <f t="shared" si="22"/>
        <v>0</v>
      </c>
      <c r="AW54" s="287">
        <f t="shared" si="22"/>
        <v>0</v>
      </c>
      <c r="AX54" s="287">
        <f t="shared" si="22"/>
        <v>0</v>
      </c>
      <c r="AY54" s="287">
        <f t="shared" si="22"/>
        <v>0</v>
      </c>
      <c r="AZ54" s="287">
        <f t="shared" si="22"/>
        <v>0</v>
      </c>
      <c r="BA54" s="287">
        <f t="shared" si="22"/>
        <v>0</v>
      </c>
      <c r="BB54" s="287">
        <f t="shared" si="22"/>
        <v>0</v>
      </c>
      <c r="BC54" s="287">
        <f t="shared" si="22"/>
        <v>0</v>
      </c>
      <c r="BD54" s="287">
        <f t="shared" si="22"/>
        <v>0</v>
      </c>
      <c r="BE54" s="287">
        <f t="shared" si="22"/>
        <v>0</v>
      </c>
      <c r="BF54" s="287">
        <f t="shared" si="22"/>
        <v>0</v>
      </c>
      <c r="BG54" s="287">
        <f t="shared" si="22"/>
        <v>0</v>
      </c>
      <c r="BH54" s="287">
        <f t="shared" si="22"/>
        <v>0</v>
      </c>
      <c r="BI54" s="287">
        <f t="shared" si="22"/>
        <v>0</v>
      </c>
      <c r="BJ54" s="287">
        <f t="shared" si="22"/>
        <v>0</v>
      </c>
      <c r="BK54" s="287">
        <f t="shared" si="22"/>
        <v>0</v>
      </c>
      <c r="BL54" s="287">
        <f t="shared" si="22"/>
        <v>0</v>
      </c>
      <c r="BM54" s="287">
        <f t="shared" si="22"/>
        <v>0</v>
      </c>
      <c r="BN54" s="287">
        <f t="shared" si="22"/>
        <v>0</v>
      </c>
      <c r="BO54" s="287">
        <f t="shared" si="22"/>
        <v>0</v>
      </c>
      <c r="BP54" s="287">
        <f t="shared" si="22"/>
        <v>0</v>
      </c>
      <c r="BQ54" s="287">
        <f t="shared" si="22"/>
        <v>0</v>
      </c>
      <c r="BR54" s="287">
        <f t="shared" si="22"/>
        <v>0</v>
      </c>
      <c r="BS54" s="287">
        <f t="shared" si="22"/>
        <v>0</v>
      </c>
      <c r="BT54" s="287">
        <f t="shared" si="22"/>
        <v>0</v>
      </c>
      <c r="BU54" s="287">
        <f t="shared" si="22"/>
        <v>0</v>
      </c>
      <c r="BV54" s="287">
        <f t="shared" si="22"/>
        <v>0</v>
      </c>
      <c r="BW54" s="287">
        <f t="shared" si="22"/>
        <v>0</v>
      </c>
      <c r="BX54" s="287">
        <f t="shared" si="22"/>
        <v>0</v>
      </c>
      <c r="BY54" s="289">
        <f>SUM(BY55:BY61)</f>
        <v>-7819474.9999999991</v>
      </c>
      <c r="BZ54" s="631"/>
      <c r="CA54" s="265"/>
      <c r="CB54" s="289" t="e">
        <f t="array" ref="CB54">SUM(INDEX(E54:BX54, , 1):INDEX(E54:BX54, ,MATCH($CB$4, $E$3:$BX$3,0) ))</f>
        <v>#N/A</v>
      </c>
      <c r="CC54" s="631"/>
    </row>
    <row r="55" spans="2:81" ht="16" hidden="1" outlineLevel="1">
      <c r="B55" s="629"/>
      <c r="C55" s="290" t="s">
        <v>300</v>
      </c>
      <c r="D55" s="305">
        <v>0.11</v>
      </c>
      <c r="E55" s="292"/>
      <c r="F55" s="292"/>
      <c r="G55" s="292"/>
      <c r="H55" s="292"/>
      <c r="I55" s="292"/>
      <c r="J55" s="292"/>
      <c r="K55" s="292"/>
      <c r="L55" s="292"/>
      <c r="M55" s="292"/>
      <c r="N55" s="292"/>
      <c r="O55" s="292"/>
      <c r="P55" s="292"/>
      <c r="Q55" s="292"/>
      <c r="R55" s="292"/>
      <c r="S55" s="292"/>
      <c r="T55" s="292"/>
      <c r="U55" s="292"/>
      <c r="V55" s="292"/>
      <c r="W55" s="292"/>
      <c r="X55" s="292"/>
      <c r="Y55" s="292"/>
      <c r="Z55" s="292"/>
      <c r="AA55" s="292"/>
      <c r="AB55" s="292"/>
      <c r="AC55" s="292"/>
      <c r="AD55" s="292"/>
      <c r="AE55" s="292"/>
      <c r="AF55" s="292"/>
      <c r="AG55" s="292"/>
      <c r="AH55" s="292"/>
      <c r="AI55" s="292"/>
      <c r="AJ55" s="292"/>
      <c r="AK55" s="292"/>
      <c r="AL55" s="292"/>
      <c r="AM55" s="292"/>
      <c r="AN55" s="292"/>
      <c r="AO55" s="292"/>
      <c r="AP55" s="292"/>
      <c r="AQ55" s="292"/>
      <c r="AR55" s="292"/>
      <c r="AS55" s="292"/>
      <c r="AT55" s="292"/>
      <c r="AU55" s="292"/>
      <c r="AV55" s="292"/>
      <c r="AW55" s="292"/>
      <c r="AX55" s="292"/>
      <c r="AY55" s="292"/>
      <c r="AZ55" s="292"/>
      <c r="BA55" s="292"/>
      <c r="BB55" s="292"/>
      <c r="BC55" s="292"/>
      <c r="BD55" s="292"/>
      <c r="BE55" s="292"/>
      <c r="BF55" s="292"/>
      <c r="BG55" s="292"/>
      <c r="BH55" s="292"/>
      <c r="BI55" s="292"/>
      <c r="BJ55" s="292"/>
      <c r="BK55" s="292"/>
      <c r="BL55" s="292"/>
      <c r="BM55" s="297"/>
      <c r="BN55" s="297"/>
      <c r="BO55" s="297"/>
      <c r="BP55" s="297"/>
      <c r="BQ55" s="297"/>
      <c r="BR55" s="297"/>
      <c r="BS55" s="297"/>
      <c r="BT55" s="297"/>
      <c r="BU55" s="297"/>
      <c r="BV55" s="297"/>
      <c r="BW55" s="297"/>
      <c r="BX55" s="297"/>
      <c r="BY55" s="306">
        <f t="shared" ref="BY55:BY61" si="23">SUM(E55:BX55)</f>
        <v>0</v>
      </c>
      <c r="BZ55" s="631"/>
      <c r="CA55" s="265"/>
      <c r="CB55" s="289" t="e">
        <f>SUM(INDEX(AC55:BX55, , 1):INDEX(AC55:BX55, ,MATCH(CB11, E10:BX10,0) ))</f>
        <v>#N/A</v>
      </c>
      <c r="CC55" s="631"/>
    </row>
    <row r="56" spans="2:81" ht="16" hidden="1" outlineLevel="1">
      <c r="B56" s="629"/>
      <c r="C56" s="290" t="s">
        <v>301</v>
      </c>
      <c r="D56" s="305">
        <v>0.11</v>
      </c>
      <c r="E56" s="292"/>
      <c r="F56" s="292"/>
      <c r="G56" s="292"/>
      <c r="H56" s="292"/>
      <c r="I56" s="292"/>
      <c r="J56" s="292"/>
      <c r="K56" s="292"/>
      <c r="L56" s="292"/>
      <c r="M56" s="292"/>
      <c r="N56" s="292"/>
      <c r="O56" s="292"/>
      <c r="P56" s="292"/>
      <c r="Q56" s="292"/>
      <c r="R56" s="292"/>
      <c r="S56" s="292"/>
      <c r="T56" s="292"/>
      <c r="U56" s="292"/>
      <c r="V56" s="292"/>
      <c r="W56" s="292"/>
      <c r="X56" s="292"/>
      <c r="Y56" s="292"/>
      <c r="Z56" s="292"/>
      <c r="AA56" s="292"/>
      <c r="AB56" s="292"/>
      <c r="AC56" s="292"/>
      <c r="AD56" s="292"/>
      <c r="AE56" s="292"/>
      <c r="AF56" s="292"/>
      <c r="AG56" s="292"/>
      <c r="AH56" s="292"/>
      <c r="AI56" s="292">
        <f>-SUM('Interest Calc EQ'!O22:O37)-'Interest Calc EQ'!O37</f>
        <v>-6118749.9999999991</v>
      </c>
      <c r="AJ56" s="292"/>
      <c r="AK56" s="292"/>
      <c r="AL56" s="292"/>
      <c r="AM56" s="292"/>
      <c r="AN56" s="292"/>
      <c r="AO56" s="292"/>
      <c r="AP56" s="292"/>
      <c r="AQ56" s="292"/>
      <c r="AR56" s="292"/>
      <c r="AS56" s="292"/>
      <c r="AT56" s="292"/>
      <c r="AU56" s="292"/>
      <c r="AV56" s="292"/>
      <c r="AW56" s="292"/>
      <c r="AX56" s="292"/>
      <c r="AY56" s="292"/>
      <c r="AZ56" s="292"/>
      <c r="BA56" s="292"/>
      <c r="BB56" s="292"/>
      <c r="BC56" s="292"/>
      <c r="BD56" s="292"/>
      <c r="BE56" s="292"/>
      <c r="BF56" s="292"/>
      <c r="BG56" s="292"/>
      <c r="BH56" s="292"/>
      <c r="BI56" s="292"/>
      <c r="BJ56" s="292"/>
      <c r="BK56" s="292"/>
      <c r="BL56" s="292"/>
      <c r="BM56" s="297"/>
      <c r="BN56" s="297"/>
      <c r="BO56" s="297"/>
      <c r="BP56" s="297"/>
      <c r="BQ56" s="297"/>
      <c r="BR56" s="297"/>
      <c r="BS56" s="297"/>
      <c r="BT56" s="297"/>
      <c r="BU56" s="297"/>
      <c r="BV56" s="297"/>
      <c r="BW56" s="297"/>
      <c r="BX56" s="297"/>
      <c r="BY56" s="307">
        <f t="shared" si="23"/>
        <v>-6118749.9999999991</v>
      </c>
      <c r="BZ56" s="631"/>
      <c r="CA56" s="265"/>
      <c r="CB56" s="289" t="e">
        <f>SUM(INDEX(AC56:BX56, , 1):INDEX(AC56:BX56, ,MATCH(CB12, E11:BX11,0) ))</f>
        <v>#N/A</v>
      </c>
      <c r="CC56" s="631"/>
    </row>
    <row r="57" spans="2:81" ht="16" hidden="1" outlineLevel="1">
      <c r="B57" s="629"/>
      <c r="C57" s="290" t="s">
        <v>302</v>
      </c>
      <c r="D57" s="305">
        <v>0.11</v>
      </c>
      <c r="E57" s="292"/>
      <c r="F57" s="292"/>
      <c r="G57" s="292"/>
      <c r="H57" s="292"/>
      <c r="I57" s="292"/>
      <c r="J57" s="292"/>
      <c r="K57" s="292"/>
      <c r="L57" s="292"/>
      <c r="M57" s="292"/>
      <c r="N57" s="292"/>
      <c r="O57" s="292"/>
      <c r="P57" s="292"/>
      <c r="Q57" s="292"/>
      <c r="R57" s="292"/>
      <c r="S57" s="292"/>
      <c r="T57" s="292"/>
      <c r="U57" s="292"/>
      <c r="V57" s="292"/>
      <c r="W57" s="292"/>
      <c r="X57" s="292"/>
      <c r="Y57" s="292"/>
      <c r="Z57" s="292"/>
      <c r="AA57" s="292"/>
      <c r="AB57" s="292"/>
      <c r="AC57" s="292"/>
      <c r="AD57" s="292"/>
      <c r="AE57" s="292"/>
      <c r="AF57" s="292"/>
      <c r="AG57" s="292"/>
      <c r="AH57" s="292"/>
      <c r="AI57" s="292"/>
      <c r="AJ57" s="292"/>
      <c r="AK57" s="292"/>
      <c r="AL57" s="292"/>
      <c r="AM57" s="292"/>
      <c r="AN57" s="292"/>
      <c r="AO57" s="292"/>
      <c r="AP57" s="292"/>
      <c r="AQ57" s="292"/>
      <c r="AR57" s="292"/>
      <c r="AS57" s="292"/>
      <c r="AT57" s="292"/>
      <c r="AU57" s="292"/>
      <c r="AV57" s="292"/>
      <c r="AW57" s="292"/>
      <c r="AX57" s="292"/>
      <c r="AY57" s="292"/>
      <c r="AZ57" s="292"/>
      <c r="BA57" s="292"/>
      <c r="BB57" s="292"/>
      <c r="BC57" s="292"/>
      <c r="BD57" s="292"/>
      <c r="BE57" s="292"/>
      <c r="BF57" s="292"/>
      <c r="BG57" s="292"/>
      <c r="BH57" s="292"/>
      <c r="BI57" s="292"/>
      <c r="BJ57" s="292"/>
      <c r="BK57" s="292"/>
      <c r="BL57" s="292"/>
      <c r="BM57" s="297"/>
      <c r="BN57" s="297"/>
      <c r="BO57" s="297"/>
      <c r="BP57" s="297"/>
      <c r="BQ57" s="297"/>
      <c r="BR57" s="297"/>
      <c r="BS57" s="297"/>
      <c r="BT57" s="297"/>
      <c r="BU57" s="297"/>
      <c r="BV57" s="297"/>
      <c r="BW57" s="297"/>
      <c r="BX57" s="297"/>
      <c r="BY57" s="307">
        <f t="shared" si="23"/>
        <v>0</v>
      </c>
      <c r="BZ57" s="631"/>
      <c r="CA57" s="265"/>
      <c r="CB57" s="289" t="e">
        <f>SUM(INDEX(AC57:BX57, , 1):INDEX(AC57:BX57, ,MATCH(CB13, E12:BX12,0) ))</f>
        <v>#N/A</v>
      </c>
      <c r="CC57" s="631"/>
    </row>
    <row r="58" spans="2:81" ht="16" hidden="1" outlineLevel="1">
      <c r="B58" s="629"/>
      <c r="C58" s="290" t="s">
        <v>303</v>
      </c>
      <c r="D58" s="305">
        <v>0.11</v>
      </c>
      <c r="E58" s="292"/>
      <c r="F58" s="292"/>
      <c r="G58" s="292"/>
      <c r="H58" s="292"/>
      <c r="I58" s="292"/>
      <c r="J58" s="292"/>
      <c r="K58" s="292"/>
      <c r="L58" s="292"/>
      <c r="M58" s="292"/>
      <c r="N58" s="292"/>
      <c r="O58" s="292"/>
      <c r="P58" s="292"/>
      <c r="Q58" s="292"/>
      <c r="R58" s="292"/>
      <c r="S58" s="292"/>
      <c r="T58" s="292"/>
      <c r="U58" s="292"/>
      <c r="V58" s="292"/>
      <c r="W58" s="292"/>
      <c r="X58" s="292"/>
      <c r="Y58" s="292"/>
      <c r="Z58" s="292"/>
      <c r="AA58" s="292"/>
      <c r="AB58" s="292"/>
      <c r="AC58" s="292"/>
      <c r="AD58" s="292"/>
      <c r="AE58" s="292"/>
      <c r="AF58" s="292"/>
      <c r="AG58" s="292"/>
      <c r="AH58" s="292"/>
      <c r="AI58" s="292"/>
      <c r="AJ58" s="292"/>
      <c r="AK58" s="292"/>
      <c r="AL58" s="292"/>
      <c r="AM58" s="292"/>
      <c r="AN58" s="292"/>
      <c r="AO58" s="292"/>
      <c r="AP58" s="292"/>
      <c r="AQ58" s="292"/>
      <c r="AR58" s="292"/>
      <c r="AS58" s="292"/>
      <c r="AT58" s="292"/>
      <c r="AU58" s="292"/>
      <c r="AV58" s="292"/>
      <c r="AW58" s="292"/>
      <c r="AX58" s="292"/>
      <c r="AY58" s="292"/>
      <c r="AZ58" s="292"/>
      <c r="BA58" s="292"/>
      <c r="BB58" s="292"/>
      <c r="BC58" s="292"/>
      <c r="BD58" s="292"/>
      <c r="BE58" s="292"/>
      <c r="BF58" s="292"/>
      <c r="BG58" s="292"/>
      <c r="BH58" s="292"/>
      <c r="BI58" s="292"/>
      <c r="BJ58" s="292"/>
      <c r="BK58" s="292"/>
      <c r="BL58" s="292"/>
      <c r="BM58" s="297"/>
      <c r="BN58" s="297"/>
      <c r="BO58" s="297"/>
      <c r="BP58" s="297"/>
      <c r="BQ58" s="297"/>
      <c r="BR58" s="297"/>
      <c r="BS58" s="297"/>
      <c r="BT58" s="297"/>
      <c r="BU58" s="297"/>
      <c r="BV58" s="297"/>
      <c r="BW58" s="297"/>
      <c r="BX58" s="297"/>
      <c r="BY58" s="307">
        <f t="shared" si="23"/>
        <v>0</v>
      </c>
      <c r="BZ58" s="631"/>
      <c r="CA58" s="265"/>
      <c r="CB58" s="289" t="e">
        <f>SUM(INDEX(AC58:BX58, , 1):INDEX(AC58:BX58, ,MATCH(CB14, E13:BX13,0) ))</f>
        <v>#N/A</v>
      </c>
      <c r="CC58" s="631"/>
    </row>
    <row r="59" spans="2:81" ht="16" hidden="1" outlineLevel="1">
      <c r="B59" s="629"/>
      <c r="C59" s="290" t="s">
        <v>304</v>
      </c>
      <c r="D59" s="305">
        <v>0.15</v>
      </c>
      <c r="E59" s="292"/>
      <c r="F59" s="292"/>
      <c r="G59" s="292"/>
      <c r="H59" s="292"/>
      <c r="I59" s="292"/>
      <c r="J59" s="292"/>
      <c r="K59" s="292"/>
      <c r="L59" s="292"/>
      <c r="M59" s="292"/>
      <c r="N59" s="292"/>
      <c r="O59" s="292"/>
      <c r="P59" s="292"/>
      <c r="Q59" s="292"/>
      <c r="R59" s="292"/>
      <c r="S59" s="292"/>
      <c r="T59" s="292"/>
      <c r="U59" s="292"/>
      <c r="V59" s="292"/>
      <c r="W59" s="292"/>
      <c r="X59" s="292"/>
      <c r="Y59" s="292"/>
      <c r="Z59" s="292"/>
      <c r="AA59" s="292"/>
      <c r="AB59" s="292"/>
      <c r="AC59" s="292"/>
      <c r="AD59" s="292"/>
      <c r="AE59" s="292"/>
      <c r="AF59" s="292"/>
      <c r="AG59" s="292"/>
      <c r="AH59" s="292"/>
      <c r="AI59" s="292"/>
      <c r="AJ59" s="292"/>
      <c r="AK59" s="292"/>
      <c r="AL59" s="292"/>
      <c r="AM59" s="292"/>
      <c r="AN59" s="292"/>
      <c r="AO59" s="292"/>
      <c r="AP59" s="292"/>
      <c r="AQ59" s="292"/>
      <c r="AR59" s="292"/>
      <c r="AS59" s="292"/>
      <c r="AT59" s="292"/>
      <c r="AU59" s="292"/>
      <c r="AV59" s="292"/>
      <c r="AW59" s="292"/>
      <c r="AX59" s="292"/>
      <c r="AY59" s="292"/>
      <c r="AZ59" s="292"/>
      <c r="BA59" s="292"/>
      <c r="BB59" s="292"/>
      <c r="BC59" s="292"/>
      <c r="BD59" s="292"/>
      <c r="BE59" s="292"/>
      <c r="BF59" s="292"/>
      <c r="BG59" s="292"/>
      <c r="BH59" s="292"/>
      <c r="BI59" s="292"/>
      <c r="BJ59" s="292"/>
      <c r="BK59" s="292"/>
      <c r="BL59" s="292"/>
      <c r="BM59" s="297"/>
      <c r="BN59" s="297"/>
      <c r="BO59" s="297"/>
      <c r="BP59" s="297"/>
      <c r="BQ59" s="297"/>
      <c r="BR59" s="297"/>
      <c r="BS59" s="297"/>
      <c r="BT59" s="297"/>
      <c r="BU59" s="297"/>
      <c r="BV59" s="297"/>
      <c r="BW59" s="297"/>
      <c r="BX59" s="297"/>
      <c r="BY59" s="308">
        <f t="shared" si="23"/>
        <v>0</v>
      </c>
      <c r="BZ59" s="631"/>
      <c r="CA59" s="265"/>
      <c r="CB59" s="289" t="e">
        <f t="array" ref="CB59">SUM(INDEX(AC59:BX59, , 1):INDEX(AC59:BX59, ,MATCH(CB16, E14:BX14,0) ))</f>
        <v>#N/A</v>
      </c>
      <c r="CC59" s="631"/>
    </row>
    <row r="60" spans="2:81" ht="16" hidden="1" outlineLevel="1">
      <c r="B60" s="629"/>
      <c r="C60" s="290" t="s">
        <v>305</v>
      </c>
      <c r="D60" s="309">
        <f>25%/12</f>
        <v>2.0833333333333332E-2</v>
      </c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2"/>
      <c r="BM60" s="297"/>
      <c r="BN60" s="297"/>
      <c r="BO60" s="297"/>
      <c r="BP60" s="297"/>
      <c r="BQ60" s="297"/>
      <c r="BR60" s="297"/>
      <c r="BS60" s="297"/>
      <c r="BT60" s="297"/>
      <c r="BU60" s="297"/>
      <c r="BV60" s="297"/>
      <c r="BW60" s="297"/>
      <c r="BX60" s="297"/>
      <c r="BY60" s="308">
        <f t="shared" si="23"/>
        <v>0</v>
      </c>
      <c r="BZ60" s="631"/>
      <c r="CA60" s="265"/>
      <c r="CB60" s="289" t="e">
        <f>SUM(INDEX(AC60:BX60, , 1):INDEX(AC60:BX60, ,MATCH(CB17, E16:BX16,0) ))</f>
        <v>#N/A</v>
      </c>
      <c r="CC60" s="631"/>
    </row>
    <row r="61" spans="2:81" ht="16" hidden="1" outlineLevel="1">
      <c r="B61" s="629"/>
      <c r="C61" s="507" t="s">
        <v>306</v>
      </c>
      <c r="D61" s="508">
        <v>3.9E-2</v>
      </c>
      <c r="E61" s="310"/>
      <c r="F61" s="310"/>
      <c r="G61" s="310"/>
      <c r="H61" s="310"/>
      <c r="I61" s="310"/>
      <c r="J61" s="310"/>
      <c r="K61" s="310"/>
      <c r="L61" s="310"/>
      <c r="M61" s="310"/>
      <c r="N61" s="310"/>
      <c r="O61" s="310"/>
      <c r="P61" s="310"/>
      <c r="Q61" s="310"/>
      <c r="R61" s="310"/>
      <c r="S61" s="310"/>
      <c r="T61" s="310"/>
      <c r="U61" s="310"/>
      <c r="V61" s="310"/>
      <c r="W61" s="310"/>
      <c r="X61" s="310">
        <f>-SUM($X$11:X11)*$D$61/12</f>
        <v>0</v>
      </c>
      <c r="Y61" s="310">
        <f>-SUM($X$11:Y11)*$D$61/12</f>
        <v>0</v>
      </c>
      <c r="Z61" s="310">
        <f>-SUM($X$11:Z11)*$D$61/12</f>
        <v>-16250</v>
      </c>
      <c r="AA61" s="310">
        <f>-SUM($X$11:AA11)*$D$61/12</f>
        <v>-51025</v>
      </c>
      <c r="AB61" s="310">
        <f>-SUM($X$11:AB11)*$D$61/12</f>
        <v>-85800</v>
      </c>
      <c r="AC61" s="310">
        <f>-SUM($X$11:AC11)*$D$61/12</f>
        <v>-120575</v>
      </c>
      <c r="AD61" s="310">
        <f>-SUM($X$11:AD11)*$D$61/12</f>
        <v>-155350</v>
      </c>
      <c r="AE61" s="310">
        <f>-SUM($X$11:AE11)*$D$61/12</f>
        <v>-190125</v>
      </c>
      <c r="AF61" s="310">
        <f>-SUM($X$11:AF11)*$D$61/12</f>
        <v>-224900</v>
      </c>
      <c r="AG61" s="310">
        <f>-SUM($X$11:AG11)*$D$61/12</f>
        <v>-263900</v>
      </c>
      <c r="AH61" s="310">
        <f>-SUM($X$11:AH11)*$D$61/12</f>
        <v>-296400</v>
      </c>
      <c r="AI61" s="310">
        <f>-SUM($X$11:AI11)*$D$61/12</f>
        <v>-296400</v>
      </c>
      <c r="AJ61" s="310"/>
      <c r="AK61" s="310"/>
      <c r="AL61" s="310"/>
      <c r="AM61" s="310"/>
      <c r="AN61" s="310"/>
      <c r="AO61" s="310"/>
      <c r="AP61" s="310"/>
      <c r="AQ61" s="310"/>
      <c r="AR61" s="310"/>
      <c r="AS61" s="310"/>
      <c r="AT61" s="310"/>
      <c r="AU61" s="310"/>
      <c r="AV61" s="310"/>
      <c r="AW61" s="310"/>
      <c r="AX61" s="310"/>
      <c r="AY61" s="310"/>
      <c r="AZ61" s="310"/>
      <c r="BA61" s="310"/>
      <c r="BB61" s="310"/>
      <c r="BC61" s="310"/>
      <c r="BD61" s="310"/>
      <c r="BE61" s="310"/>
      <c r="BF61" s="310"/>
      <c r="BG61" s="310"/>
      <c r="BH61" s="310"/>
      <c r="BI61" s="310"/>
      <c r="BJ61" s="310"/>
      <c r="BK61" s="310"/>
      <c r="BL61" s="310"/>
      <c r="BM61" s="311"/>
      <c r="BN61" s="311"/>
      <c r="BO61" s="311"/>
      <c r="BP61" s="311"/>
      <c r="BQ61" s="311"/>
      <c r="BR61" s="311"/>
      <c r="BS61" s="311"/>
      <c r="BT61" s="311"/>
      <c r="BU61" s="311"/>
      <c r="BV61" s="311"/>
      <c r="BW61" s="311"/>
      <c r="BX61" s="311"/>
      <c r="BY61" s="312">
        <f t="shared" si="23"/>
        <v>-1700725</v>
      </c>
      <c r="BZ61" s="631"/>
      <c r="CA61" s="265"/>
      <c r="CB61" s="289" t="e">
        <f>SUM(INDEX(AC61:BX61, , 1):INDEX(AC61:BX61, ,MATCH(CB18, E17:BX17,0) ))</f>
        <v>#N/A</v>
      </c>
      <c r="CC61" s="631"/>
    </row>
    <row r="62" spans="2:81" ht="16" collapsed="1">
      <c r="B62" s="629"/>
      <c r="C62" s="285" t="s">
        <v>307</v>
      </c>
      <c r="D62" s="286"/>
      <c r="E62" s="287">
        <f t="shared" ref="E62:BY62" si="24">SUM(E63:E85)</f>
        <v>0</v>
      </c>
      <c r="F62" s="287">
        <f t="shared" si="24"/>
        <v>0</v>
      </c>
      <c r="G62" s="287">
        <f t="shared" si="24"/>
        <v>0</v>
      </c>
      <c r="H62" s="287">
        <f t="shared" si="24"/>
        <v>0</v>
      </c>
      <c r="I62" s="287">
        <f t="shared" si="24"/>
        <v>0</v>
      </c>
      <c r="J62" s="287">
        <f t="shared" si="24"/>
        <v>0</v>
      </c>
      <c r="K62" s="287">
        <f t="shared" si="24"/>
        <v>0</v>
      </c>
      <c r="L62" s="287">
        <f t="shared" si="24"/>
        <v>0</v>
      </c>
      <c r="M62" s="287">
        <f t="shared" si="24"/>
        <v>0</v>
      </c>
      <c r="N62" s="287">
        <f t="shared" si="24"/>
        <v>0</v>
      </c>
      <c r="O62" s="287">
        <f t="shared" si="24"/>
        <v>0</v>
      </c>
      <c r="P62" s="287">
        <f t="shared" si="24"/>
        <v>0</v>
      </c>
      <c r="Q62" s="287">
        <f t="shared" si="24"/>
        <v>0</v>
      </c>
      <c r="R62" s="287">
        <f t="shared" si="24"/>
        <v>0</v>
      </c>
      <c r="S62" s="287">
        <f t="shared" si="24"/>
        <v>0</v>
      </c>
      <c r="T62" s="287">
        <f t="shared" si="24"/>
        <v>0</v>
      </c>
      <c r="U62" s="287">
        <f t="shared" si="24"/>
        <v>0</v>
      </c>
      <c r="V62" s="287">
        <f t="shared" si="24"/>
        <v>0</v>
      </c>
      <c r="W62" s="287">
        <f t="shared" si="24"/>
        <v>0</v>
      </c>
      <c r="X62" s="287">
        <f t="shared" si="24"/>
        <v>0</v>
      </c>
      <c r="Y62" s="287">
        <f t="shared" si="24"/>
        <v>0</v>
      </c>
      <c r="Z62" s="287">
        <f t="shared" si="24"/>
        <v>0</v>
      </c>
      <c r="AA62" s="287">
        <f t="shared" si="24"/>
        <v>0</v>
      </c>
      <c r="AB62" s="287">
        <f t="shared" si="24"/>
        <v>0</v>
      </c>
      <c r="AC62" s="287">
        <f t="shared" si="24"/>
        <v>0</v>
      </c>
      <c r="AD62" s="287">
        <f t="shared" si="24"/>
        <v>0</v>
      </c>
      <c r="AE62" s="287">
        <f t="shared" si="24"/>
        <v>0</v>
      </c>
      <c r="AF62" s="287">
        <f t="shared" si="24"/>
        <v>0</v>
      </c>
      <c r="AG62" s="287">
        <f t="shared" si="24"/>
        <v>0</v>
      </c>
      <c r="AH62" s="287">
        <f t="shared" si="24"/>
        <v>0</v>
      </c>
      <c r="AI62" s="287">
        <f t="shared" si="24"/>
        <v>-126434.56</v>
      </c>
      <c r="AJ62" s="287">
        <f t="shared" si="24"/>
        <v>0</v>
      </c>
      <c r="AK62" s="287">
        <f t="shared" si="24"/>
        <v>0</v>
      </c>
      <c r="AL62" s="287">
        <f t="shared" si="24"/>
        <v>0</v>
      </c>
      <c r="AM62" s="287">
        <f t="shared" si="24"/>
        <v>0</v>
      </c>
      <c r="AN62" s="287">
        <f t="shared" si="24"/>
        <v>0</v>
      </c>
      <c r="AO62" s="287">
        <f t="shared" si="24"/>
        <v>0</v>
      </c>
      <c r="AP62" s="287">
        <f t="shared" si="24"/>
        <v>0</v>
      </c>
      <c r="AQ62" s="287">
        <f t="shared" si="24"/>
        <v>0</v>
      </c>
      <c r="AR62" s="287">
        <f t="shared" si="24"/>
        <v>0</v>
      </c>
      <c r="AS62" s="287">
        <f t="shared" si="24"/>
        <v>0</v>
      </c>
      <c r="AT62" s="287">
        <f t="shared" si="24"/>
        <v>0</v>
      </c>
      <c r="AU62" s="287">
        <f t="shared" si="24"/>
        <v>0</v>
      </c>
      <c r="AV62" s="287">
        <f t="shared" si="24"/>
        <v>0</v>
      </c>
      <c r="AW62" s="287">
        <f t="shared" si="24"/>
        <v>0</v>
      </c>
      <c r="AX62" s="287">
        <f t="shared" si="24"/>
        <v>0</v>
      </c>
      <c r="AY62" s="287">
        <f t="shared" si="24"/>
        <v>0</v>
      </c>
      <c r="AZ62" s="287">
        <f t="shared" si="24"/>
        <v>0</v>
      </c>
      <c r="BA62" s="287">
        <f t="shared" si="24"/>
        <v>0</v>
      </c>
      <c r="BB62" s="287">
        <f t="shared" si="24"/>
        <v>0</v>
      </c>
      <c r="BC62" s="287">
        <f t="shared" si="24"/>
        <v>0</v>
      </c>
      <c r="BD62" s="287">
        <f t="shared" si="24"/>
        <v>0</v>
      </c>
      <c r="BE62" s="287">
        <f t="shared" si="24"/>
        <v>0</v>
      </c>
      <c r="BF62" s="287">
        <f t="shared" si="24"/>
        <v>0</v>
      </c>
      <c r="BG62" s="287">
        <f t="shared" si="24"/>
        <v>0</v>
      </c>
      <c r="BH62" s="287">
        <f t="shared" si="24"/>
        <v>0</v>
      </c>
      <c r="BI62" s="287">
        <f t="shared" si="24"/>
        <v>0</v>
      </c>
      <c r="BJ62" s="287">
        <f t="shared" si="24"/>
        <v>0</v>
      </c>
      <c r="BK62" s="287">
        <f t="shared" si="24"/>
        <v>0</v>
      </c>
      <c r="BL62" s="287">
        <f t="shared" si="24"/>
        <v>0</v>
      </c>
      <c r="BM62" s="287">
        <f t="shared" si="24"/>
        <v>0</v>
      </c>
      <c r="BN62" s="287">
        <f t="shared" si="24"/>
        <v>0</v>
      </c>
      <c r="BO62" s="287">
        <f t="shared" si="24"/>
        <v>0</v>
      </c>
      <c r="BP62" s="287">
        <f t="shared" si="24"/>
        <v>0</v>
      </c>
      <c r="BQ62" s="287">
        <f t="shared" si="24"/>
        <v>0</v>
      </c>
      <c r="BR62" s="287">
        <f t="shared" si="24"/>
        <v>0</v>
      </c>
      <c r="BS62" s="287">
        <f t="shared" si="24"/>
        <v>0</v>
      </c>
      <c r="BT62" s="287">
        <f t="shared" si="24"/>
        <v>0</v>
      </c>
      <c r="BU62" s="287">
        <f t="shared" si="24"/>
        <v>0</v>
      </c>
      <c r="BV62" s="287">
        <f t="shared" si="24"/>
        <v>0</v>
      </c>
      <c r="BW62" s="287">
        <f t="shared" si="24"/>
        <v>0</v>
      </c>
      <c r="BX62" s="287">
        <f t="shared" si="24"/>
        <v>0</v>
      </c>
      <c r="BY62" s="288">
        <f t="shared" si="24"/>
        <v>-126434.56</v>
      </c>
      <c r="BZ62" s="631"/>
      <c r="CA62" s="265"/>
      <c r="CB62" s="289" t="e">
        <f t="array" ref="CB62">SUM(INDEX(E62:BX62, , 1):INDEX(E62:BX62, ,MATCH($CB$4, $E$3:$BX$3,0) ))</f>
        <v>#N/A</v>
      </c>
      <c r="CC62" s="631"/>
    </row>
    <row r="63" spans="2:81" ht="16" hidden="1" outlineLevel="1">
      <c r="B63" s="629"/>
      <c r="C63" s="313" t="s">
        <v>308</v>
      </c>
      <c r="D63" s="291" t="s">
        <v>262</v>
      </c>
      <c r="E63" s="314"/>
      <c r="F63" s="314"/>
      <c r="G63" s="314"/>
      <c r="H63" s="314"/>
      <c r="I63" s="314"/>
      <c r="J63" s="314"/>
      <c r="K63" s="314"/>
      <c r="L63" s="314"/>
      <c r="M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H63" s="314"/>
      <c r="AI63" s="314"/>
      <c r="AJ63" s="314"/>
      <c r="AK63" s="314"/>
      <c r="AL63" s="314"/>
      <c r="AM63" s="314"/>
      <c r="AN63" s="314"/>
      <c r="AO63" s="314"/>
      <c r="AP63" s="314"/>
      <c r="AQ63" s="314"/>
      <c r="AR63" s="314"/>
      <c r="AS63" s="314"/>
      <c r="AT63" s="314"/>
      <c r="AU63" s="314"/>
      <c r="AV63" s="314"/>
      <c r="AW63" s="314"/>
      <c r="AX63" s="314"/>
      <c r="AY63" s="314"/>
      <c r="AZ63" s="314"/>
      <c r="BA63" s="314"/>
      <c r="BB63" s="314"/>
      <c r="BC63" s="314"/>
      <c r="BD63" s="314"/>
      <c r="BE63" s="314"/>
      <c r="BF63" s="314"/>
      <c r="BG63" s="314"/>
      <c r="BH63" s="314"/>
      <c r="BI63" s="314"/>
      <c r="BJ63" s="314"/>
      <c r="BK63" s="314"/>
      <c r="BL63" s="314"/>
      <c r="BM63" s="314"/>
      <c r="BN63" s="314"/>
      <c r="BO63" s="314"/>
      <c r="BP63" s="314"/>
      <c r="BQ63" s="314"/>
      <c r="BR63" s="314"/>
      <c r="BS63" s="314"/>
      <c r="BT63" s="314"/>
      <c r="BU63" s="314"/>
      <c r="BV63" s="314"/>
      <c r="BW63" s="314"/>
      <c r="BX63" s="314"/>
      <c r="BY63" s="315">
        <f t="shared" ref="BY63:BY85" si="25">SUM(E63:BX63)</f>
        <v>0</v>
      </c>
      <c r="BZ63" s="631"/>
      <c r="CA63" s="265"/>
      <c r="CB63" s="289" t="e">
        <f>SUM(INDEX(AC63:BX63, , 1):INDEX(AC63:BX63, ,MATCH(CB20, E19:BX19,0) ))</f>
        <v>#N/A</v>
      </c>
      <c r="CC63" s="631"/>
    </row>
    <row r="64" spans="2:81" ht="16" hidden="1" outlineLevel="1">
      <c r="B64" s="629"/>
      <c r="C64" s="316" t="s">
        <v>309</v>
      </c>
      <c r="D64" s="291" t="s">
        <v>262</v>
      </c>
      <c r="E64" s="314"/>
      <c r="F64" s="314"/>
      <c r="G64" s="314"/>
      <c r="H64" s="314"/>
      <c r="I64" s="314"/>
      <c r="J64" s="314"/>
      <c r="K64" s="314"/>
      <c r="L64" s="314"/>
      <c r="M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H64" s="314"/>
      <c r="AI64" s="314"/>
      <c r="AJ64" s="314"/>
      <c r="AK64" s="314"/>
      <c r="AL64" s="314"/>
      <c r="AM64" s="314"/>
      <c r="AN64" s="314"/>
      <c r="AO64" s="314"/>
      <c r="AP64" s="314"/>
      <c r="AQ64" s="314"/>
      <c r="AR64" s="314"/>
      <c r="AS64" s="314"/>
      <c r="AT64" s="314"/>
      <c r="AU64" s="314"/>
      <c r="AV64" s="314"/>
      <c r="AW64" s="314"/>
      <c r="AX64" s="314"/>
      <c r="AY64" s="314"/>
      <c r="AZ64" s="314"/>
      <c r="BA64" s="314"/>
      <c r="BB64" s="314"/>
      <c r="BC64" s="314"/>
      <c r="BD64" s="314"/>
      <c r="BE64" s="314"/>
      <c r="BF64" s="314"/>
      <c r="BG64" s="314"/>
      <c r="BH64" s="314"/>
      <c r="BI64" s="314"/>
      <c r="BJ64" s="314"/>
      <c r="BK64" s="314"/>
      <c r="BL64" s="314"/>
      <c r="BM64" s="314"/>
      <c r="BN64" s="314"/>
      <c r="BO64" s="314"/>
      <c r="BP64" s="314"/>
      <c r="BQ64" s="314"/>
      <c r="BR64" s="314"/>
      <c r="BS64" s="314"/>
      <c r="BT64" s="314"/>
      <c r="BU64" s="314"/>
      <c r="BV64" s="314"/>
      <c r="BW64" s="314"/>
      <c r="BX64" s="314"/>
      <c r="BY64" s="315">
        <f t="shared" si="25"/>
        <v>0</v>
      </c>
      <c r="BZ64" s="631"/>
      <c r="CA64" s="265"/>
      <c r="CB64" s="289" t="e">
        <f>SUM(INDEX(AC64:BX64, , 1):INDEX(AC64:BX64, ,MATCH(CB21, E20:BX20,0) ))</f>
        <v>#N/A</v>
      </c>
      <c r="CC64" s="631"/>
    </row>
    <row r="65" spans="2:81" ht="16" hidden="1" outlineLevel="1">
      <c r="B65" s="629"/>
      <c r="C65" s="316" t="s">
        <v>310</v>
      </c>
      <c r="D65" s="291" t="s">
        <v>262</v>
      </c>
      <c r="E65" s="314"/>
      <c r="F65" s="314"/>
      <c r="G65" s="314"/>
      <c r="H65" s="314"/>
      <c r="I65" s="314"/>
      <c r="J65" s="314"/>
      <c r="K65" s="314"/>
      <c r="L65" s="314"/>
      <c r="M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H65" s="314"/>
      <c r="AI65" s="314"/>
      <c r="AJ65" s="314"/>
      <c r="AK65" s="314"/>
      <c r="AL65" s="314"/>
      <c r="AM65" s="314"/>
      <c r="AN65" s="314"/>
      <c r="AO65" s="314"/>
      <c r="AP65" s="314"/>
      <c r="AQ65" s="314"/>
      <c r="AR65" s="314"/>
      <c r="AS65" s="314"/>
      <c r="AT65" s="314"/>
      <c r="AU65" s="314"/>
      <c r="AV65" s="314"/>
      <c r="AW65" s="314"/>
      <c r="AX65" s="314"/>
      <c r="AY65" s="314"/>
      <c r="AZ65" s="314"/>
      <c r="BA65" s="314"/>
      <c r="BB65" s="314"/>
      <c r="BC65" s="314"/>
      <c r="BD65" s="314"/>
      <c r="BE65" s="314"/>
      <c r="BF65" s="314"/>
      <c r="BG65" s="314"/>
      <c r="BH65" s="314"/>
      <c r="BI65" s="314"/>
      <c r="BJ65" s="314"/>
      <c r="BK65" s="314"/>
      <c r="BL65" s="314"/>
      <c r="BM65" s="314"/>
      <c r="BN65" s="314"/>
      <c r="BO65" s="314"/>
      <c r="BP65" s="314"/>
      <c r="BQ65" s="314"/>
      <c r="BR65" s="314"/>
      <c r="BS65" s="314"/>
      <c r="BT65" s="314"/>
      <c r="BU65" s="314"/>
      <c r="BV65" s="314"/>
      <c r="BW65" s="314"/>
      <c r="BX65" s="314"/>
      <c r="BY65" s="315">
        <f t="shared" si="25"/>
        <v>0</v>
      </c>
      <c r="BZ65" s="631"/>
      <c r="CA65" s="265"/>
      <c r="CB65" s="289" t="e">
        <f>SUM(INDEX(AC65:BX65, , 1):INDEX(AC65:BX65, ,MATCH(CB22, E21:BX21,0) ))</f>
        <v>#N/A</v>
      </c>
      <c r="CC65" s="631"/>
    </row>
    <row r="66" spans="2:81" ht="16" hidden="1" outlineLevel="1">
      <c r="B66" s="629"/>
      <c r="C66" s="316" t="s">
        <v>311</v>
      </c>
      <c r="D66" s="291" t="s">
        <v>262</v>
      </c>
      <c r="E66" s="314"/>
      <c r="F66" s="314"/>
      <c r="G66" s="314"/>
      <c r="H66" s="314"/>
      <c r="I66" s="314"/>
      <c r="J66" s="314"/>
      <c r="K66" s="314"/>
      <c r="L66" s="314"/>
      <c r="M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H66" s="314"/>
      <c r="AI66" s="314"/>
      <c r="AJ66" s="314"/>
      <c r="AK66" s="314"/>
      <c r="AL66" s="314"/>
      <c r="AM66" s="314"/>
      <c r="AN66" s="314"/>
      <c r="AO66" s="314"/>
      <c r="AP66" s="314"/>
      <c r="AQ66" s="314"/>
      <c r="AR66" s="314"/>
      <c r="AS66" s="314"/>
      <c r="AT66" s="314"/>
      <c r="AU66" s="314"/>
      <c r="AV66" s="314"/>
      <c r="AW66" s="314"/>
      <c r="AX66" s="314"/>
      <c r="AY66" s="314"/>
      <c r="AZ66" s="314"/>
      <c r="BA66" s="314"/>
      <c r="BB66" s="314"/>
      <c r="BC66" s="314"/>
      <c r="BD66" s="314"/>
      <c r="BE66" s="314"/>
      <c r="BF66" s="314"/>
      <c r="BG66" s="314"/>
      <c r="BH66" s="314"/>
      <c r="BI66" s="314"/>
      <c r="BJ66" s="314"/>
      <c r="BK66" s="314"/>
      <c r="BL66" s="314"/>
      <c r="BM66" s="314"/>
      <c r="BN66" s="314"/>
      <c r="BO66" s="314"/>
      <c r="BP66" s="314"/>
      <c r="BQ66" s="314"/>
      <c r="BR66" s="314"/>
      <c r="BS66" s="314"/>
      <c r="BT66" s="314"/>
      <c r="BU66" s="314"/>
      <c r="BV66" s="314"/>
      <c r="BW66" s="314"/>
      <c r="BX66" s="314"/>
      <c r="BY66" s="315">
        <f t="shared" si="25"/>
        <v>0</v>
      </c>
      <c r="BZ66" s="631"/>
      <c r="CA66" s="265"/>
      <c r="CB66" s="289" t="e">
        <f t="array" ref="CB66">SUM(INDEX(AC66:BX66, , 1):INDEX(AC66:BX66, ,MATCH(CB24, E22:BX22,0) ))</f>
        <v>#N/A</v>
      </c>
      <c r="CC66" s="631"/>
    </row>
    <row r="67" spans="2:81" ht="16" hidden="1" outlineLevel="1">
      <c r="B67" s="629"/>
      <c r="C67" s="316" t="s">
        <v>312</v>
      </c>
      <c r="D67" s="291" t="s">
        <v>262</v>
      </c>
      <c r="E67" s="314"/>
      <c r="F67" s="314"/>
      <c r="G67" s="314"/>
      <c r="H67" s="314"/>
      <c r="I67" s="314"/>
      <c r="J67" s="314"/>
      <c r="K67" s="314"/>
      <c r="L67" s="314"/>
      <c r="M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H67" s="314"/>
      <c r="AI67" s="314"/>
      <c r="AJ67" s="314"/>
      <c r="AK67" s="314"/>
      <c r="AL67" s="314"/>
      <c r="AM67" s="314"/>
      <c r="AN67" s="314"/>
      <c r="AO67" s="314"/>
      <c r="AP67" s="314"/>
      <c r="AQ67" s="314"/>
      <c r="AR67" s="314"/>
      <c r="AS67" s="314"/>
      <c r="AT67" s="314"/>
      <c r="AU67" s="314"/>
      <c r="AV67" s="314"/>
      <c r="AW67" s="314"/>
      <c r="AX67" s="314"/>
      <c r="AY67" s="314"/>
      <c r="AZ67" s="314"/>
      <c r="BA67" s="314"/>
      <c r="BB67" s="314"/>
      <c r="BC67" s="314"/>
      <c r="BD67" s="314"/>
      <c r="BE67" s="314"/>
      <c r="BF67" s="314"/>
      <c r="BG67" s="314"/>
      <c r="BH67" s="314"/>
      <c r="BI67" s="314"/>
      <c r="BJ67" s="314"/>
      <c r="BK67" s="314"/>
      <c r="BL67" s="314"/>
      <c r="BM67" s="314"/>
      <c r="BN67" s="314"/>
      <c r="BO67" s="314"/>
      <c r="BP67" s="314"/>
      <c r="BQ67" s="314"/>
      <c r="BR67" s="314"/>
      <c r="BS67" s="314"/>
      <c r="BT67" s="314"/>
      <c r="BU67" s="314"/>
      <c r="BV67" s="314"/>
      <c r="BW67" s="314"/>
      <c r="BX67" s="314"/>
      <c r="BY67" s="315">
        <f t="shared" si="25"/>
        <v>0</v>
      </c>
      <c r="BZ67" s="631"/>
      <c r="CA67" s="265"/>
      <c r="CB67" s="289" t="e">
        <f>SUM(INDEX(AC67:BX67, , 1):INDEX(AC67:BX67, ,MATCH(CB25, E24:BX24,0) ))</f>
        <v>#N/A</v>
      </c>
      <c r="CC67" s="631"/>
    </row>
    <row r="68" spans="2:81" ht="16" hidden="1" outlineLevel="1">
      <c r="B68" s="629"/>
      <c r="C68" s="316" t="s">
        <v>313</v>
      </c>
      <c r="D68" s="291" t="s">
        <v>262</v>
      </c>
      <c r="E68" s="314"/>
      <c r="F68" s="314"/>
      <c r="G68" s="314"/>
      <c r="H68" s="314"/>
      <c r="I68" s="314"/>
      <c r="J68" s="314"/>
      <c r="K68" s="314"/>
      <c r="L68" s="314"/>
      <c r="M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H68" s="314"/>
      <c r="AI68" s="314"/>
      <c r="AJ68" s="314"/>
      <c r="AK68" s="314"/>
      <c r="AL68" s="314"/>
      <c r="AM68" s="314"/>
      <c r="AN68" s="314"/>
      <c r="AO68" s="314"/>
      <c r="AP68" s="314"/>
      <c r="AQ68" s="314"/>
      <c r="AR68" s="314"/>
      <c r="AS68" s="314"/>
      <c r="AT68" s="314"/>
      <c r="AU68" s="314"/>
      <c r="AV68" s="314"/>
      <c r="AW68" s="314"/>
      <c r="AX68" s="314"/>
      <c r="AY68" s="314"/>
      <c r="AZ68" s="314"/>
      <c r="BA68" s="314"/>
      <c r="BB68" s="314"/>
      <c r="BC68" s="314"/>
      <c r="BD68" s="314"/>
      <c r="BE68" s="314"/>
      <c r="BF68" s="314"/>
      <c r="BG68" s="314"/>
      <c r="BH68" s="314"/>
      <c r="BI68" s="314"/>
      <c r="BJ68" s="314"/>
      <c r="BK68" s="314"/>
      <c r="BL68" s="314"/>
      <c r="BM68" s="314"/>
      <c r="BN68" s="314"/>
      <c r="BO68" s="314"/>
      <c r="BP68" s="314"/>
      <c r="BQ68" s="314"/>
      <c r="BR68" s="314"/>
      <c r="BS68" s="314"/>
      <c r="BT68" s="314"/>
      <c r="BU68" s="314"/>
      <c r="BV68" s="314"/>
      <c r="BW68" s="314"/>
      <c r="BX68" s="314"/>
      <c r="BY68" s="315">
        <f t="shared" si="25"/>
        <v>0</v>
      </c>
      <c r="BZ68" s="631"/>
      <c r="CA68" s="265"/>
      <c r="CB68" s="289" t="e">
        <f>SUM(INDEX(AC68:BX68, , 1):INDEX(AC68:BX68, ,MATCH(CB26, E25:BX25,0) ))</f>
        <v>#REF!</v>
      </c>
      <c r="CC68" s="631"/>
    </row>
    <row r="69" spans="2:81" ht="16" hidden="1" outlineLevel="1">
      <c r="B69" s="629"/>
      <c r="C69" s="316" t="s">
        <v>314</v>
      </c>
      <c r="D69" s="291" t="s">
        <v>262</v>
      </c>
      <c r="E69" s="314"/>
      <c r="F69" s="314"/>
      <c r="G69" s="314"/>
      <c r="H69" s="314"/>
      <c r="I69" s="314"/>
      <c r="J69" s="314"/>
      <c r="K69" s="314"/>
      <c r="L69" s="314"/>
      <c r="M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H69" s="314"/>
      <c r="AI69" s="314"/>
      <c r="AJ69" s="314"/>
      <c r="AK69" s="314"/>
      <c r="AL69" s="314"/>
      <c r="AM69" s="314"/>
      <c r="AN69" s="314"/>
      <c r="AO69" s="314"/>
      <c r="AP69" s="314"/>
      <c r="AQ69" s="314"/>
      <c r="AR69" s="314"/>
      <c r="AS69" s="314"/>
      <c r="AT69" s="314"/>
      <c r="AU69" s="314"/>
      <c r="AV69" s="314"/>
      <c r="AW69" s="314"/>
      <c r="AX69" s="314"/>
      <c r="AY69" s="314"/>
      <c r="AZ69" s="314"/>
      <c r="BA69" s="314"/>
      <c r="BB69" s="314"/>
      <c r="BC69" s="314"/>
      <c r="BD69" s="314"/>
      <c r="BE69" s="314"/>
      <c r="BF69" s="314"/>
      <c r="BG69" s="314"/>
      <c r="BH69" s="314"/>
      <c r="BI69" s="314"/>
      <c r="BJ69" s="314"/>
      <c r="BK69" s="314"/>
      <c r="BL69" s="314"/>
      <c r="BM69" s="314"/>
      <c r="BN69" s="314"/>
      <c r="BO69" s="314"/>
      <c r="BP69" s="314"/>
      <c r="BQ69" s="314"/>
      <c r="BR69" s="314"/>
      <c r="BS69" s="314"/>
      <c r="BT69" s="314"/>
      <c r="BU69" s="314"/>
      <c r="BV69" s="314"/>
      <c r="BW69" s="314"/>
      <c r="BX69" s="314"/>
      <c r="BY69" s="315">
        <f t="shared" si="25"/>
        <v>0</v>
      </c>
      <c r="BZ69" s="631"/>
      <c r="CA69" s="265"/>
      <c r="CB69" s="289" t="e">
        <f>SUM(INDEX(AC69:BX69, , 1):INDEX(AC69:BX69, ,MATCH(CB27, E26:BX26,0) ))</f>
        <v>#REF!</v>
      </c>
      <c r="CC69" s="631"/>
    </row>
    <row r="70" spans="2:81" ht="16" hidden="1" outlineLevel="1">
      <c r="B70" s="629"/>
      <c r="C70" s="316" t="s">
        <v>315</v>
      </c>
      <c r="D70" s="291" t="s">
        <v>262</v>
      </c>
      <c r="E70" s="314"/>
      <c r="F70" s="314"/>
      <c r="G70" s="314"/>
      <c r="H70" s="314"/>
      <c r="I70" s="314"/>
      <c r="J70" s="314"/>
      <c r="K70" s="314"/>
      <c r="L70" s="314"/>
      <c r="M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H70" s="314"/>
      <c r="AI70" s="314"/>
      <c r="AJ70" s="314"/>
      <c r="AK70" s="314"/>
      <c r="AL70" s="314"/>
      <c r="AM70" s="314"/>
      <c r="AN70" s="314"/>
      <c r="AO70" s="314"/>
      <c r="AP70" s="314"/>
      <c r="AQ70" s="314"/>
      <c r="AR70" s="314"/>
      <c r="AS70" s="314"/>
      <c r="AT70" s="314"/>
      <c r="AU70" s="314"/>
      <c r="AV70" s="314"/>
      <c r="AW70" s="314"/>
      <c r="AX70" s="314"/>
      <c r="AY70" s="314"/>
      <c r="AZ70" s="314"/>
      <c r="BA70" s="314"/>
      <c r="BB70" s="314"/>
      <c r="BC70" s="314"/>
      <c r="BD70" s="314"/>
      <c r="BE70" s="314"/>
      <c r="BF70" s="314"/>
      <c r="BG70" s="314"/>
      <c r="BH70" s="314"/>
      <c r="BI70" s="314"/>
      <c r="BJ70" s="314"/>
      <c r="BK70" s="314"/>
      <c r="BL70" s="314"/>
      <c r="BM70" s="314"/>
      <c r="BN70" s="314"/>
      <c r="BO70" s="314"/>
      <c r="BP70" s="314"/>
      <c r="BQ70" s="314"/>
      <c r="BR70" s="314"/>
      <c r="BS70" s="314"/>
      <c r="BT70" s="314"/>
      <c r="BU70" s="314"/>
      <c r="BV70" s="314"/>
      <c r="BW70" s="314"/>
      <c r="BX70" s="314"/>
      <c r="BY70" s="315">
        <f t="shared" si="25"/>
        <v>0</v>
      </c>
      <c r="BZ70" s="631"/>
      <c r="CA70" s="265"/>
      <c r="CB70" s="289" t="e">
        <f>SUM(INDEX(AC70:BX70, , 1):INDEX(AC70:BX70, ,MATCH(CB28, E27:BX27,0) ))</f>
        <v>#N/A</v>
      </c>
      <c r="CC70" s="631"/>
    </row>
    <row r="71" spans="2:81" ht="16" hidden="1" outlineLevel="1">
      <c r="B71" s="629"/>
      <c r="C71" s="316" t="s">
        <v>316</v>
      </c>
      <c r="D71" s="291" t="s">
        <v>262</v>
      </c>
      <c r="E71" s="314"/>
      <c r="F71" s="314"/>
      <c r="G71" s="314"/>
      <c r="H71" s="314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T71" s="314"/>
      <c r="U71" s="314"/>
      <c r="V71" s="314"/>
      <c r="W71" s="314"/>
      <c r="X71" s="314"/>
      <c r="Y71" s="314"/>
      <c r="Z71" s="314"/>
      <c r="AA71" s="314"/>
      <c r="AB71" s="314"/>
      <c r="AC71" s="314"/>
      <c r="AD71" s="314"/>
      <c r="AE71" s="314"/>
      <c r="AF71" s="314"/>
      <c r="AG71" s="314"/>
      <c r="AH71" s="314"/>
      <c r="AI71" s="314"/>
      <c r="AJ71" s="314"/>
      <c r="AK71" s="314"/>
      <c r="AL71" s="314"/>
      <c r="AM71" s="314"/>
      <c r="AN71" s="314"/>
      <c r="AO71" s="314"/>
      <c r="AP71" s="314"/>
      <c r="AQ71" s="314"/>
      <c r="AR71" s="314"/>
      <c r="AS71" s="314"/>
      <c r="AT71" s="314"/>
      <c r="AU71" s="314"/>
      <c r="AV71" s="314"/>
      <c r="AW71" s="314"/>
      <c r="AX71" s="314"/>
      <c r="AY71" s="314"/>
      <c r="AZ71" s="314"/>
      <c r="BA71" s="314"/>
      <c r="BB71" s="314"/>
      <c r="BC71" s="314"/>
      <c r="BD71" s="314"/>
      <c r="BE71" s="314"/>
      <c r="BF71" s="314"/>
      <c r="BG71" s="314"/>
      <c r="BH71" s="314"/>
      <c r="BI71" s="314"/>
      <c r="BJ71" s="314"/>
      <c r="BK71" s="314"/>
      <c r="BL71" s="314"/>
      <c r="BM71" s="314"/>
      <c r="BN71" s="314"/>
      <c r="BO71" s="314"/>
      <c r="BP71" s="314"/>
      <c r="BQ71" s="314"/>
      <c r="BR71" s="314"/>
      <c r="BS71" s="314"/>
      <c r="BT71" s="314"/>
      <c r="BU71" s="314"/>
      <c r="BV71" s="314"/>
      <c r="BW71" s="314"/>
      <c r="BX71" s="314"/>
      <c r="BY71" s="315">
        <f t="shared" si="25"/>
        <v>0</v>
      </c>
      <c r="BZ71" s="631"/>
      <c r="CA71" s="265"/>
      <c r="CB71" s="289" t="e">
        <f>SUM(INDEX(AC71:BX71, , 1):INDEX(AC71:BX71, ,MATCH(CB29, E28:BX28,0) ))</f>
        <v>#REF!</v>
      </c>
      <c r="CC71" s="631"/>
    </row>
    <row r="72" spans="2:81" ht="16" hidden="1" outlineLevel="1">
      <c r="B72" s="629"/>
      <c r="C72" s="316" t="s">
        <v>317</v>
      </c>
      <c r="D72" s="291" t="s">
        <v>262</v>
      </c>
      <c r="E72" s="314"/>
      <c r="F72" s="314"/>
      <c r="G72" s="314"/>
      <c r="H72" s="314"/>
      <c r="I72" s="314"/>
      <c r="J72" s="314"/>
      <c r="K72" s="314"/>
      <c r="L72" s="314"/>
      <c r="M72" s="314"/>
      <c r="N72" s="314"/>
      <c r="O72" s="314"/>
      <c r="P72" s="314"/>
      <c r="Q72" s="314"/>
      <c r="R72" s="314"/>
      <c r="S72" s="314"/>
      <c r="T72" s="314"/>
      <c r="U72" s="314"/>
      <c r="V72" s="314"/>
      <c r="W72" s="314"/>
      <c r="X72" s="314"/>
      <c r="Y72" s="314"/>
      <c r="Z72" s="314"/>
      <c r="AA72" s="314"/>
      <c r="AB72" s="314"/>
      <c r="AC72" s="314"/>
      <c r="AD72" s="314"/>
      <c r="AE72" s="314"/>
      <c r="AF72" s="314"/>
      <c r="AG72" s="314"/>
      <c r="AH72" s="314"/>
      <c r="AI72" s="314"/>
      <c r="AJ72" s="314"/>
      <c r="AK72" s="314"/>
      <c r="AL72" s="314"/>
      <c r="AM72" s="314"/>
      <c r="AN72" s="314"/>
      <c r="AO72" s="314"/>
      <c r="AP72" s="314"/>
      <c r="AQ72" s="314"/>
      <c r="AR72" s="314"/>
      <c r="AS72" s="314"/>
      <c r="AT72" s="314"/>
      <c r="AU72" s="314"/>
      <c r="AV72" s="314"/>
      <c r="AW72" s="314"/>
      <c r="AX72" s="314"/>
      <c r="AY72" s="314"/>
      <c r="AZ72" s="314"/>
      <c r="BA72" s="314"/>
      <c r="BB72" s="314"/>
      <c r="BC72" s="314"/>
      <c r="BD72" s="314"/>
      <c r="BE72" s="314"/>
      <c r="BF72" s="314"/>
      <c r="BG72" s="314"/>
      <c r="BH72" s="314"/>
      <c r="BI72" s="314"/>
      <c r="BJ72" s="314"/>
      <c r="BK72" s="314"/>
      <c r="BL72" s="314"/>
      <c r="BM72" s="314"/>
      <c r="BN72" s="314"/>
      <c r="BO72" s="314"/>
      <c r="BP72" s="314"/>
      <c r="BQ72" s="314"/>
      <c r="BR72" s="314"/>
      <c r="BS72" s="314"/>
      <c r="BT72" s="314"/>
      <c r="BU72" s="314"/>
      <c r="BV72" s="314"/>
      <c r="BW72" s="314"/>
      <c r="BX72" s="314"/>
      <c r="BY72" s="315">
        <f t="shared" si="25"/>
        <v>0</v>
      </c>
      <c r="BZ72" s="631"/>
      <c r="CA72" s="265"/>
      <c r="CB72" s="289" t="e">
        <f>SUM(INDEX(AC72:BX72, , 1):INDEX(AC72:BX72, ,MATCH(CB30, E29:BX29,0) ))</f>
        <v>#REF!</v>
      </c>
      <c r="CC72" s="631"/>
    </row>
    <row r="73" spans="2:81" ht="16" hidden="1" outlineLevel="1">
      <c r="B73" s="629"/>
      <c r="C73" s="316" t="s">
        <v>318</v>
      </c>
      <c r="D73" s="291" t="s">
        <v>262</v>
      </c>
      <c r="E73" s="314"/>
      <c r="F73" s="314"/>
      <c r="G73" s="314"/>
      <c r="H73" s="314"/>
      <c r="I73" s="314"/>
      <c r="J73" s="314"/>
      <c r="K73" s="314"/>
      <c r="L73" s="314"/>
      <c r="M73" s="314"/>
      <c r="N73" s="314"/>
      <c r="O73" s="314"/>
      <c r="P73" s="314"/>
      <c r="Q73" s="314"/>
      <c r="R73" s="314"/>
      <c r="S73" s="314"/>
      <c r="T73" s="314"/>
      <c r="U73" s="314"/>
      <c r="V73" s="314"/>
      <c r="W73" s="314"/>
      <c r="X73" s="314"/>
      <c r="Y73" s="314"/>
      <c r="Z73" s="314"/>
      <c r="AA73" s="314"/>
      <c r="AB73" s="314"/>
      <c r="AC73" s="314"/>
      <c r="AD73" s="314"/>
      <c r="AE73" s="314"/>
      <c r="AF73" s="314"/>
      <c r="AG73" s="314"/>
      <c r="AH73" s="314"/>
      <c r="AI73" s="314"/>
      <c r="AJ73" s="314"/>
      <c r="AK73" s="314"/>
      <c r="AL73" s="314"/>
      <c r="AM73" s="314"/>
      <c r="AN73" s="314"/>
      <c r="AO73" s="314"/>
      <c r="AP73" s="314"/>
      <c r="AQ73" s="314"/>
      <c r="AR73" s="314"/>
      <c r="AS73" s="314"/>
      <c r="AT73" s="314"/>
      <c r="AU73" s="314"/>
      <c r="AV73" s="314"/>
      <c r="AW73" s="314"/>
      <c r="AX73" s="314"/>
      <c r="AY73" s="314"/>
      <c r="AZ73" s="314"/>
      <c r="BA73" s="314"/>
      <c r="BB73" s="314"/>
      <c r="BC73" s="314"/>
      <c r="BD73" s="314"/>
      <c r="BE73" s="314"/>
      <c r="BF73" s="314"/>
      <c r="BG73" s="314"/>
      <c r="BH73" s="314"/>
      <c r="BI73" s="314"/>
      <c r="BJ73" s="314"/>
      <c r="BK73" s="314"/>
      <c r="BL73" s="314"/>
      <c r="BM73" s="314"/>
      <c r="BN73" s="314"/>
      <c r="BO73" s="314"/>
      <c r="BP73" s="314"/>
      <c r="BQ73" s="314"/>
      <c r="BR73" s="314"/>
      <c r="BS73" s="314"/>
      <c r="BT73" s="314"/>
      <c r="BU73" s="314"/>
      <c r="BV73" s="314"/>
      <c r="BW73" s="314"/>
      <c r="BX73" s="314"/>
      <c r="BY73" s="315">
        <f t="shared" si="25"/>
        <v>0</v>
      </c>
      <c r="BZ73" s="631"/>
      <c r="CA73" s="265"/>
      <c r="CB73" s="289" t="e">
        <f>SUM(INDEX(AC73:BX73, , 1):INDEX(AC73:BX73, ,MATCH(CB31, E30:BX30,0) ))</f>
        <v>#REF!</v>
      </c>
      <c r="CC73" s="631"/>
    </row>
    <row r="74" spans="2:81" ht="16" hidden="1" outlineLevel="1">
      <c r="B74" s="629"/>
      <c r="C74" s="316" t="s">
        <v>319</v>
      </c>
      <c r="D74" s="291" t="s">
        <v>262</v>
      </c>
      <c r="E74" s="314"/>
      <c r="F74" s="314"/>
      <c r="G74" s="314"/>
      <c r="H74" s="314"/>
      <c r="I74" s="314"/>
      <c r="J74" s="314"/>
      <c r="K74" s="314"/>
      <c r="L74" s="314"/>
      <c r="M74" s="314"/>
      <c r="N74" s="314"/>
      <c r="O74" s="314"/>
      <c r="P74" s="314"/>
      <c r="Q74" s="314"/>
      <c r="R74" s="314"/>
      <c r="S74" s="314"/>
      <c r="T74" s="314"/>
      <c r="U74" s="314"/>
      <c r="V74" s="314"/>
      <c r="W74" s="314"/>
      <c r="X74" s="314"/>
      <c r="Y74" s="314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  <c r="AX74" s="314"/>
      <c r="AY74" s="314"/>
      <c r="AZ74" s="314"/>
      <c r="BA74" s="314"/>
      <c r="BB74" s="314"/>
      <c r="BC74" s="314"/>
      <c r="BD74" s="314"/>
      <c r="BE74" s="314"/>
      <c r="BF74" s="314"/>
      <c r="BG74" s="314"/>
      <c r="BH74" s="314"/>
      <c r="BI74" s="314"/>
      <c r="BJ74" s="314"/>
      <c r="BK74" s="314"/>
      <c r="BL74" s="314"/>
      <c r="BM74" s="314"/>
      <c r="BN74" s="314"/>
      <c r="BO74" s="314"/>
      <c r="BP74" s="314"/>
      <c r="BQ74" s="314"/>
      <c r="BR74" s="314"/>
      <c r="BS74" s="314"/>
      <c r="BT74" s="314"/>
      <c r="BU74" s="314"/>
      <c r="BV74" s="314"/>
      <c r="BW74" s="314"/>
      <c r="BX74" s="314"/>
      <c r="BY74" s="315">
        <f t="shared" si="25"/>
        <v>0</v>
      </c>
      <c r="BZ74" s="631"/>
      <c r="CA74" s="265"/>
      <c r="CB74" s="289" t="e">
        <f>SUM(INDEX(AC74:BX74, , 1):INDEX(AC74:BX74, ,MATCH(CB32, E31:BX31,0) ))</f>
        <v>#REF!</v>
      </c>
      <c r="CC74" s="631"/>
    </row>
    <row r="75" spans="2:81" ht="16" hidden="1" outlineLevel="1">
      <c r="B75" s="629"/>
      <c r="C75" s="316" t="s">
        <v>320</v>
      </c>
      <c r="D75" s="291" t="s">
        <v>262</v>
      </c>
      <c r="E75" s="314"/>
      <c r="F75" s="314"/>
      <c r="G75" s="314"/>
      <c r="H75" s="314"/>
      <c r="I75" s="314"/>
      <c r="J75" s="314"/>
      <c r="K75" s="314"/>
      <c r="L75" s="314"/>
      <c r="M75" s="314"/>
      <c r="N75" s="314"/>
      <c r="O75" s="314"/>
      <c r="P75" s="314"/>
      <c r="Q75" s="314"/>
      <c r="R75" s="314"/>
      <c r="S75" s="314"/>
      <c r="T75" s="314"/>
      <c r="U75" s="314"/>
      <c r="V75" s="314"/>
      <c r="W75" s="314"/>
      <c r="X75" s="314"/>
      <c r="Y75" s="314"/>
      <c r="Z75" s="314"/>
      <c r="AA75" s="314"/>
      <c r="AB75" s="314"/>
      <c r="AC75" s="314"/>
      <c r="AD75" s="314"/>
      <c r="AE75" s="314"/>
      <c r="AF75" s="314"/>
      <c r="AG75" s="314"/>
      <c r="AH75" s="314"/>
      <c r="AI75" s="314"/>
      <c r="AJ75" s="314"/>
      <c r="AK75" s="314"/>
      <c r="AL75" s="314"/>
      <c r="AM75" s="314"/>
      <c r="AN75" s="314"/>
      <c r="AO75" s="314"/>
      <c r="AP75" s="314"/>
      <c r="AQ75" s="314"/>
      <c r="AR75" s="314"/>
      <c r="AS75" s="314"/>
      <c r="AT75" s="314"/>
      <c r="AU75" s="314"/>
      <c r="AV75" s="314"/>
      <c r="AW75" s="314"/>
      <c r="AX75" s="314"/>
      <c r="AY75" s="314"/>
      <c r="AZ75" s="314"/>
      <c r="BA75" s="314"/>
      <c r="BB75" s="314"/>
      <c r="BC75" s="314"/>
      <c r="BD75" s="314"/>
      <c r="BE75" s="314"/>
      <c r="BF75" s="314"/>
      <c r="BG75" s="314"/>
      <c r="BH75" s="314"/>
      <c r="BI75" s="314"/>
      <c r="BJ75" s="314"/>
      <c r="BK75" s="314"/>
      <c r="BL75" s="314"/>
      <c r="BM75" s="314"/>
      <c r="BN75" s="314"/>
      <c r="BO75" s="314"/>
      <c r="BP75" s="314"/>
      <c r="BQ75" s="314"/>
      <c r="BR75" s="314"/>
      <c r="BS75" s="314"/>
      <c r="BT75" s="314"/>
      <c r="BU75" s="314"/>
      <c r="BV75" s="314"/>
      <c r="BW75" s="314"/>
      <c r="BX75" s="314"/>
      <c r="BY75" s="315">
        <f t="shared" si="25"/>
        <v>0</v>
      </c>
      <c r="BZ75" s="631"/>
      <c r="CA75" s="265"/>
      <c r="CB75" s="289" t="e">
        <f>SUM(INDEX(AC75:BX75, , 1):INDEX(AC75:BX75, ,MATCH(CB33, E32:BX32,0) ))</f>
        <v>#REF!</v>
      </c>
      <c r="CC75" s="631"/>
    </row>
    <row r="76" spans="2:81" ht="16" hidden="1" outlineLevel="1">
      <c r="B76" s="629"/>
      <c r="C76" s="316" t="s">
        <v>321</v>
      </c>
      <c r="D76" s="291" t="s">
        <v>262</v>
      </c>
      <c r="E76" s="314"/>
      <c r="F76" s="314"/>
      <c r="G76" s="314"/>
      <c r="H76" s="314"/>
      <c r="I76" s="314"/>
      <c r="J76" s="314"/>
      <c r="K76" s="314"/>
      <c r="L76" s="314"/>
      <c r="M76" s="314"/>
      <c r="N76" s="314"/>
      <c r="O76" s="314"/>
      <c r="P76" s="314"/>
      <c r="Q76" s="314"/>
      <c r="R76" s="314"/>
      <c r="S76" s="314"/>
      <c r="T76" s="314"/>
      <c r="U76" s="314"/>
      <c r="V76" s="314"/>
      <c r="W76" s="314"/>
      <c r="X76" s="314"/>
      <c r="Y76" s="314"/>
      <c r="Z76" s="314"/>
      <c r="AA76" s="314"/>
      <c r="AB76" s="314"/>
      <c r="AC76" s="314"/>
      <c r="AD76" s="314"/>
      <c r="AE76" s="314"/>
      <c r="AF76" s="314"/>
      <c r="AG76" s="314"/>
      <c r="AH76" s="314"/>
      <c r="AI76" s="314"/>
      <c r="AJ76" s="314"/>
      <c r="AK76" s="314"/>
      <c r="AL76" s="314"/>
      <c r="AM76" s="314"/>
      <c r="AN76" s="314"/>
      <c r="AO76" s="314"/>
      <c r="AP76" s="314"/>
      <c r="AQ76" s="314"/>
      <c r="AR76" s="314"/>
      <c r="AS76" s="314"/>
      <c r="AT76" s="314"/>
      <c r="AU76" s="314"/>
      <c r="AV76" s="314"/>
      <c r="AW76" s="314"/>
      <c r="AX76" s="314"/>
      <c r="AY76" s="314"/>
      <c r="AZ76" s="314"/>
      <c r="BA76" s="314"/>
      <c r="BB76" s="314"/>
      <c r="BC76" s="314"/>
      <c r="BD76" s="314"/>
      <c r="BE76" s="314"/>
      <c r="BF76" s="314"/>
      <c r="BG76" s="314"/>
      <c r="BH76" s="314"/>
      <c r="BI76" s="314"/>
      <c r="BJ76" s="314"/>
      <c r="BK76" s="314"/>
      <c r="BL76" s="314"/>
      <c r="BM76" s="314"/>
      <c r="BN76" s="314"/>
      <c r="BO76" s="314"/>
      <c r="BP76" s="314"/>
      <c r="BQ76" s="314"/>
      <c r="BR76" s="314"/>
      <c r="BS76" s="314"/>
      <c r="BT76" s="314"/>
      <c r="BU76" s="314"/>
      <c r="BV76" s="314"/>
      <c r="BW76" s="314"/>
      <c r="BX76" s="314"/>
      <c r="BY76" s="315">
        <f t="shared" si="25"/>
        <v>0</v>
      </c>
      <c r="BZ76" s="631"/>
      <c r="CA76" s="265"/>
      <c r="CB76" s="289" t="e">
        <f>SUM(INDEX(AC76:BX76, , 1):INDEX(AC76:BX76, ,MATCH(CB34, E33:BX33,0) ))</f>
        <v>#REF!</v>
      </c>
      <c r="CC76" s="631"/>
    </row>
    <row r="77" spans="2:81" ht="16" hidden="1" outlineLevel="1">
      <c r="B77" s="629"/>
      <c r="C77" s="316" t="s">
        <v>322</v>
      </c>
      <c r="D77" s="291" t="s">
        <v>262</v>
      </c>
      <c r="E77" s="314"/>
      <c r="F77" s="314"/>
      <c r="G77" s="314"/>
      <c r="H77" s="314"/>
      <c r="I77" s="314"/>
      <c r="J77" s="314"/>
      <c r="K77" s="314"/>
      <c r="L77" s="314"/>
      <c r="M77" s="314"/>
      <c r="N77" s="314"/>
      <c r="O77" s="314"/>
      <c r="P77" s="314"/>
      <c r="Q77" s="314"/>
      <c r="R77" s="314"/>
      <c r="S77" s="314"/>
      <c r="T77" s="314"/>
      <c r="U77" s="314"/>
      <c r="V77" s="314"/>
      <c r="W77" s="314"/>
      <c r="X77" s="314"/>
      <c r="Y77" s="314"/>
      <c r="Z77" s="314"/>
      <c r="AA77" s="314"/>
      <c r="AB77" s="314"/>
      <c r="AC77" s="314"/>
      <c r="AD77" s="314"/>
      <c r="AE77" s="314"/>
      <c r="AF77" s="314"/>
      <c r="AG77" s="314"/>
      <c r="AH77" s="314"/>
      <c r="AI77" s="314"/>
      <c r="AJ77" s="314"/>
      <c r="AK77" s="314"/>
      <c r="AL77" s="314"/>
      <c r="AM77" s="314"/>
      <c r="AN77" s="314"/>
      <c r="AO77" s="314"/>
      <c r="AP77" s="314"/>
      <c r="AQ77" s="314"/>
      <c r="AR77" s="314"/>
      <c r="AS77" s="314"/>
      <c r="AT77" s="314"/>
      <c r="AU77" s="314"/>
      <c r="AV77" s="314"/>
      <c r="AW77" s="314"/>
      <c r="AX77" s="314"/>
      <c r="AY77" s="314"/>
      <c r="AZ77" s="314"/>
      <c r="BA77" s="314"/>
      <c r="BB77" s="314"/>
      <c r="BC77" s="314"/>
      <c r="BD77" s="314"/>
      <c r="BE77" s="314"/>
      <c r="BF77" s="314"/>
      <c r="BG77" s="314"/>
      <c r="BH77" s="314"/>
      <c r="BI77" s="314"/>
      <c r="BJ77" s="314"/>
      <c r="BK77" s="314"/>
      <c r="BL77" s="314"/>
      <c r="BM77" s="314"/>
      <c r="BN77" s="314"/>
      <c r="BO77" s="314"/>
      <c r="BP77" s="314"/>
      <c r="BQ77" s="314"/>
      <c r="BR77" s="314"/>
      <c r="BS77" s="314"/>
      <c r="BT77" s="314"/>
      <c r="BU77" s="314"/>
      <c r="BV77" s="314"/>
      <c r="BW77" s="314"/>
      <c r="BX77" s="314"/>
      <c r="BY77" s="315">
        <f t="shared" si="25"/>
        <v>0</v>
      </c>
      <c r="BZ77" s="631"/>
      <c r="CA77" s="265"/>
      <c r="CB77" s="289" t="e">
        <f>SUM(INDEX(AC77:BX77, , 1):INDEX(AC77:BX77, ,MATCH(CB35, E34:BX34,0) ))</f>
        <v>#REF!</v>
      </c>
      <c r="CC77" s="631"/>
    </row>
    <row r="78" spans="2:81" ht="16" hidden="1" outlineLevel="1">
      <c r="B78" s="629"/>
      <c r="C78" s="316" t="s">
        <v>323</v>
      </c>
      <c r="D78" s="291" t="s">
        <v>262</v>
      </c>
      <c r="E78" s="314"/>
      <c r="F78" s="314"/>
      <c r="G78" s="314"/>
      <c r="H78" s="314"/>
      <c r="I78" s="314"/>
      <c r="J78" s="314"/>
      <c r="K78" s="314"/>
      <c r="L78" s="314"/>
      <c r="M78" s="314"/>
      <c r="N78" s="314"/>
      <c r="O78" s="314"/>
      <c r="P78" s="314"/>
      <c r="Q78" s="314"/>
      <c r="R78" s="314"/>
      <c r="S78" s="314"/>
      <c r="T78" s="314"/>
      <c r="U78" s="314"/>
      <c r="V78" s="314"/>
      <c r="W78" s="314"/>
      <c r="X78" s="314"/>
      <c r="Y78" s="314"/>
      <c r="Z78" s="314"/>
      <c r="AA78" s="314"/>
      <c r="AB78" s="314"/>
      <c r="AC78" s="314"/>
      <c r="AD78" s="314"/>
      <c r="AE78" s="314"/>
      <c r="AF78" s="314"/>
      <c r="AG78" s="314"/>
      <c r="AH78" s="314"/>
      <c r="AI78" s="314"/>
      <c r="AJ78" s="314"/>
      <c r="AK78" s="314"/>
      <c r="AL78" s="314"/>
      <c r="AM78" s="314"/>
      <c r="AN78" s="314"/>
      <c r="AO78" s="314"/>
      <c r="AP78" s="314"/>
      <c r="AQ78" s="314"/>
      <c r="AR78" s="314"/>
      <c r="AS78" s="314"/>
      <c r="AT78" s="314"/>
      <c r="AU78" s="314"/>
      <c r="AV78" s="314"/>
      <c r="AW78" s="314"/>
      <c r="AX78" s="314"/>
      <c r="AY78" s="314"/>
      <c r="AZ78" s="314"/>
      <c r="BA78" s="314"/>
      <c r="BB78" s="314"/>
      <c r="BC78" s="314"/>
      <c r="BD78" s="314"/>
      <c r="BE78" s="314"/>
      <c r="BF78" s="314"/>
      <c r="BG78" s="314"/>
      <c r="BH78" s="314"/>
      <c r="BI78" s="314"/>
      <c r="BJ78" s="314"/>
      <c r="BK78" s="314"/>
      <c r="BL78" s="314"/>
      <c r="BM78" s="314"/>
      <c r="BN78" s="314"/>
      <c r="BO78" s="314"/>
      <c r="BP78" s="314"/>
      <c r="BQ78" s="314"/>
      <c r="BR78" s="314"/>
      <c r="BS78" s="314"/>
      <c r="BT78" s="314"/>
      <c r="BU78" s="314"/>
      <c r="BV78" s="314"/>
      <c r="BW78" s="314"/>
      <c r="BX78" s="314"/>
      <c r="BY78" s="315">
        <f t="shared" si="25"/>
        <v>0</v>
      </c>
      <c r="BZ78" s="631"/>
      <c r="CA78" s="265"/>
      <c r="CB78" s="289" t="e">
        <f>SUM(INDEX(AC78:BX78, , 1):INDEX(AC78:BX78, ,MATCH(CB36, E35:BX35,0) ))</f>
        <v>#N/A</v>
      </c>
      <c r="CC78" s="631"/>
    </row>
    <row r="79" spans="2:81" ht="16" hidden="1" outlineLevel="1">
      <c r="B79" s="629"/>
      <c r="C79" s="316" t="s">
        <v>324</v>
      </c>
      <c r="D79" s="291" t="s">
        <v>262</v>
      </c>
      <c r="E79" s="314"/>
      <c r="F79" s="314"/>
      <c r="G79" s="314"/>
      <c r="H79" s="314"/>
      <c r="I79" s="314"/>
      <c r="J79" s="314"/>
      <c r="K79" s="314"/>
      <c r="L79" s="314"/>
      <c r="M79" s="314"/>
      <c r="N79" s="314"/>
      <c r="O79" s="314"/>
      <c r="P79" s="314"/>
      <c r="Q79" s="314"/>
      <c r="R79" s="314"/>
      <c r="S79" s="314"/>
      <c r="T79" s="314"/>
      <c r="U79" s="314"/>
      <c r="V79" s="314"/>
      <c r="W79" s="314"/>
      <c r="X79" s="314"/>
      <c r="Y79" s="314"/>
      <c r="Z79" s="314"/>
      <c r="AA79" s="314"/>
      <c r="AB79" s="314"/>
      <c r="AC79" s="314"/>
      <c r="AD79" s="314"/>
      <c r="AE79" s="314"/>
      <c r="AF79" s="314"/>
      <c r="AG79" s="314"/>
      <c r="AH79" s="314"/>
      <c r="AI79" s="314">
        <f>-Businessplan_prodej!$N$23/12</f>
        <v>-126434.56</v>
      </c>
      <c r="AJ79" s="314"/>
      <c r="AK79" s="314"/>
      <c r="AL79" s="314"/>
      <c r="AM79" s="314"/>
      <c r="AN79" s="314"/>
      <c r="AO79" s="314"/>
      <c r="AP79" s="314"/>
      <c r="AQ79" s="314"/>
      <c r="AR79" s="314"/>
      <c r="AS79" s="314"/>
      <c r="AT79" s="314"/>
      <c r="AU79" s="314"/>
      <c r="AV79" s="314"/>
      <c r="AW79" s="314"/>
      <c r="AX79" s="314"/>
      <c r="AY79" s="314"/>
      <c r="AZ79" s="314"/>
      <c r="BA79" s="314"/>
      <c r="BB79" s="314"/>
      <c r="BC79" s="314"/>
      <c r="BD79" s="314"/>
      <c r="BE79" s="314"/>
      <c r="BF79" s="314"/>
      <c r="BG79" s="314"/>
      <c r="BH79" s="314"/>
      <c r="BI79" s="314"/>
      <c r="BJ79" s="314"/>
      <c r="BK79" s="314"/>
      <c r="BL79" s="314"/>
      <c r="BM79" s="314"/>
      <c r="BN79" s="314"/>
      <c r="BO79" s="314"/>
      <c r="BP79" s="314"/>
      <c r="BQ79" s="314"/>
      <c r="BR79" s="314"/>
      <c r="BS79" s="314"/>
      <c r="BT79" s="314"/>
      <c r="BU79" s="314"/>
      <c r="BV79" s="314"/>
      <c r="BW79" s="314"/>
      <c r="BX79" s="314"/>
      <c r="BY79" s="315">
        <f t="shared" si="25"/>
        <v>-126434.56</v>
      </c>
      <c r="BZ79" s="631"/>
      <c r="CA79" s="265" t="s">
        <v>325</v>
      </c>
      <c r="CB79" s="289" t="e">
        <f>SUM(INDEX(AC79:BX79, , 1):INDEX(AC79:BX79, ,MATCH(CB37, E36:BX36,0) ))</f>
        <v>#REF!</v>
      </c>
      <c r="CC79" s="631"/>
    </row>
    <row r="80" spans="2:81" ht="16" hidden="1" outlineLevel="1">
      <c r="B80" s="629"/>
      <c r="C80" s="316" t="s">
        <v>326</v>
      </c>
      <c r="D80" s="291" t="s">
        <v>262</v>
      </c>
      <c r="E80" s="314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 s="314"/>
      <c r="R80" s="314"/>
      <c r="S80" s="314"/>
      <c r="T80" s="314"/>
      <c r="U80" s="314"/>
      <c r="V80" s="314"/>
      <c r="W80" s="314"/>
      <c r="X80" s="314"/>
      <c r="Y80" s="314"/>
      <c r="Z80" s="314"/>
      <c r="AA80" s="314"/>
      <c r="AB80" s="314"/>
      <c r="AC80" s="314"/>
      <c r="AD80" s="314"/>
      <c r="AE80" s="314"/>
      <c r="AF80" s="314"/>
      <c r="AG80" s="314"/>
      <c r="AH80" s="314"/>
      <c r="AI80" s="314"/>
      <c r="AJ80" s="314"/>
      <c r="AK80" s="314"/>
      <c r="AL80" s="314"/>
      <c r="AM80" s="314"/>
      <c r="AN80" s="314"/>
      <c r="AO80" s="314"/>
      <c r="AP80" s="314"/>
      <c r="AQ80" s="314"/>
      <c r="AR80" s="314"/>
      <c r="AS80" s="314"/>
      <c r="AT80" s="314"/>
      <c r="AU80" s="314"/>
      <c r="AV80" s="314"/>
      <c r="AW80" s="314"/>
      <c r="AX80" s="314"/>
      <c r="AY80" s="314"/>
      <c r="AZ80" s="314"/>
      <c r="BA80" s="314"/>
      <c r="BB80" s="314"/>
      <c r="BC80" s="314"/>
      <c r="BD80" s="314"/>
      <c r="BE80" s="314"/>
      <c r="BF80" s="314"/>
      <c r="BG80" s="314"/>
      <c r="BH80" s="314"/>
      <c r="BI80" s="314"/>
      <c r="BJ80" s="314"/>
      <c r="BK80" s="314"/>
      <c r="BL80" s="314"/>
      <c r="BM80" s="314"/>
      <c r="BN80" s="314"/>
      <c r="BO80" s="314"/>
      <c r="BP80" s="314"/>
      <c r="BQ80" s="314"/>
      <c r="BR80" s="314"/>
      <c r="BS80" s="314"/>
      <c r="BT80" s="314"/>
      <c r="BU80" s="314"/>
      <c r="BV80" s="314"/>
      <c r="BW80" s="314"/>
      <c r="BX80" s="314"/>
      <c r="BY80" s="315">
        <f t="shared" si="25"/>
        <v>0</v>
      </c>
      <c r="BZ80" s="631"/>
      <c r="CA80" s="265"/>
      <c r="CB80" s="289" t="e">
        <f>SUM(INDEX(AC80:BX80, , 1):INDEX(AC80:BX80, ,MATCH(CB38, E37:BX37,0) ))</f>
        <v>#REF!</v>
      </c>
      <c r="CC80" s="631"/>
    </row>
    <row r="81" spans="2:81" ht="16" hidden="1" outlineLevel="1">
      <c r="B81" s="629"/>
      <c r="C81" s="317" t="s">
        <v>290</v>
      </c>
      <c r="D81" s="291" t="s">
        <v>262</v>
      </c>
      <c r="E81" s="314"/>
      <c r="F81" s="292"/>
      <c r="G81" s="292"/>
      <c r="H81" s="292"/>
      <c r="I81" s="292"/>
      <c r="J81" s="292"/>
      <c r="K81" s="292"/>
      <c r="L81" s="292"/>
      <c r="M81" s="292"/>
      <c r="N81" s="292"/>
      <c r="O81" s="292"/>
      <c r="P81" s="292"/>
      <c r="Q81" s="292"/>
      <c r="R81" s="292"/>
      <c r="S81" s="292"/>
      <c r="T81" s="292"/>
      <c r="U81" s="292"/>
      <c r="V81" s="292"/>
      <c r="W81" s="292"/>
      <c r="X81" s="292"/>
      <c r="Y81" s="292"/>
      <c r="Z81" s="292"/>
      <c r="AA81" s="292"/>
      <c r="AB81" s="292"/>
      <c r="AC81" s="292"/>
      <c r="AD81" s="292"/>
      <c r="AE81" s="292"/>
      <c r="AF81" s="292"/>
      <c r="AG81" s="292"/>
      <c r="AH81" s="292"/>
      <c r="AI81" s="292"/>
      <c r="AJ81" s="292"/>
      <c r="AK81" s="292"/>
      <c r="AL81" s="292"/>
      <c r="AM81" s="292"/>
      <c r="AN81" s="292"/>
      <c r="AO81" s="292"/>
      <c r="AP81" s="292"/>
      <c r="AQ81" s="292"/>
      <c r="AR81" s="292"/>
      <c r="AS81" s="292"/>
      <c r="AT81" s="292"/>
      <c r="AU81" s="292"/>
      <c r="AV81" s="292"/>
      <c r="AW81" s="292"/>
      <c r="AX81" s="292"/>
      <c r="AY81" s="292"/>
      <c r="AZ81" s="292"/>
      <c r="BA81" s="292"/>
      <c r="BB81" s="292"/>
      <c r="BC81" s="292"/>
      <c r="BD81" s="292"/>
      <c r="BE81" s="292"/>
      <c r="BF81" s="292"/>
      <c r="BG81" s="292"/>
      <c r="BH81" s="292"/>
      <c r="BI81" s="292"/>
      <c r="BJ81" s="292"/>
      <c r="BK81" s="292"/>
      <c r="BL81" s="292"/>
      <c r="BM81" s="292"/>
      <c r="BN81" s="292"/>
      <c r="BO81" s="292"/>
      <c r="BP81" s="292"/>
      <c r="BQ81" s="292"/>
      <c r="BR81" s="292"/>
      <c r="BS81" s="292"/>
      <c r="BT81" s="292"/>
      <c r="BU81" s="292"/>
      <c r="BV81" s="292"/>
      <c r="BW81" s="292"/>
      <c r="BX81" s="292"/>
      <c r="BY81" s="315">
        <f t="shared" si="25"/>
        <v>0</v>
      </c>
      <c r="BZ81" s="631"/>
      <c r="CA81" s="265"/>
      <c r="CB81" s="289" t="e">
        <f>SUM(INDEX(AC81:BX81, , 1):INDEX(AC81:BX81, ,MATCH(CB39, E38:BX38,0) ))</f>
        <v>#N/A</v>
      </c>
      <c r="CC81" s="631"/>
    </row>
    <row r="82" spans="2:81" ht="16" hidden="1" outlineLevel="1">
      <c r="B82" s="629"/>
      <c r="C82" s="316" t="s">
        <v>291</v>
      </c>
      <c r="D82" s="291" t="s">
        <v>262</v>
      </c>
      <c r="E82" s="314"/>
      <c r="F82" s="292"/>
      <c r="G82" s="292"/>
      <c r="H82" s="292"/>
      <c r="I82" s="292"/>
      <c r="J82" s="292"/>
      <c r="K82" s="292"/>
      <c r="L82" s="292"/>
      <c r="M82" s="292"/>
      <c r="N82" s="292"/>
      <c r="O82" s="292"/>
      <c r="P82" s="292"/>
      <c r="Q82" s="292"/>
      <c r="R82" s="292"/>
      <c r="S82" s="292"/>
      <c r="T82" s="292"/>
      <c r="U82" s="292"/>
      <c r="V82" s="292"/>
      <c r="W82" s="292"/>
      <c r="X82" s="292"/>
      <c r="Y82" s="292"/>
      <c r="Z82" s="292"/>
      <c r="AA82" s="292"/>
      <c r="AB82" s="292"/>
      <c r="AC82" s="292"/>
      <c r="AD82" s="292"/>
      <c r="AE82" s="292"/>
      <c r="AF82" s="292"/>
      <c r="AG82" s="292"/>
      <c r="AH82" s="292"/>
      <c r="AI82" s="292"/>
      <c r="AJ82" s="292"/>
      <c r="AK82" s="292"/>
      <c r="AL82" s="292"/>
      <c r="AM82" s="292"/>
      <c r="AN82" s="292"/>
      <c r="AO82" s="292"/>
      <c r="AP82" s="292"/>
      <c r="AQ82" s="292"/>
      <c r="AR82" s="292"/>
      <c r="AS82" s="292"/>
      <c r="AT82" s="292"/>
      <c r="AU82" s="292"/>
      <c r="AV82" s="292"/>
      <c r="AW82" s="292"/>
      <c r="AX82" s="292"/>
      <c r="AY82" s="292"/>
      <c r="AZ82" s="292"/>
      <c r="BA82" s="292"/>
      <c r="BB82" s="292"/>
      <c r="BC82" s="292"/>
      <c r="BD82" s="292"/>
      <c r="BE82" s="292"/>
      <c r="BF82" s="292"/>
      <c r="BG82" s="292"/>
      <c r="BH82" s="292"/>
      <c r="BI82" s="292"/>
      <c r="BJ82" s="292"/>
      <c r="BK82" s="292"/>
      <c r="BL82" s="292"/>
      <c r="BM82" s="292"/>
      <c r="BN82" s="292"/>
      <c r="BO82" s="292"/>
      <c r="BP82" s="292"/>
      <c r="BQ82" s="292"/>
      <c r="BR82" s="292"/>
      <c r="BS82" s="292"/>
      <c r="BT82" s="292"/>
      <c r="BU82" s="292"/>
      <c r="BV82" s="292"/>
      <c r="BW82" s="292"/>
      <c r="BX82" s="292"/>
      <c r="BY82" s="315">
        <f t="shared" si="25"/>
        <v>0</v>
      </c>
      <c r="BZ82" s="631"/>
      <c r="CA82" s="265"/>
      <c r="CB82" s="289" t="e">
        <f>SUM(INDEX(AC82:BX82, , 1):INDEX(AC82:BX82, ,MATCH(CB40, E39:BX39,0) ))</f>
        <v>#REF!</v>
      </c>
      <c r="CC82" s="631"/>
    </row>
    <row r="83" spans="2:81" ht="16" hidden="1" outlineLevel="1">
      <c r="B83" s="629"/>
      <c r="C83" s="316" t="s">
        <v>297</v>
      </c>
      <c r="D83" s="291" t="s">
        <v>262</v>
      </c>
      <c r="E83" s="314"/>
      <c r="F83" s="292"/>
      <c r="G83" s="292"/>
      <c r="H83" s="292"/>
      <c r="I83" s="292"/>
      <c r="J83" s="292"/>
      <c r="K83" s="292"/>
      <c r="L83" s="292"/>
      <c r="M83" s="292"/>
      <c r="N83" s="292"/>
      <c r="O83" s="292"/>
      <c r="P83" s="292"/>
      <c r="Q83" s="292"/>
      <c r="R83" s="292"/>
      <c r="S83" s="292"/>
      <c r="T83" s="292"/>
      <c r="U83" s="292"/>
      <c r="V83" s="292"/>
      <c r="W83" s="292"/>
      <c r="X83" s="292"/>
      <c r="Y83" s="292"/>
      <c r="Z83" s="292"/>
      <c r="AA83" s="292"/>
      <c r="AB83" s="292"/>
      <c r="AC83" s="292"/>
      <c r="AD83" s="292"/>
      <c r="AE83" s="292"/>
      <c r="AF83" s="292"/>
      <c r="AG83" s="292"/>
      <c r="AH83" s="292"/>
      <c r="AI83" s="292"/>
      <c r="AJ83" s="292"/>
      <c r="AK83" s="292"/>
      <c r="AL83" s="292"/>
      <c r="AM83" s="292"/>
      <c r="AN83" s="292"/>
      <c r="AO83" s="292"/>
      <c r="AP83" s="292"/>
      <c r="AQ83" s="292"/>
      <c r="AR83" s="292"/>
      <c r="AS83" s="292"/>
      <c r="AT83" s="292"/>
      <c r="AU83" s="292"/>
      <c r="AV83" s="292"/>
      <c r="AW83" s="292"/>
      <c r="AX83" s="292"/>
      <c r="AY83" s="292"/>
      <c r="AZ83" s="292"/>
      <c r="BA83" s="292"/>
      <c r="BB83" s="292"/>
      <c r="BC83" s="292"/>
      <c r="BD83" s="292"/>
      <c r="BE83" s="292"/>
      <c r="BF83" s="292"/>
      <c r="BG83" s="292"/>
      <c r="BH83" s="292"/>
      <c r="BI83" s="292"/>
      <c r="BJ83" s="292"/>
      <c r="BK83" s="292"/>
      <c r="BL83" s="292"/>
      <c r="BM83" s="292"/>
      <c r="BN83" s="292"/>
      <c r="BO83" s="292"/>
      <c r="BP83" s="292"/>
      <c r="BQ83" s="292"/>
      <c r="BR83" s="292"/>
      <c r="BS83" s="292"/>
      <c r="BT83" s="292"/>
      <c r="BU83" s="292"/>
      <c r="BV83" s="292"/>
      <c r="BW83" s="292"/>
      <c r="BX83" s="292"/>
      <c r="BY83" s="315">
        <f t="shared" si="25"/>
        <v>0</v>
      </c>
      <c r="BZ83" s="631"/>
      <c r="CA83" s="265"/>
      <c r="CB83" s="289" t="e">
        <f>SUM(INDEX(AC83:BX83, , 1):INDEX(AC83:BX83, ,MATCH(#REF!, E40:BX40,0) ))</f>
        <v>#REF!</v>
      </c>
      <c r="CC83" s="631"/>
    </row>
    <row r="84" spans="2:81" ht="16" hidden="1" outlineLevel="1">
      <c r="B84" s="629"/>
      <c r="C84" s="316" t="s">
        <v>298</v>
      </c>
      <c r="D84" s="291" t="s">
        <v>262</v>
      </c>
      <c r="E84" s="314"/>
      <c r="F84" s="292"/>
      <c r="G84" s="292"/>
      <c r="H84" s="292"/>
      <c r="I84" s="292"/>
      <c r="J84" s="292"/>
      <c r="K84" s="292"/>
      <c r="L84" s="292"/>
      <c r="M84" s="292"/>
      <c r="N84" s="292"/>
      <c r="O84" s="292"/>
      <c r="P84" s="292"/>
      <c r="Q84" s="292"/>
      <c r="R84" s="292"/>
      <c r="S84" s="292"/>
      <c r="T84" s="292"/>
      <c r="U84" s="292"/>
      <c r="V84" s="292"/>
      <c r="W84" s="292"/>
      <c r="X84" s="292"/>
      <c r="Y84" s="292"/>
      <c r="Z84" s="292"/>
      <c r="AA84" s="292"/>
      <c r="AB84" s="292"/>
      <c r="AC84" s="292"/>
      <c r="AD84" s="292"/>
      <c r="AE84" s="292"/>
      <c r="AF84" s="292"/>
      <c r="AG84" s="292"/>
      <c r="AH84" s="292"/>
      <c r="AI84" s="292"/>
      <c r="AJ84" s="292"/>
      <c r="AK84" s="292"/>
      <c r="AL84" s="292"/>
      <c r="AM84" s="292"/>
      <c r="AN84" s="292"/>
      <c r="AO84" s="292"/>
      <c r="AP84" s="292"/>
      <c r="AQ84" s="292"/>
      <c r="AR84" s="292"/>
      <c r="AS84" s="292"/>
      <c r="AT84" s="292"/>
      <c r="AU84" s="292"/>
      <c r="AV84" s="292"/>
      <c r="AW84" s="292"/>
      <c r="AX84" s="292"/>
      <c r="AY84" s="292"/>
      <c r="AZ84" s="292"/>
      <c r="BA84" s="292"/>
      <c r="BB84" s="292"/>
      <c r="BC84" s="292"/>
      <c r="BD84" s="292"/>
      <c r="BE84" s="292"/>
      <c r="BF84" s="292"/>
      <c r="BG84" s="292"/>
      <c r="BH84" s="292"/>
      <c r="BI84" s="292"/>
      <c r="BJ84" s="292"/>
      <c r="BK84" s="292"/>
      <c r="BL84" s="292"/>
      <c r="BM84" s="292"/>
      <c r="BN84" s="292"/>
      <c r="BO84" s="292"/>
      <c r="BP84" s="292"/>
      <c r="BQ84" s="292"/>
      <c r="BR84" s="292"/>
      <c r="BS84" s="292"/>
      <c r="BT84" s="292"/>
      <c r="BU84" s="292"/>
      <c r="BV84" s="292"/>
      <c r="BW84" s="292"/>
      <c r="BX84" s="292"/>
      <c r="BY84" s="315">
        <f t="shared" si="25"/>
        <v>0</v>
      </c>
      <c r="BZ84" s="631"/>
      <c r="CA84" s="265"/>
      <c r="CB84" s="289" t="e">
        <f>SUM(INDEX(AC84:BX84, , 1):INDEX(AC84:BX84, ,MATCH(CB42,#REF!, 0) ))</f>
        <v>#REF!</v>
      </c>
      <c r="CC84" s="631"/>
    </row>
    <row r="85" spans="2:81" ht="16" hidden="1" outlineLevel="1">
      <c r="B85" s="629"/>
      <c r="C85" s="318" t="s">
        <v>327</v>
      </c>
      <c r="D85" s="294" t="s">
        <v>262</v>
      </c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19"/>
      <c r="AI85" s="319"/>
      <c r="AJ85" s="319"/>
      <c r="AK85" s="319"/>
      <c r="AL85" s="319"/>
      <c r="AM85" s="319"/>
      <c r="AN85" s="319"/>
      <c r="AO85" s="319"/>
      <c r="AP85" s="319"/>
      <c r="AQ85" s="319"/>
      <c r="AR85" s="319"/>
      <c r="AS85" s="319"/>
      <c r="AT85" s="319"/>
      <c r="AU85" s="319"/>
      <c r="AV85" s="319"/>
      <c r="AW85" s="319"/>
      <c r="AX85" s="319"/>
      <c r="AY85" s="319"/>
      <c r="AZ85" s="319"/>
      <c r="BA85" s="319"/>
      <c r="BB85" s="319"/>
      <c r="BC85" s="319"/>
      <c r="BD85" s="319"/>
      <c r="BE85" s="319"/>
      <c r="BF85" s="319"/>
      <c r="BG85" s="319"/>
      <c r="BH85" s="319"/>
      <c r="BI85" s="319"/>
      <c r="BJ85" s="319"/>
      <c r="BK85" s="319"/>
      <c r="BL85" s="319"/>
      <c r="BM85" s="319"/>
      <c r="BN85" s="319"/>
      <c r="BO85" s="319"/>
      <c r="BP85" s="319"/>
      <c r="BQ85" s="319"/>
      <c r="BR85" s="319"/>
      <c r="BS85" s="319"/>
      <c r="BT85" s="319"/>
      <c r="BU85" s="319"/>
      <c r="BV85" s="319"/>
      <c r="BW85" s="319"/>
      <c r="BX85" s="319"/>
      <c r="BY85" s="315">
        <f t="shared" si="25"/>
        <v>0</v>
      </c>
      <c r="BZ85" s="631"/>
      <c r="CA85" s="265"/>
      <c r="CB85" s="289" t="e">
        <f t="array" ref="CB85">SUM(INDEX(AC85:BX85, , 1):INDEX(AC85:BX85, ,MATCH(CB43, E42:BX42,0) ))</f>
        <v>#REF!</v>
      </c>
      <c r="CC85" s="631"/>
    </row>
    <row r="86" spans="2:81" ht="16" collapsed="1">
      <c r="B86" s="629"/>
      <c r="C86" s="285" t="s">
        <v>328</v>
      </c>
      <c r="D86" s="286"/>
      <c r="E86" s="287">
        <f t="shared" ref="E86:BY86" si="26">SUM(E87:E88)</f>
        <v>0</v>
      </c>
      <c r="F86" s="287">
        <f t="shared" si="26"/>
        <v>0</v>
      </c>
      <c r="G86" s="287">
        <f t="shared" si="26"/>
        <v>0</v>
      </c>
      <c r="H86" s="287">
        <f t="shared" si="26"/>
        <v>0</v>
      </c>
      <c r="I86" s="287">
        <f t="shared" si="26"/>
        <v>0</v>
      </c>
      <c r="J86" s="287">
        <f t="shared" si="26"/>
        <v>0</v>
      </c>
      <c r="K86" s="287">
        <f t="shared" si="26"/>
        <v>0</v>
      </c>
      <c r="L86" s="287">
        <f t="shared" si="26"/>
        <v>0</v>
      </c>
      <c r="M86" s="287">
        <f t="shared" si="26"/>
        <v>0</v>
      </c>
      <c r="N86" s="287">
        <f t="shared" si="26"/>
        <v>0</v>
      </c>
      <c r="O86" s="287">
        <f t="shared" si="26"/>
        <v>0</v>
      </c>
      <c r="P86" s="287">
        <f t="shared" si="26"/>
        <v>0</v>
      </c>
      <c r="Q86" s="287">
        <f t="shared" si="26"/>
        <v>0</v>
      </c>
      <c r="R86" s="287">
        <f t="shared" si="26"/>
        <v>0</v>
      </c>
      <c r="S86" s="287">
        <f t="shared" si="26"/>
        <v>0</v>
      </c>
      <c r="T86" s="287">
        <f t="shared" si="26"/>
        <v>0</v>
      </c>
      <c r="U86" s="287">
        <f t="shared" si="26"/>
        <v>0</v>
      </c>
      <c r="V86" s="287">
        <f t="shared" si="26"/>
        <v>0</v>
      </c>
      <c r="W86" s="287">
        <f t="shared" si="26"/>
        <v>0</v>
      </c>
      <c r="X86" s="287">
        <f t="shared" si="26"/>
        <v>0</v>
      </c>
      <c r="Y86" s="287">
        <f t="shared" si="26"/>
        <v>0</v>
      </c>
      <c r="Z86" s="287">
        <f t="shared" si="26"/>
        <v>0</v>
      </c>
      <c r="AA86" s="287">
        <f t="shared" si="26"/>
        <v>0</v>
      </c>
      <c r="AB86" s="287">
        <f t="shared" si="26"/>
        <v>0</v>
      </c>
      <c r="AC86" s="287">
        <f t="shared" si="26"/>
        <v>0</v>
      </c>
      <c r="AD86" s="287">
        <f t="shared" si="26"/>
        <v>0</v>
      </c>
      <c r="AE86" s="287">
        <f t="shared" si="26"/>
        <v>0</v>
      </c>
      <c r="AF86" s="287">
        <f t="shared" si="26"/>
        <v>0</v>
      </c>
      <c r="AG86" s="287">
        <f t="shared" si="26"/>
        <v>0</v>
      </c>
      <c r="AH86" s="287">
        <f t="shared" si="26"/>
        <v>0</v>
      </c>
      <c r="AI86" s="287">
        <f t="shared" si="26"/>
        <v>0</v>
      </c>
      <c r="AJ86" s="287">
        <f t="shared" si="26"/>
        <v>0</v>
      </c>
      <c r="AK86" s="287">
        <f t="shared" si="26"/>
        <v>0</v>
      </c>
      <c r="AL86" s="287">
        <f t="shared" si="26"/>
        <v>0</v>
      </c>
      <c r="AM86" s="287">
        <f t="shared" si="26"/>
        <v>0</v>
      </c>
      <c r="AN86" s="287">
        <f t="shared" si="26"/>
        <v>0</v>
      </c>
      <c r="AO86" s="287">
        <f t="shared" si="26"/>
        <v>0</v>
      </c>
      <c r="AP86" s="287">
        <f t="shared" si="26"/>
        <v>0</v>
      </c>
      <c r="AQ86" s="287">
        <f t="shared" si="26"/>
        <v>0</v>
      </c>
      <c r="AR86" s="287">
        <f t="shared" si="26"/>
        <v>0</v>
      </c>
      <c r="AS86" s="287">
        <f t="shared" si="26"/>
        <v>0</v>
      </c>
      <c r="AT86" s="287">
        <f t="shared" si="26"/>
        <v>0</v>
      </c>
      <c r="AU86" s="287">
        <f t="shared" si="26"/>
        <v>0</v>
      </c>
      <c r="AV86" s="287">
        <f t="shared" si="26"/>
        <v>0</v>
      </c>
      <c r="AW86" s="287">
        <f t="shared" si="26"/>
        <v>0</v>
      </c>
      <c r="AX86" s="287">
        <f t="shared" si="26"/>
        <v>0</v>
      </c>
      <c r="AY86" s="287">
        <f t="shared" si="26"/>
        <v>0</v>
      </c>
      <c r="AZ86" s="287">
        <f t="shared" si="26"/>
        <v>0</v>
      </c>
      <c r="BA86" s="287">
        <f t="shared" si="26"/>
        <v>0</v>
      </c>
      <c r="BB86" s="287">
        <f t="shared" si="26"/>
        <v>0</v>
      </c>
      <c r="BC86" s="287">
        <f t="shared" si="26"/>
        <v>0</v>
      </c>
      <c r="BD86" s="287">
        <f t="shared" si="26"/>
        <v>0</v>
      </c>
      <c r="BE86" s="287">
        <f t="shared" si="26"/>
        <v>0</v>
      </c>
      <c r="BF86" s="287">
        <f t="shared" si="26"/>
        <v>0</v>
      </c>
      <c r="BG86" s="287">
        <f t="shared" si="26"/>
        <v>0</v>
      </c>
      <c r="BH86" s="287">
        <f t="shared" si="26"/>
        <v>0</v>
      </c>
      <c r="BI86" s="287">
        <f t="shared" si="26"/>
        <v>0</v>
      </c>
      <c r="BJ86" s="287">
        <f t="shared" si="26"/>
        <v>0</v>
      </c>
      <c r="BK86" s="287">
        <f t="shared" si="26"/>
        <v>0</v>
      </c>
      <c r="BL86" s="287">
        <f t="shared" si="26"/>
        <v>0</v>
      </c>
      <c r="BM86" s="287">
        <f t="shared" si="26"/>
        <v>0</v>
      </c>
      <c r="BN86" s="287">
        <f t="shared" si="26"/>
        <v>0</v>
      </c>
      <c r="BO86" s="287">
        <f t="shared" si="26"/>
        <v>0</v>
      </c>
      <c r="BP86" s="287">
        <f t="shared" si="26"/>
        <v>0</v>
      </c>
      <c r="BQ86" s="287">
        <f t="shared" si="26"/>
        <v>0</v>
      </c>
      <c r="BR86" s="287">
        <f t="shared" si="26"/>
        <v>0</v>
      </c>
      <c r="BS86" s="287">
        <f t="shared" si="26"/>
        <v>0</v>
      </c>
      <c r="BT86" s="287">
        <f t="shared" si="26"/>
        <v>0</v>
      </c>
      <c r="BU86" s="287">
        <f t="shared" si="26"/>
        <v>0</v>
      </c>
      <c r="BV86" s="287">
        <f t="shared" si="26"/>
        <v>0</v>
      </c>
      <c r="BW86" s="287">
        <f t="shared" si="26"/>
        <v>0</v>
      </c>
      <c r="BX86" s="287">
        <f t="shared" si="26"/>
        <v>0</v>
      </c>
      <c r="BY86" s="288">
        <f t="shared" si="26"/>
        <v>0</v>
      </c>
      <c r="BZ86" s="631"/>
      <c r="CA86" s="265"/>
      <c r="CB86" s="289" t="e">
        <f t="array" ref="CB86">SUM(INDEX(E86:BX86, , 1):INDEX(E86:BX86, ,MATCH($CB$4, $E$3:$BX$3,0) ))</f>
        <v>#N/A</v>
      </c>
      <c r="CC86" s="631"/>
    </row>
    <row r="87" spans="2:81" ht="16" hidden="1" outlineLevel="1">
      <c r="B87" s="629"/>
      <c r="C87" s="313" t="s">
        <v>329</v>
      </c>
      <c r="D87" s="291" t="s">
        <v>262</v>
      </c>
      <c r="E87" s="320"/>
      <c r="F87" s="320"/>
      <c r="G87" s="320"/>
      <c r="H87" s="320"/>
      <c r="I87" s="320"/>
      <c r="J87" s="320"/>
      <c r="K87" s="320"/>
      <c r="L87" s="320"/>
      <c r="M87" s="320"/>
      <c r="N87" s="320"/>
      <c r="O87" s="320"/>
      <c r="P87" s="320"/>
      <c r="Q87" s="320"/>
      <c r="R87" s="320"/>
      <c r="S87" s="320"/>
      <c r="T87" s="320"/>
      <c r="U87" s="320"/>
      <c r="V87" s="320"/>
      <c r="W87" s="320"/>
      <c r="X87" s="320"/>
      <c r="Y87" s="320"/>
      <c r="Z87" s="320"/>
      <c r="AA87" s="320"/>
      <c r="AB87" s="320"/>
      <c r="AC87" s="320"/>
      <c r="AD87" s="320"/>
      <c r="AE87" s="320"/>
      <c r="AF87" s="320"/>
      <c r="AG87" s="320"/>
      <c r="AH87" s="320"/>
      <c r="AI87" s="320"/>
      <c r="AJ87" s="320"/>
      <c r="AK87" s="320"/>
      <c r="AL87" s="320"/>
      <c r="AM87" s="320"/>
      <c r="AN87" s="320"/>
      <c r="AO87" s="320"/>
      <c r="AP87" s="320"/>
      <c r="AQ87" s="320"/>
      <c r="AR87" s="320"/>
      <c r="AS87" s="320"/>
      <c r="AT87" s="320"/>
      <c r="AU87" s="320"/>
      <c r="AV87" s="320"/>
      <c r="AW87" s="320"/>
      <c r="AX87" s="320"/>
      <c r="AY87" s="320"/>
      <c r="AZ87" s="320"/>
      <c r="BA87" s="320"/>
      <c r="BB87" s="320"/>
      <c r="BC87" s="320"/>
      <c r="BD87" s="320"/>
      <c r="BE87" s="320"/>
      <c r="BF87" s="320"/>
      <c r="BG87" s="320"/>
      <c r="BH87" s="320"/>
      <c r="BI87" s="320"/>
      <c r="BJ87" s="320"/>
      <c r="BK87" s="320"/>
      <c r="BL87" s="320"/>
      <c r="BM87" s="320"/>
      <c r="BN87" s="320"/>
      <c r="BO87" s="320"/>
      <c r="BP87" s="320"/>
      <c r="BQ87" s="320"/>
      <c r="BR87" s="320"/>
      <c r="BS87" s="320"/>
      <c r="BT87" s="320"/>
      <c r="BU87" s="320"/>
      <c r="BV87" s="320"/>
      <c r="BW87" s="320"/>
      <c r="BX87" s="320"/>
      <c r="BY87" s="321">
        <f t="shared" ref="BY87:BY88" si="27">SUM(E87:BX87)</f>
        <v>0</v>
      </c>
      <c r="BZ87" s="631"/>
      <c r="CA87" s="265"/>
      <c r="CB87" s="289" t="e">
        <f t="shared" ref="CB87:CB88" si="28">SUM(INDEX(AC87:BX87, , 1):INDEX(AC87:BX87, ,MATCH($CB$4, $E$3:$BX$3,0) ))</f>
        <v>#N/A</v>
      </c>
      <c r="CC87" s="631"/>
    </row>
    <row r="88" spans="2:81" ht="16" hidden="1" outlineLevel="1">
      <c r="B88" s="629"/>
      <c r="C88" s="318" t="s">
        <v>330</v>
      </c>
      <c r="D88" s="294" t="s">
        <v>262</v>
      </c>
      <c r="E88" s="322"/>
      <c r="F88" s="311"/>
      <c r="G88" s="311"/>
      <c r="H88" s="311"/>
      <c r="I88" s="311"/>
      <c r="J88" s="311"/>
      <c r="K88" s="311"/>
      <c r="L88" s="311"/>
      <c r="M88" s="311"/>
      <c r="N88" s="311"/>
      <c r="O88" s="311"/>
      <c r="P88" s="311"/>
      <c r="Q88" s="311"/>
      <c r="R88" s="311"/>
      <c r="S88" s="311"/>
      <c r="T88" s="311"/>
      <c r="U88" s="311"/>
      <c r="V88" s="311"/>
      <c r="W88" s="311"/>
      <c r="X88" s="311"/>
      <c r="Y88" s="311"/>
      <c r="Z88" s="311"/>
      <c r="AA88" s="311"/>
      <c r="AB88" s="311"/>
      <c r="AC88" s="311"/>
      <c r="AD88" s="311"/>
      <c r="AE88" s="311"/>
      <c r="AF88" s="311"/>
      <c r="AG88" s="311"/>
      <c r="AH88" s="311"/>
      <c r="AI88" s="311"/>
      <c r="AJ88" s="311"/>
      <c r="AK88" s="311"/>
      <c r="AL88" s="311"/>
      <c r="AM88" s="311"/>
      <c r="AN88" s="311"/>
      <c r="AO88" s="311"/>
      <c r="AP88" s="311"/>
      <c r="AQ88" s="311"/>
      <c r="AR88" s="311"/>
      <c r="AS88" s="311"/>
      <c r="AT88" s="311"/>
      <c r="AU88" s="311"/>
      <c r="AV88" s="311"/>
      <c r="AW88" s="311"/>
      <c r="AX88" s="311"/>
      <c r="AY88" s="311"/>
      <c r="AZ88" s="311"/>
      <c r="BA88" s="311"/>
      <c r="BB88" s="311"/>
      <c r="BC88" s="311"/>
      <c r="BD88" s="311"/>
      <c r="BE88" s="311"/>
      <c r="BF88" s="311"/>
      <c r="BG88" s="311"/>
      <c r="BH88" s="311"/>
      <c r="BI88" s="311"/>
      <c r="BJ88" s="311"/>
      <c r="BK88" s="311"/>
      <c r="BL88" s="311"/>
      <c r="BM88" s="311"/>
      <c r="BN88" s="311"/>
      <c r="BO88" s="311"/>
      <c r="BP88" s="311"/>
      <c r="BQ88" s="311"/>
      <c r="BR88" s="311"/>
      <c r="BS88" s="311"/>
      <c r="BT88" s="311"/>
      <c r="BU88" s="311"/>
      <c r="BV88" s="311"/>
      <c r="BW88" s="311"/>
      <c r="BX88" s="311"/>
      <c r="BY88" s="323">
        <f t="shared" si="27"/>
        <v>0</v>
      </c>
      <c r="BZ88" s="618"/>
      <c r="CA88" s="265"/>
      <c r="CB88" s="289" t="e">
        <f t="shared" si="28"/>
        <v>#N/A</v>
      </c>
      <c r="CC88" s="618"/>
    </row>
    <row r="89" spans="2:81" collapsed="1">
      <c r="B89" s="629"/>
      <c r="C89" s="285" t="s">
        <v>331</v>
      </c>
      <c r="D89" s="286"/>
      <c r="E89" s="287">
        <f t="shared" ref="E89:BX89" si="29">SUM(E90:E96)</f>
        <v>0</v>
      </c>
      <c r="F89" s="287">
        <f t="shared" si="29"/>
        <v>0</v>
      </c>
      <c r="G89" s="287">
        <f t="shared" si="29"/>
        <v>0</v>
      </c>
      <c r="H89" s="287">
        <f t="shared" si="29"/>
        <v>0</v>
      </c>
      <c r="I89" s="287">
        <f t="shared" si="29"/>
        <v>0</v>
      </c>
      <c r="J89" s="287">
        <f t="shared" si="29"/>
        <v>0</v>
      </c>
      <c r="K89" s="287">
        <f t="shared" si="29"/>
        <v>0</v>
      </c>
      <c r="L89" s="287">
        <f t="shared" si="29"/>
        <v>0</v>
      </c>
      <c r="M89" s="287">
        <f t="shared" si="29"/>
        <v>0</v>
      </c>
      <c r="N89" s="287">
        <f t="shared" si="29"/>
        <v>0</v>
      </c>
      <c r="O89" s="287">
        <f t="shared" si="29"/>
        <v>0</v>
      </c>
      <c r="P89" s="287">
        <f t="shared" si="29"/>
        <v>0</v>
      </c>
      <c r="Q89" s="287">
        <f t="shared" si="29"/>
        <v>0</v>
      </c>
      <c r="R89" s="287">
        <f t="shared" si="29"/>
        <v>0</v>
      </c>
      <c r="S89" s="287">
        <f t="shared" si="29"/>
        <v>0</v>
      </c>
      <c r="T89" s="287">
        <f t="shared" si="29"/>
        <v>0</v>
      </c>
      <c r="U89" s="287">
        <f t="shared" si="29"/>
        <v>0</v>
      </c>
      <c r="V89" s="287">
        <f t="shared" si="29"/>
        <v>0</v>
      </c>
      <c r="W89" s="287">
        <f t="shared" si="29"/>
        <v>0</v>
      </c>
      <c r="X89" s="287">
        <f t="shared" si="29"/>
        <v>0</v>
      </c>
      <c r="Y89" s="287">
        <f t="shared" si="29"/>
        <v>0</v>
      </c>
      <c r="Z89" s="287">
        <f t="shared" si="29"/>
        <v>0</v>
      </c>
      <c r="AA89" s="287">
        <f t="shared" si="29"/>
        <v>0</v>
      </c>
      <c r="AB89" s="287">
        <f t="shared" si="29"/>
        <v>0</v>
      </c>
      <c r="AC89" s="287">
        <f t="shared" si="29"/>
        <v>0</v>
      </c>
      <c r="AD89" s="287">
        <f t="shared" si="29"/>
        <v>0</v>
      </c>
      <c r="AE89" s="287">
        <f t="shared" si="29"/>
        <v>0</v>
      </c>
      <c r="AF89" s="287">
        <f t="shared" si="29"/>
        <v>0</v>
      </c>
      <c r="AG89" s="287">
        <f t="shared" si="29"/>
        <v>0</v>
      </c>
      <c r="AH89" s="287">
        <f t="shared" si="29"/>
        <v>0</v>
      </c>
      <c r="AI89" s="287">
        <f t="shared" si="29"/>
        <v>-142604325</v>
      </c>
      <c r="AJ89" s="287">
        <f t="shared" si="29"/>
        <v>0</v>
      </c>
      <c r="AK89" s="287">
        <f t="shared" si="29"/>
        <v>0</v>
      </c>
      <c r="AL89" s="287">
        <f t="shared" si="29"/>
        <v>0</v>
      </c>
      <c r="AM89" s="287">
        <f t="shared" si="29"/>
        <v>0</v>
      </c>
      <c r="AN89" s="287">
        <f t="shared" si="29"/>
        <v>0</v>
      </c>
      <c r="AO89" s="287">
        <f t="shared" si="29"/>
        <v>0</v>
      </c>
      <c r="AP89" s="287">
        <f t="shared" si="29"/>
        <v>0</v>
      </c>
      <c r="AQ89" s="287">
        <f t="shared" si="29"/>
        <v>0</v>
      </c>
      <c r="AR89" s="287">
        <f t="shared" si="29"/>
        <v>0</v>
      </c>
      <c r="AS89" s="287">
        <f t="shared" si="29"/>
        <v>0</v>
      </c>
      <c r="AT89" s="287">
        <f t="shared" si="29"/>
        <v>0</v>
      </c>
      <c r="AU89" s="287">
        <f t="shared" si="29"/>
        <v>0</v>
      </c>
      <c r="AV89" s="287">
        <f t="shared" si="29"/>
        <v>0</v>
      </c>
      <c r="AW89" s="287">
        <f t="shared" si="29"/>
        <v>0</v>
      </c>
      <c r="AX89" s="287">
        <f t="shared" si="29"/>
        <v>0</v>
      </c>
      <c r="AY89" s="287">
        <f t="shared" si="29"/>
        <v>0</v>
      </c>
      <c r="AZ89" s="287">
        <f t="shared" si="29"/>
        <v>0</v>
      </c>
      <c r="BA89" s="287">
        <f t="shared" si="29"/>
        <v>0</v>
      </c>
      <c r="BB89" s="287">
        <f t="shared" si="29"/>
        <v>0</v>
      </c>
      <c r="BC89" s="287">
        <f t="shared" si="29"/>
        <v>0</v>
      </c>
      <c r="BD89" s="287">
        <f t="shared" si="29"/>
        <v>0</v>
      </c>
      <c r="BE89" s="287">
        <f t="shared" si="29"/>
        <v>0</v>
      </c>
      <c r="BF89" s="287">
        <f t="shared" si="29"/>
        <v>0</v>
      </c>
      <c r="BG89" s="287">
        <f t="shared" si="29"/>
        <v>0</v>
      </c>
      <c r="BH89" s="287">
        <f t="shared" si="29"/>
        <v>0</v>
      </c>
      <c r="BI89" s="287">
        <f t="shared" si="29"/>
        <v>0</v>
      </c>
      <c r="BJ89" s="287">
        <f t="shared" si="29"/>
        <v>0</v>
      </c>
      <c r="BK89" s="287">
        <f t="shared" si="29"/>
        <v>0</v>
      </c>
      <c r="BL89" s="287">
        <f t="shared" si="29"/>
        <v>0</v>
      </c>
      <c r="BM89" s="287">
        <f t="shared" si="29"/>
        <v>0</v>
      </c>
      <c r="BN89" s="287">
        <f t="shared" si="29"/>
        <v>0</v>
      </c>
      <c r="BO89" s="287">
        <f t="shared" si="29"/>
        <v>0</v>
      </c>
      <c r="BP89" s="287">
        <f t="shared" si="29"/>
        <v>0</v>
      </c>
      <c r="BQ89" s="287">
        <f t="shared" si="29"/>
        <v>0</v>
      </c>
      <c r="BR89" s="287">
        <f t="shared" si="29"/>
        <v>0</v>
      </c>
      <c r="BS89" s="287">
        <f t="shared" si="29"/>
        <v>0</v>
      </c>
      <c r="BT89" s="287">
        <f t="shared" si="29"/>
        <v>0</v>
      </c>
      <c r="BU89" s="287">
        <f t="shared" si="29"/>
        <v>0</v>
      </c>
      <c r="BV89" s="287">
        <f t="shared" si="29"/>
        <v>0</v>
      </c>
      <c r="BW89" s="287">
        <f t="shared" si="29"/>
        <v>0</v>
      </c>
      <c r="BX89" s="287">
        <f t="shared" si="29"/>
        <v>0</v>
      </c>
      <c r="BY89" s="637">
        <f>SUM(BZ18:BZ61)</f>
        <v>-149653337.87529624</v>
      </c>
      <c r="BZ89" s="624"/>
      <c r="CA89" s="265"/>
      <c r="CB89" s="265"/>
      <c r="CC89" s="265"/>
    </row>
    <row r="90" spans="2:81" hidden="1" outlineLevel="1">
      <c r="B90" s="629"/>
      <c r="C90" s="290" t="s">
        <v>332</v>
      </c>
      <c r="D90" s="291" t="s">
        <v>262</v>
      </c>
      <c r="E90" s="292"/>
      <c r="F90" s="292"/>
      <c r="G90" s="292"/>
      <c r="H90" s="292"/>
      <c r="I90" s="292"/>
      <c r="J90" s="292"/>
      <c r="K90" s="292"/>
      <c r="L90" s="292"/>
      <c r="M90" s="292"/>
      <c r="N90" s="292"/>
      <c r="O90" s="292"/>
      <c r="P90" s="292"/>
      <c r="Q90" s="292"/>
      <c r="R90" s="292"/>
      <c r="S90" s="292"/>
      <c r="T90" s="292"/>
      <c r="U90" s="292"/>
      <c r="V90" s="292"/>
      <c r="W90" s="292"/>
      <c r="X90" s="292"/>
      <c r="Y90" s="292"/>
      <c r="Z90" s="292"/>
      <c r="AA90" s="292"/>
      <c r="AB90" s="292"/>
      <c r="AC90" s="292"/>
      <c r="AD90" s="292"/>
      <c r="AE90" s="292"/>
      <c r="AF90" s="292"/>
      <c r="AG90" s="292"/>
      <c r="AH90" s="292"/>
      <c r="AI90" s="292"/>
      <c r="AJ90" s="292"/>
      <c r="AK90" s="292"/>
      <c r="AL90" s="292"/>
      <c r="AM90" s="292"/>
      <c r="AN90" s="292"/>
      <c r="AO90" s="292"/>
      <c r="AP90" s="292"/>
      <c r="AQ90" s="292"/>
      <c r="AR90" s="292"/>
      <c r="AS90" s="292"/>
      <c r="AT90" s="292"/>
      <c r="AU90" s="292"/>
      <c r="AV90" s="292"/>
      <c r="AW90" s="292"/>
      <c r="AX90" s="292"/>
      <c r="AY90" s="292"/>
      <c r="AZ90" s="292"/>
      <c r="BA90" s="292"/>
      <c r="BB90" s="292"/>
      <c r="BC90" s="314"/>
      <c r="BD90" s="292"/>
      <c r="BE90" s="292"/>
      <c r="BF90" s="292"/>
      <c r="BG90" s="292"/>
      <c r="BH90" s="292"/>
      <c r="BI90" s="292"/>
      <c r="BJ90" s="292"/>
      <c r="BK90" s="292"/>
      <c r="BL90" s="292"/>
      <c r="BM90" s="292"/>
      <c r="BN90" s="292"/>
      <c r="BO90" s="292"/>
      <c r="BP90" s="292"/>
      <c r="BQ90" s="292"/>
      <c r="BR90" s="292"/>
      <c r="BS90" s="292"/>
      <c r="BT90" s="292"/>
      <c r="BU90" s="292"/>
      <c r="BV90" s="292"/>
      <c r="BW90" s="292"/>
      <c r="BX90" s="297"/>
      <c r="BY90" s="321">
        <f t="shared" ref="BY90:BY96" si="30">SUM(E90:BX90)</f>
        <v>0</v>
      </c>
      <c r="BZ90" s="638">
        <f>SUM(BY90:BY96)</f>
        <v>-142604325</v>
      </c>
      <c r="CA90" s="265"/>
      <c r="CB90" s="265"/>
      <c r="CC90" s="265"/>
    </row>
    <row r="91" spans="2:81" hidden="1" outlineLevel="1">
      <c r="B91" s="629"/>
      <c r="C91" s="290" t="s">
        <v>333</v>
      </c>
      <c r="D91" s="291" t="s">
        <v>262</v>
      </c>
      <c r="E91" s="292"/>
      <c r="F91" s="292"/>
      <c r="G91" s="292"/>
      <c r="H91" s="292"/>
      <c r="I91" s="292"/>
      <c r="J91" s="292"/>
      <c r="K91" s="292"/>
      <c r="L91" s="292"/>
      <c r="M91" s="292"/>
      <c r="N91" s="292"/>
      <c r="O91" s="292"/>
      <c r="P91" s="292"/>
      <c r="Q91" s="292"/>
      <c r="R91" s="292"/>
      <c r="S91" s="292"/>
      <c r="T91" s="292"/>
      <c r="U91" s="292"/>
      <c r="V91" s="292"/>
      <c r="W91" s="292"/>
      <c r="X91" s="292"/>
      <c r="Y91" s="292"/>
      <c r="Z91" s="292"/>
      <c r="AA91" s="292"/>
      <c r="AB91" s="292"/>
      <c r="AC91" s="292"/>
      <c r="AD91" s="292"/>
      <c r="AE91" s="292"/>
      <c r="AF91" s="292"/>
      <c r="AG91" s="292"/>
      <c r="AH91" s="292"/>
      <c r="AI91" s="292">
        <f>-$BY$6</f>
        <v>-50000000</v>
      </c>
      <c r="AJ91" s="292"/>
      <c r="AK91" s="292"/>
      <c r="AL91" s="292"/>
      <c r="AM91" s="292"/>
      <c r="AN91" s="292"/>
      <c r="AO91" s="292"/>
      <c r="AP91" s="292"/>
      <c r="AQ91" s="292"/>
      <c r="AR91" s="292"/>
      <c r="AS91" s="292"/>
      <c r="AT91" s="292"/>
      <c r="AU91" s="292"/>
      <c r="AV91" s="292"/>
      <c r="AW91" s="292"/>
      <c r="AX91" s="292"/>
      <c r="AY91" s="292"/>
      <c r="AZ91" s="292"/>
      <c r="BA91" s="292"/>
      <c r="BB91" s="292"/>
      <c r="BC91" s="292"/>
      <c r="BD91" s="292"/>
      <c r="BE91" s="292"/>
      <c r="BF91" s="292"/>
      <c r="BG91" s="292"/>
      <c r="BH91" s="292"/>
      <c r="BI91" s="292"/>
      <c r="BJ91" s="292"/>
      <c r="BK91" s="292"/>
      <c r="BL91" s="292"/>
      <c r="BM91" s="292"/>
      <c r="BN91" s="292"/>
      <c r="BO91" s="292"/>
      <c r="BP91" s="292"/>
      <c r="BQ91" s="292"/>
      <c r="BR91" s="292"/>
      <c r="BS91" s="292"/>
      <c r="BT91" s="292"/>
      <c r="BU91" s="292"/>
      <c r="BV91" s="292"/>
      <c r="BW91" s="292"/>
      <c r="BX91" s="297"/>
      <c r="BY91" s="315">
        <f t="shared" si="30"/>
        <v>-50000000</v>
      </c>
      <c r="BZ91" s="631"/>
      <c r="CA91" s="265"/>
      <c r="CB91" s="265"/>
      <c r="CC91" s="265"/>
    </row>
    <row r="92" spans="2:81" hidden="1" outlineLevel="1">
      <c r="B92" s="629"/>
      <c r="C92" s="290" t="s">
        <v>334</v>
      </c>
      <c r="D92" s="291" t="s">
        <v>262</v>
      </c>
      <c r="E92" s="292"/>
      <c r="F92" s="292"/>
      <c r="G92" s="292"/>
      <c r="H92" s="292"/>
      <c r="I92" s="292"/>
      <c r="J92" s="292"/>
      <c r="K92" s="292"/>
      <c r="L92" s="292"/>
      <c r="M92" s="292"/>
      <c r="N92" s="292"/>
      <c r="O92" s="292"/>
      <c r="P92" s="292"/>
      <c r="Q92" s="292"/>
      <c r="R92" s="292"/>
      <c r="S92" s="292"/>
      <c r="T92" s="292"/>
      <c r="U92" s="292"/>
      <c r="V92" s="292"/>
      <c r="W92" s="292"/>
      <c r="X92" s="292"/>
      <c r="Y92" s="292"/>
      <c r="Z92" s="292"/>
      <c r="AA92" s="292"/>
      <c r="AB92" s="292"/>
      <c r="AC92" s="292"/>
      <c r="AD92" s="292"/>
      <c r="AE92" s="292"/>
      <c r="AF92" s="292"/>
      <c r="AG92" s="292"/>
      <c r="AH92" s="292"/>
      <c r="AI92" s="292"/>
      <c r="AJ92" s="292"/>
      <c r="AK92" s="292"/>
      <c r="AL92" s="292"/>
      <c r="AM92" s="292"/>
      <c r="AN92" s="292"/>
      <c r="AO92" s="292"/>
      <c r="AP92" s="292"/>
      <c r="AQ92" s="292"/>
      <c r="AR92" s="292"/>
      <c r="AS92" s="292"/>
      <c r="AT92" s="292"/>
      <c r="AU92" s="292"/>
      <c r="AV92" s="292"/>
      <c r="AW92" s="292"/>
      <c r="AX92" s="292"/>
      <c r="AY92" s="292"/>
      <c r="AZ92" s="292"/>
      <c r="BA92" s="292"/>
      <c r="BB92" s="292"/>
      <c r="BC92" s="292"/>
      <c r="BD92" s="292"/>
      <c r="BE92" s="292"/>
      <c r="BF92" s="292"/>
      <c r="BG92" s="292"/>
      <c r="BH92" s="292"/>
      <c r="BI92" s="292"/>
      <c r="BJ92" s="292"/>
      <c r="BK92" s="292"/>
      <c r="BL92" s="292"/>
      <c r="BM92" s="292"/>
      <c r="BN92" s="292"/>
      <c r="BO92" s="292"/>
      <c r="BP92" s="292"/>
      <c r="BQ92" s="292"/>
      <c r="BR92" s="292"/>
      <c r="BS92" s="292"/>
      <c r="BT92" s="292"/>
      <c r="BU92" s="292"/>
      <c r="BV92" s="292"/>
      <c r="BW92" s="292"/>
      <c r="BX92" s="297"/>
      <c r="BY92" s="315">
        <f t="shared" si="30"/>
        <v>0</v>
      </c>
      <c r="BZ92" s="631"/>
      <c r="CA92" s="265"/>
      <c r="CB92" s="265"/>
      <c r="CC92" s="265"/>
    </row>
    <row r="93" spans="2:81" hidden="1" outlineLevel="1">
      <c r="B93" s="629"/>
      <c r="C93" s="290" t="s">
        <v>335</v>
      </c>
      <c r="D93" s="291" t="s">
        <v>262</v>
      </c>
      <c r="E93" s="292"/>
      <c r="F93" s="292"/>
      <c r="G93" s="292"/>
      <c r="H93" s="292"/>
      <c r="I93" s="292"/>
      <c r="J93" s="292"/>
      <c r="K93" s="292"/>
      <c r="L93" s="292"/>
      <c r="M93" s="292"/>
      <c r="N93" s="292"/>
      <c r="O93" s="292"/>
      <c r="P93" s="292"/>
      <c r="Q93" s="292"/>
      <c r="R93" s="292"/>
      <c r="S93" s="292"/>
      <c r="T93" s="292"/>
      <c r="U93" s="292"/>
      <c r="V93" s="292"/>
      <c r="W93" s="292"/>
      <c r="X93" s="292"/>
      <c r="Y93" s="292"/>
      <c r="Z93" s="292"/>
      <c r="AA93" s="292"/>
      <c r="AB93" s="292"/>
      <c r="AC93" s="292"/>
      <c r="AD93" s="292"/>
      <c r="AE93" s="292"/>
      <c r="AF93" s="292"/>
      <c r="AG93" s="292"/>
      <c r="AH93" s="292"/>
      <c r="AI93" s="292"/>
      <c r="AJ93" s="292"/>
      <c r="AK93" s="292"/>
      <c r="AL93" s="292"/>
      <c r="AM93" s="292"/>
      <c r="AN93" s="292"/>
      <c r="AO93" s="292"/>
      <c r="AP93" s="292"/>
      <c r="AQ93" s="292"/>
      <c r="AR93" s="292"/>
      <c r="AS93" s="292"/>
      <c r="AT93" s="292"/>
      <c r="AU93" s="292"/>
      <c r="AV93" s="292"/>
      <c r="AW93" s="292"/>
      <c r="AX93" s="292"/>
      <c r="AY93" s="292"/>
      <c r="AZ93" s="292"/>
      <c r="BA93" s="292"/>
      <c r="BB93" s="292"/>
      <c r="BC93" s="292"/>
      <c r="BD93" s="292"/>
      <c r="BE93" s="292"/>
      <c r="BF93" s="292"/>
      <c r="BG93" s="292"/>
      <c r="BH93" s="292"/>
      <c r="BI93" s="292"/>
      <c r="BJ93" s="292"/>
      <c r="BK93" s="292"/>
      <c r="BL93" s="292"/>
      <c r="BM93" s="292"/>
      <c r="BN93" s="292"/>
      <c r="BO93" s="292"/>
      <c r="BP93" s="292"/>
      <c r="BQ93" s="292"/>
      <c r="BR93" s="292"/>
      <c r="BS93" s="292"/>
      <c r="BT93" s="292"/>
      <c r="BU93" s="292"/>
      <c r="BV93" s="292"/>
      <c r="BW93" s="292"/>
      <c r="BX93" s="297"/>
      <c r="BY93" s="315">
        <f t="shared" si="30"/>
        <v>0</v>
      </c>
      <c r="BZ93" s="631"/>
      <c r="CA93" s="265"/>
      <c r="CB93" s="265"/>
      <c r="CC93" s="265"/>
    </row>
    <row r="94" spans="2:81" hidden="1" outlineLevel="1">
      <c r="B94" s="629"/>
      <c r="C94" s="290" t="s">
        <v>336</v>
      </c>
      <c r="D94" s="291" t="s">
        <v>262</v>
      </c>
      <c r="E94" s="292"/>
      <c r="F94" s="292"/>
      <c r="G94" s="292"/>
      <c r="H94" s="292"/>
      <c r="I94" s="292"/>
      <c r="J94" s="292"/>
      <c r="K94" s="292"/>
      <c r="L94" s="292"/>
      <c r="M94" s="292"/>
      <c r="N94" s="292"/>
      <c r="O94" s="292"/>
      <c r="P94" s="292"/>
      <c r="Q94" s="292"/>
      <c r="R94" s="292"/>
      <c r="S94" s="292"/>
      <c r="T94" s="292"/>
      <c r="U94" s="292"/>
      <c r="V94" s="292"/>
      <c r="W94" s="292"/>
      <c r="X94" s="292"/>
      <c r="Y94" s="292"/>
      <c r="Z94" s="292"/>
      <c r="AA94" s="292"/>
      <c r="AB94" s="292"/>
      <c r="AC94" s="292"/>
      <c r="AD94" s="292"/>
      <c r="AE94" s="292"/>
      <c r="AF94" s="292"/>
      <c r="AG94" s="292"/>
      <c r="AH94" s="292"/>
      <c r="AI94" s="292"/>
      <c r="AJ94" s="292"/>
      <c r="AK94" s="292"/>
      <c r="AL94" s="292"/>
      <c r="AM94" s="292"/>
      <c r="AN94" s="292"/>
      <c r="AO94" s="292"/>
      <c r="AP94" s="292"/>
      <c r="AQ94" s="292"/>
      <c r="AR94" s="292"/>
      <c r="AS94" s="292"/>
      <c r="AT94" s="292"/>
      <c r="AU94" s="292"/>
      <c r="AV94" s="292"/>
      <c r="AW94" s="292"/>
      <c r="AX94" s="292"/>
      <c r="AY94" s="292"/>
      <c r="AZ94" s="292"/>
      <c r="BA94" s="292"/>
      <c r="BB94" s="292"/>
      <c r="BC94" s="314"/>
      <c r="BD94" s="292"/>
      <c r="BE94" s="292"/>
      <c r="BF94" s="292"/>
      <c r="BG94" s="292"/>
      <c r="BH94" s="292"/>
      <c r="BI94" s="292"/>
      <c r="BJ94" s="292"/>
      <c r="BK94" s="292"/>
      <c r="BL94" s="292"/>
      <c r="BM94" s="292"/>
      <c r="BN94" s="292"/>
      <c r="BO94" s="292"/>
      <c r="BP94" s="292"/>
      <c r="BQ94" s="292"/>
      <c r="BR94" s="292"/>
      <c r="BS94" s="292"/>
      <c r="BT94" s="292"/>
      <c r="BU94" s="292"/>
      <c r="BV94" s="292"/>
      <c r="BW94" s="292"/>
      <c r="BX94" s="297"/>
      <c r="BY94" s="315">
        <f t="shared" si="30"/>
        <v>0</v>
      </c>
      <c r="BZ94" s="631"/>
      <c r="CA94" s="265"/>
      <c r="CB94" s="265"/>
      <c r="CC94" s="265"/>
    </row>
    <row r="95" spans="2:81" hidden="1" outlineLevel="1">
      <c r="B95" s="629"/>
      <c r="C95" s="290" t="s">
        <v>337</v>
      </c>
      <c r="D95" s="291" t="s">
        <v>262</v>
      </c>
      <c r="E95" s="292"/>
      <c r="F95" s="292"/>
      <c r="G95" s="292"/>
      <c r="H95" s="292"/>
      <c r="I95" s="292"/>
      <c r="J95" s="292"/>
      <c r="K95" s="292"/>
      <c r="L95" s="292"/>
      <c r="M95" s="292"/>
      <c r="N95" s="292"/>
      <c r="O95" s="292"/>
      <c r="P95" s="292"/>
      <c r="Q95" s="292"/>
      <c r="R95" s="292"/>
      <c r="S95" s="292"/>
      <c r="T95" s="292"/>
      <c r="U95" s="292"/>
      <c r="V95" s="292"/>
      <c r="W95" s="292"/>
      <c r="X95" s="292"/>
      <c r="Y95" s="292"/>
      <c r="Z95" s="292"/>
      <c r="AA95" s="292"/>
      <c r="AB95" s="292"/>
      <c r="AC95" s="292"/>
      <c r="AD95" s="292"/>
      <c r="AE95" s="292"/>
      <c r="AF95" s="292"/>
      <c r="AG95" s="292"/>
      <c r="AH95" s="292"/>
      <c r="AI95" s="292"/>
      <c r="AJ95" s="292"/>
      <c r="AK95" s="292"/>
      <c r="AL95" s="292"/>
      <c r="AM95" s="292"/>
      <c r="AN95" s="292"/>
      <c r="AO95" s="292"/>
      <c r="AP95" s="292"/>
      <c r="AQ95" s="292"/>
      <c r="AR95" s="292"/>
      <c r="AS95" s="292"/>
      <c r="AT95" s="292"/>
      <c r="AU95" s="292"/>
      <c r="AV95" s="292"/>
      <c r="AW95" s="292"/>
      <c r="AX95" s="292"/>
      <c r="AY95" s="292"/>
      <c r="AZ95" s="292"/>
      <c r="BA95" s="292"/>
      <c r="BB95" s="292"/>
      <c r="BC95" s="314"/>
      <c r="BD95" s="292"/>
      <c r="BE95" s="292"/>
      <c r="BF95" s="292"/>
      <c r="BG95" s="292"/>
      <c r="BH95" s="292"/>
      <c r="BI95" s="292"/>
      <c r="BJ95" s="292"/>
      <c r="BK95" s="292"/>
      <c r="BL95" s="292"/>
      <c r="BM95" s="292"/>
      <c r="BN95" s="292"/>
      <c r="BO95" s="292"/>
      <c r="BP95" s="292"/>
      <c r="BQ95" s="292"/>
      <c r="BR95" s="292"/>
      <c r="BS95" s="292"/>
      <c r="BT95" s="292"/>
      <c r="BU95" s="292"/>
      <c r="BV95" s="292"/>
      <c r="BW95" s="292"/>
      <c r="BX95" s="297"/>
      <c r="BY95" s="324">
        <f t="shared" si="30"/>
        <v>0</v>
      </c>
      <c r="BZ95" s="631"/>
      <c r="CA95" s="265"/>
      <c r="CB95" s="265"/>
      <c r="CC95" s="265"/>
    </row>
    <row r="96" spans="2:81" hidden="1" outlineLevel="1">
      <c r="B96" s="627"/>
      <c r="C96" s="507" t="s">
        <v>338</v>
      </c>
      <c r="D96" s="509" t="s">
        <v>262</v>
      </c>
      <c r="E96" s="310"/>
      <c r="F96" s="310"/>
      <c r="G96" s="310"/>
      <c r="H96" s="310"/>
      <c r="I96" s="310"/>
      <c r="J96" s="310"/>
      <c r="K96" s="310"/>
      <c r="L96" s="310"/>
      <c r="M96" s="310"/>
      <c r="N96" s="310"/>
      <c r="O96" s="310"/>
      <c r="P96" s="310"/>
      <c r="Q96" s="310"/>
      <c r="R96" s="310"/>
      <c r="S96" s="310"/>
      <c r="T96" s="310"/>
      <c r="U96" s="310"/>
      <c r="V96" s="310"/>
      <c r="W96" s="310"/>
      <c r="X96" s="310"/>
      <c r="Y96" s="310"/>
      <c r="Z96" s="310"/>
      <c r="AA96" s="310"/>
      <c r="AB96" s="310"/>
      <c r="AC96" s="310"/>
      <c r="AD96" s="310"/>
      <c r="AE96" s="310"/>
      <c r="AF96" s="310"/>
      <c r="AG96" s="310"/>
      <c r="AH96" s="310"/>
      <c r="AI96" s="310">
        <f>-$BZ$9</f>
        <v>-92604325</v>
      </c>
      <c r="AJ96" s="310"/>
      <c r="AK96" s="310"/>
      <c r="AL96" s="310"/>
      <c r="AM96" s="310"/>
      <c r="AN96" s="310"/>
      <c r="AO96" s="310"/>
      <c r="AP96" s="310"/>
      <c r="AQ96" s="310"/>
      <c r="AR96" s="310"/>
      <c r="AS96" s="310"/>
      <c r="AT96" s="310"/>
      <c r="AU96" s="310"/>
      <c r="AV96" s="310"/>
      <c r="AW96" s="310"/>
      <c r="AX96" s="310"/>
      <c r="AY96" s="310"/>
      <c r="AZ96" s="310"/>
      <c r="BA96" s="310"/>
      <c r="BB96" s="310"/>
      <c r="BC96" s="310"/>
      <c r="BD96" s="310"/>
      <c r="BE96" s="310"/>
      <c r="BF96" s="310"/>
      <c r="BG96" s="310"/>
      <c r="BH96" s="310"/>
      <c r="BI96" s="310"/>
      <c r="BJ96" s="310"/>
      <c r="BK96" s="310"/>
      <c r="BL96" s="310"/>
      <c r="BM96" s="310"/>
      <c r="BN96" s="310"/>
      <c r="BO96" s="310"/>
      <c r="BP96" s="310"/>
      <c r="BQ96" s="310"/>
      <c r="BR96" s="310"/>
      <c r="BS96" s="310"/>
      <c r="BT96" s="310"/>
      <c r="BU96" s="310"/>
      <c r="BV96" s="310"/>
      <c r="BW96" s="310"/>
      <c r="BX96" s="311"/>
      <c r="BY96" s="301">
        <f t="shared" si="30"/>
        <v>-92604325</v>
      </c>
      <c r="BZ96" s="632"/>
      <c r="CA96" s="265"/>
      <c r="CB96" s="265"/>
      <c r="CC96" s="265"/>
    </row>
    <row r="97" spans="2:81" ht="16">
      <c r="B97" s="625" t="s">
        <v>339</v>
      </c>
      <c r="C97" s="618"/>
      <c r="D97" s="510" t="s">
        <v>262</v>
      </c>
      <c r="E97" s="325">
        <f t="shared" ref="E97:AJ97" si="31">(E18+E25+E28+E36+E39+E48+E54+E62+E86+E89)</f>
        <v>0</v>
      </c>
      <c r="F97" s="325">
        <f t="shared" si="31"/>
        <v>0</v>
      </c>
      <c r="G97" s="325">
        <f t="shared" si="31"/>
        <v>0</v>
      </c>
      <c r="H97" s="325">
        <f t="shared" si="31"/>
        <v>0</v>
      </c>
      <c r="I97" s="325">
        <f t="shared" si="31"/>
        <v>0</v>
      </c>
      <c r="J97" s="325">
        <f t="shared" si="31"/>
        <v>0</v>
      </c>
      <c r="K97" s="325">
        <f t="shared" si="31"/>
        <v>0</v>
      </c>
      <c r="L97" s="325">
        <f t="shared" si="31"/>
        <v>0</v>
      </c>
      <c r="M97" s="325">
        <f t="shared" si="31"/>
        <v>0</v>
      </c>
      <c r="N97" s="325">
        <f t="shared" si="31"/>
        <v>0</v>
      </c>
      <c r="O97" s="325">
        <f t="shared" si="31"/>
        <v>0</v>
      </c>
      <c r="P97" s="325">
        <f t="shared" si="31"/>
        <v>0</v>
      </c>
      <c r="Q97" s="325">
        <f t="shared" si="31"/>
        <v>0</v>
      </c>
      <c r="R97" s="325">
        <f t="shared" si="31"/>
        <v>0</v>
      </c>
      <c r="S97" s="325">
        <f t="shared" si="31"/>
        <v>0</v>
      </c>
      <c r="T97" s="325">
        <f t="shared" si="31"/>
        <v>0</v>
      </c>
      <c r="U97" s="325">
        <f t="shared" si="31"/>
        <v>-19172867.768595044</v>
      </c>
      <c r="V97" s="325">
        <f t="shared" si="31"/>
        <v>-6321531.2314049564</v>
      </c>
      <c r="W97" s="325">
        <f t="shared" si="31"/>
        <v>-3436407.9090909092</v>
      </c>
      <c r="X97" s="325">
        <f t="shared" si="31"/>
        <v>-182170.90909090909</v>
      </c>
      <c r="Y97" s="325">
        <f t="shared" si="31"/>
        <v>-11162311.811667832</v>
      </c>
      <c r="Z97" s="325">
        <f t="shared" si="31"/>
        <v>-12981622.761686083</v>
      </c>
      <c r="AA97" s="325">
        <f t="shared" si="31"/>
        <v>-11195095.79266783</v>
      </c>
      <c r="AB97" s="325">
        <f t="shared" si="31"/>
        <v>-11123111.811667832</v>
      </c>
      <c r="AC97" s="325">
        <f t="shared" si="31"/>
        <v>-10945386.811667832</v>
      </c>
      <c r="AD97" s="325">
        <f t="shared" si="31"/>
        <v>-10980161.811667832</v>
      </c>
      <c r="AE97" s="325">
        <f t="shared" si="31"/>
        <v>-11014936.811667832</v>
      </c>
      <c r="AF97" s="325">
        <f t="shared" si="31"/>
        <v>-11049711.811667832</v>
      </c>
      <c r="AG97" s="325">
        <f t="shared" si="31"/>
        <v>-12235252.077917831</v>
      </c>
      <c r="AH97" s="325">
        <f t="shared" si="31"/>
        <v>-11227970.79266783</v>
      </c>
      <c r="AI97" s="325">
        <f t="shared" si="31"/>
        <v>-149229122.76216784</v>
      </c>
      <c r="AJ97" s="325">
        <f t="shared" si="31"/>
        <v>0</v>
      </c>
      <c r="AK97" s="325">
        <f t="shared" ref="AK97:BP97" si="32">(AK18+AK25+AK28+AK36+AK39+AK48+AK54+AK62+AK86+AK89)</f>
        <v>0</v>
      </c>
      <c r="AL97" s="325">
        <f t="shared" si="32"/>
        <v>0</v>
      </c>
      <c r="AM97" s="325">
        <f t="shared" si="32"/>
        <v>0</v>
      </c>
      <c r="AN97" s="325">
        <f t="shared" si="32"/>
        <v>0</v>
      </c>
      <c r="AO97" s="325">
        <f t="shared" si="32"/>
        <v>0</v>
      </c>
      <c r="AP97" s="325">
        <f t="shared" si="32"/>
        <v>0</v>
      </c>
      <c r="AQ97" s="325">
        <f t="shared" si="32"/>
        <v>0</v>
      </c>
      <c r="AR97" s="325">
        <f t="shared" si="32"/>
        <v>0</v>
      </c>
      <c r="AS97" s="325">
        <f t="shared" si="32"/>
        <v>0</v>
      </c>
      <c r="AT97" s="325">
        <f t="shared" si="32"/>
        <v>0</v>
      </c>
      <c r="AU97" s="325">
        <f t="shared" si="32"/>
        <v>0</v>
      </c>
      <c r="AV97" s="325">
        <f t="shared" si="32"/>
        <v>0</v>
      </c>
      <c r="AW97" s="325">
        <f t="shared" si="32"/>
        <v>0</v>
      </c>
      <c r="AX97" s="325">
        <f t="shared" si="32"/>
        <v>0</v>
      </c>
      <c r="AY97" s="325">
        <f t="shared" si="32"/>
        <v>0</v>
      </c>
      <c r="AZ97" s="325">
        <f t="shared" si="32"/>
        <v>0</v>
      </c>
      <c r="BA97" s="325">
        <f t="shared" si="32"/>
        <v>0</v>
      </c>
      <c r="BB97" s="325">
        <f t="shared" si="32"/>
        <v>0</v>
      </c>
      <c r="BC97" s="325">
        <f t="shared" si="32"/>
        <v>0</v>
      </c>
      <c r="BD97" s="325">
        <f t="shared" si="32"/>
        <v>0</v>
      </c>
      <c r="BE97" s="325">
        <f t="shared" si="32"/>
        <v>0</v>
      </c>
      <c r="BF97" s="325">
        <f t="shared" si="32"/>
        <v>0</v>
      </c>
      <c r="BG97" s="325">
        <f t="shared" si="32"/>
        <v>0</v>
      </c>
      <c r="BH97" s="325">
        <f t="shared" si="32"/>
        <v>0</v>
      </c>
      <c r="BI97" s="325">
        <f t="shared" si="32"/>
        <v>0</v>
      </c>
      <c r="BJ97" s="325">
        <f t="shared" si="32"/>
        <v>0</v>
      </c>
      <c r="BK97" s="325">
        <f t="shared" si="32"/>
        <v>0</v>
      </c>
      <c r="BL97" s="325">
        <f t="shared" si="32"/>
        <v>0</v>
      </c>
      <c r="BM97" s="325">
        <f t="shared" si="32"/>
        <v>0</v>
      </c>
      <c r="BN97" s="325">
        <f t="shared" si="32"/>
        <v>0</v>
      </c>
      <c r="BO97" s="325">
        <f t="shared" si="32"/>
        <v>0</v>
      </c>
      <c r="BP97" s="325">
        <f t="shared" si="32"/>
        <v>0</v>
      </c>
      <c r="BQ97" s="325">
        <f t="shared" ref="BQ97:BX97" si="33">(BQ18+BQ25+BQ28+BQ36+BQ39+BQ48+BQ54+BQ62+BQ86+BQ89)</f>
        <v>0</v>
      </c>
      <c r="BR97" s="325">
        <f t="shared" si="33"/>
        <v>0</v>
      </c>
      <c r="BS97" s="325">
        <f t="shared" si="33"/>
        <v>0</v>
      </c>
      <c r="BT97" s="325">
        <f t="shared" si="33"/>
        <v>0</v>
      </c>
      <c r="BU97" s="325">
        <f t="shared" si="33"/>
        <v>0</v>
      </c>
      <c r="BV97" s="325">
        <f t="shared" si="33"/>
        <v>0</v>
      </c>
      <c r="BW97" s="325">
        <f t="shared" si="33"/>
        <v>0</v>
      </c>
      <c r="BX97" s="325">
        <f t="shared" si="33"/>
        <v>0</v>
      </c>
      <c r="BY97" s="626">
        <f>BZ90</f>
        <v>-142604325</v>
      </c>
      <c r="BZ97" s="627"/>
      <c r="CA97" s="265"/>
      <c r="CB97" s="265"/>
      <c r="CC97" s="265"/>
    </row>
    <row r="98" spans="2:81" ht="16">
      <c r="B98" s="617" t="s">
        <v>340</v>
      </c>
      <c r="C98" s="618"/>
      <c r="D98" s="326"/>
      <c r="E98" s="327">
        <f t="shared" ref="E98:AJ98" si="34">E17+E97</f>
        <v>0</v>
      </c>
      <c r="F98" s="327">
        <f t="shared" si="34"/>
        <v>0</v>
      </c>
      <c r="G98" s="327">
        <f t="shared" si="34"/>
        <v>0</v>
      </c>
      <c r="H98" s="327">
        <f t="shared" si="34"/>
        <v>0</v>
      </c>
      <c r="I98" s="327">
        <f t="shared" si="34"/>
        <v>0</v>
      </c>
      <c r="J98" s="327">
        <f t="shared" si="34"/>
        <v>0</v>
      </c>
      <c r="K98" s="327">
        <f t="shared" si="34"/>
        <v>0</v>
      </c>
      <c r="L98" s="327">
        <f t="shared" si="34"/>
        <v>0</v>
      </c>
      <c r="M98" s="328">
        <f t="shared" si="34"/>
        <v>0</v>
      </c>
      <c r="N98" s="327">
        <f t="shared" si="34"/>
        <v>0</v>
      </c>
      <c r="O98" s="328">
        <f t="shared" si="34"/>
        <v>0</v>
      </c>
      <c r="P98" s="328">
        <f t="shared" si="34"/>
        <v>0</v>
      </c>
      <c r="Q98" s="328">
        <f t="shared" si="34"/>
        <v>0</v>
      </c>
      <c r="R98" s="328">
        <f t="shared" si="34"/>
        <v>0</v>
      </c>
      <c r="S98" s="328">
        <f t="shared" si="34"/>
        <v>0</v>
      </c>
      <c r="T98" s="328">
        <f t="shared" si="34"/>
        <v>0</v>
      </c>
      <c r="U98" s="327">
        <f t="shared" si="34"/>
        <v>1800829.9999999963</v>
      </c>
      <c r="V98" s="327">
        <f t="shared" si="34"/>
        <v>2877249.4414049629</v>
      </c>
      <c r="W98" s="327">
        <f t="shared" si="34"/>
        <v>-3157824.479090909</v>
      </c>
      <c r="X98" s="328">
        <f t="shared" si="34"/>
        <v>3107323.8495041318</v>
      </c>
      <c r="Y98" s="328">
        <f t="shared" si="34"/>
        <v>-1122722.6502089854</v>
      </c>
      <c r="Z98" s="328">
        <f t="shared" si="34"/>
        <v>-2379745.2911647353</v>
      </c>
      <c r="AA98" s="328">
        <f t="shared" si="34"/>
        <v>-440240.17867783085</v>
      </c>
      <c r="AB98" s="328">
        <f t="shared" si="34"/>
        <v>-40489.890730332583</v>
      </c>
      <c r="AC98" s="327">
        <f t="shared" si="34"/>
        <v>-57767.425657831132</v>
      </c>
      <c r="AD98" s="328">
        <f t="shared" si="34"/>
        <v>-80186.811667831615</v>
      </c>
      <c r="AE98" s="328">
        <f t="shared" si="34"/>
        <v>-124811.81166783161</v>
      </c>
      <c r="AF98" s="328">
        <f t="shared" si="34"/>
        <v>-124811.81166783161</v>
      </c>
      <c r="AG98" s="328">
        <f t="shared" si="34"/>
        <v>-212125.53383033164</v>
      </c>
      <c r="AH98" s="328">
        <f t="shared" si="34"/>
        <v>161117.79548883624</v>
      </c>
      <c r="AI98" s="328">
        <f t="shared" si="34"/>
        <v>48042351.871003598</v>
      </c>
      <c r="AJ98" s="328">
        <f t="shared" si="34"/>
        <v>0</v>
      </c>
      <c r="AK98" s="328">
        <f t="shared" ref="AK98:BP98" si="35">AK17+AK97</f>
        <v>0</v>
      </c>
      <c r="AL98" s="328">
        <f t="shared" si="35"/>
        <v>0</v>
      </c>
      <c r="AM98" s="328">
        <f t="shared" si="35"/>
        <v>0</v>
      </c>
      <c r="AN98" s="328">
        <f t="shared" si="35"/>
        <v>0</v>
      </c>
      <c r="AO98" s="327">
        <f t="shared" si="35"/>
        <v>0</v>
      </c>
      <c r="AP98" s="328">
        <f t="shared" si="35"/>
        <v>0</v>
      </c>
      <c r="AQ98" s="328">
        <f t="shared" si="35"/>
        <v>0</v>
      </c>
      <c r="AR98" s="328">
        <f t="shared" si="35"/>
        <v>0</v>
      </c>
      <c r="AS98" s="327">
        <f t="shared" si="35"/>
        <v>0</v>
      </c>
      <c r="AT98" s="327">
        <f t="shared" si="35"/>
        <v>0</v>
      </c>
      <c r="AU98" s="327">
        <f t="shared" si="35"/>
        <v>0</v>
      </c>
      <c r="AV98" s="327">
        <f t="shared" si="35"/>
        <v>0</v>
      </c>
      <c r="AW98" s="327">
        <f t="shared" si="35"/>
        <v>0</v>
      </c>
      <c r="AX98" s="327">
        <f t="shared" si="35"/>
        <v>0</v>
      </c>
      <c r="AY98" s="327">
        <f t="shared" si="35"/>
        <v>0</v>
      </c>
      <c r="AZ98" s="327">
        <f t="shared" si="35"/>
        <v>0</v>
      </c>
      <c r="BA98" s="327">
        <f t="shared" si="35"/>
        <v>0</v>
      </c>
      <c r="BB98" s="327">
        <f t="shared" si="35"/>
        <v>0</v>
      </c>
      <c r="BC98" s="327">
        <f t="shared" si="35"/>
        <v>0</v>
      </c>
      <c r="BD98" s="327">
        <f t="shared" si="35"/>
        <v>0</v>
      </c>
      <c r="BE98" s="327">
        <f t="shared" si="35"/>
        <v>0</v>
      </c>
      <c r="BF98" s="327">
        <f t="shared" si="35"/>
        <v>0</v>
      </c>
      <c r="BG98" s="327">
        <f t="shared" si="35"/>
        <v>0</v>
      </c>
      <c r="BH98" s="327">
        <f t="shared" si="35"/>
        <v>0</v>
      </c>
      <c r="BI98" s="327">
        <f t="shared" si="35"/>
        <v>0</v>
      </c>
      <c r="BJ98" s="327">
        <f t="shared" si="35"/>
        <v>0</v>
      </c>
      <c r="BK98" s="327">
        <f t="shared" si="35"/>
        <v>0</v>
      </c>
      <c r="BL98" s="329">
        <f t="shared" si="35"/>
        <v>0</v>
      </c>
      <c r="BM98" s="329">
        <f t="shared" si="35"/>
        <v>0</v>
      </c>
      <c r="BN98" s="329">
        <f t="shared" si="35"/>
        <v>0</v>
      </c>
      <c r="BO98" s="329">
        <f t="shared" si="35"/>
        <v>0</v>
      </c>
      <c r="BP98" s="329">
        <f t="shared" si="35"/>
        <v>0</v>
      </c>
      <c r="BQ98" s="329">
        <f t="shared" ref="BQ98:BX98" si="36">BQ17+BQ97</f>
        <v>0</v>
      </c>
      <c r="BR98" s="329">
        <f t="shared" si="36"/>
        <v>0</v>
      </c>
      <c r="BS98" s="329">
        <f t="shared" si="36"/>
        <v>0</v>
      </c>
      <c r="BT98" s="329">
        <f t="shared" si="36"/>
        <v>0</v>
      </c>
      <c r="BU98" s="329">
        <f t="shared" si="36"/>
        <v>0</v>
      </c>
      <c r="BV98" s="329">
        <f t="shared" si="36"/>
        <v>0</v>
      </c>
      <c r="BW98" s="329">
        <f t="shared" si="36"/>
        <v>0</v>
      </c>
      <c r="BX98" s="329">
        <f t="shared" si="36"/>
        <v>0</v>
      </c>
      <c r="BY98" s="619">
        <f>BY17+BY89+BY97</f>
        <v>48248147.073037028</v>
      </c>
      <c r="BZ98" s="620"/>
      <c r="CA98" s="265"/>
      <c r="CB98" s="265"/>
      <c r="CC98" s="265"/>
    </row>
    <row r="99" spans="2:81">
      <c r="B99" s="621" t="s">
        <v>341</v>
      </c>
      <c r="C99" s="618"/>
      <c r="D99" s="330"/>
      <c r="E99" s="331">
        <f>E98</f>
        <v>0</v>
      </c>
      <c r="F99" s="331">
        <f t="shared" ref="F99:BX99" si="37">F98+E99</f>
        <v>0</v>
      </c>
      <c r="G99" s="331">
        <f t="shared" si="37"/>
        <v>0</v>
      </c>
      <c r="H99" s="331">
        <f t="shared" si="37"/>
        <v>0</v>
      </c>
      <c r="I99" s="331">
        <f t="shared" si="37"/>
        <v>0</v>
      </c>
      <c r="J99" s="331">
        <f t="shared" si="37"/>
        <v>0</v>
      </c>
      <c r="K99" s="331">
        <f t="shared" si="37"/>
        <v>0</v>
      </c>
      <c r="L99" s="331">
        <f t="shared" si="37"/>
        <v>0</v>
      </c>
      <c r="M99" s="331">
        <f t="shared" si="37"/>
        <v>0</v>
      </c>
      <c r="N99" s="331">
        <f t="shared" si="37"/>
        <v>0</v>
      </c>
      <c r="O99" s="331">
        <f t="shared" si="37"/>
        <v>0</v>
      </c>
      <c r="P99" s="331">
        <f t="shared" si="37"/>
        <v>0</v>
      </c>
      <c r="Q99" s="331">
        <f t="shared" si="37"/>
        <v>0</v>
      </c>
      <c r="R99" s="331">
        <f t="shared" si="37"/>
        <v>0</v>
      </c>
      <c r="S99" s="331">
        <f t="shared" si="37"/>
        <v>0</v>
      </c>
      <c r="T99" s="331">
        <f t="shared" si="37"/>
        <v>0</v>
      </c>
      <c r="U99" s="331">
        <f t="shared" si="37"/>
        <v>1800829.9999999963</v>
      </c>
      <c r="V99" s="331">
        <f t="shared" si="37"/>
        <v>4678079.4414049592</v>
      </c>
      <c r="W99" s="331">
        <f t="shared" si="37"/>
        <v>1520254.9623140502</v>
      </c>
      <c r="X99" s="331">
        <f t="shared" si="37"/>
        <v>4627578.8118181825</v>
      </c>
      <c r="Y99" s="331">
        <f t="shared" si="37"/>
        <v>3504856.161609197</v>
      </c>
      <c r="Z99" s="331">
        <f t="shared" si="37"/>
        <v>1125110.8704444617</v>
      </c>
      <c r="AA99" s="331">
        <f t="shared" si="37"/>
        <v>684870.69176663086</v>
      </c>
      <c r="AB99" s="331">
        <f t="shared" si="37"/>
        <v>644380.80103629827</v>
      </c>
      <c r="AC99" s="331">
        <f t="shared" si="37"/>
        <v>586613.37537846714</v>
      </c>
      <c r="AD99" s="331">
        <f t="shared" si="37"/>
        <v>506426.56371063553</v>
      </c>
      <c r="AE99" s="331">
        <f t="shared" si="37"/>
        <v>381614.75204280391</v>
      </c>
      <c r="AF99" s="331">
        <f t="shared" si="37"/>
        <v>256802.9403749723</v>
      </c>
      <c r="AG99" s="331">
        <f t="shared" si="37"/>
        <v>44677.40654464066</v>
      </c>
      <c r="AH99" s="331">
        <f t="shared" si="37"/>
        <v>205795.2020334769</v>
      </c>
      <c r="AI99" s="331">
        <f t="shared" si="37"/>
        <v>48248147.073037073</v>
      </c>
      <c r="AJ99" s="331">
        <f t="shared" si="37"/>
        <v>48248147.073037073</v>
      </c>
      <c r="AK99" s="331">
        <f t="shared" si="37"/>
        <v>48248147.073037073</v>
      </c>
      <c r="AL99" s="331">
        <f t="shared" si="37"/>
        <v>48248147.073037073</v>
      </c>
      <c r="AM99" s="331">
        <f t="shared" si="37"/>
        <v>48248147.073037073</v>
      </c>
      <c r="AN99" s="331">
        <f t="shared" si="37"/>
        <v>48248147.073037073</v>
      </c>
      <c r="AO99" s="331">
        <f t="shared" si="37"/>
        <v>48248147.073037073</v>
      </c>
      <c r="AP99" s="331">
        <f t="shared" si="37"/>
        <v>48248147.073037073</v>
      </c>
      <c r="AQ99" s="331">
        <f t="shared" si="37"/>
        <v>48248147.073037073</v>
      </c>
      <c r="AR99" s="331">
        <f t="shared" si="37"/>
        <v>48248147.073037073</v>
      </c>
      <c r="AS99" s="331">
        <f t="shared" si="37"/>
        <v>48248147.073037073</v>
      </c>
      <c r="AT99" s="331">
        <f t="shared" si="37"/>
        <v>48248147.073037073</v>
      </c>
      <c r="AU99" s="331">
        <f t="shared" si="37"/>
        <v>48248147.073037073</v>
      </c>
      <c r="AV99" s="331">
        <f t="shared" si="37"/>
        <v>48248147.073037073</v>
      </c>
      <c r="AW99" s="331">
        <f t="shared" si="37"/>
        <v>48248147.073037073</v>
      </c>
      <c r="AX99" s="331">
        <f t="shared" si="37"/>
        <v>48248147.073037073</v>
      </c>
      <c r="AY99" s="331">
        <f t="shared" si="37"/>
        <v>48248147.073037073</v>
      </c>
      <c r="AZ99" s="331">
        <f t="shared" si="37"/>
        <v>48248147.073037073</v>
      </c>
      <c r="BA99" s="331">
        <f t="shared" si="37"/>
        <v>48248147.073037073</v>
      </c>
      <c r="BB99" s="331">
        <f t="shared" si="37"/>
        <v>48248147.073037073</v>
      </c>
      <c r="BC99" s="331">
        <f t="shared" si="37"/>
        <v>48248147.073037073</v>
      </c>
      <c r="BD99" s="331">
        <f t="shared" si="37"/>
        <v>48248147.073037073</v>
      </c>
      <c r="BE99" s="331">
        <f t="shared" si="37"/>
        <v>48248147.073037073</v>
      </c>
      <c r="BF99" s="331">
        <f t="shared" si="37"/>
        <v>48248147.073037073</v>
      </c>
      <c r="BG99" s="331">
        <f t="shared" si="37"/>
        <v>48248147.073037073</v>
      </c>
      <c r="BH99" s="331">
        <f t="shared" si="37"/>
        <v>48248147.073037073</v>
      </c>
      <c r="BI99" s="331">
        <f t="shared" si="37"/>
        <v>48248147.073037073</v>
      </c>
      <c r="BJ99" s="331">
        <f t="shared" si="37"/>
        <v>48248147.073037073</v>
      </c>
      <c r="BK99" s="331">
        <f t="shared" si="37"/>
        <v>48248147.073037073</v>
      </c>
      <c r="BL99" s="331">
        <f t="shared" si="37"/>
        <v>48248147.073037073</v>
      </c>
      <c r="BM99" s="331">
        <f t="shared" si="37"/>
        <v>48248147.073037073</v>
      </c>
      <c r="BN99" s="331">
        <f t="shared" si="37"/>
        <v>48248147.073037073</v>
      </c>
      <c r="BO99" s="331">
        <f t="shared" si="37"/>
        <v>48248147.073037073</v>
      </c>
      <c r="BP99" s="331">
        <f t="shared" si="37"/>
        <v>48248147.073037073</v>
      </c>
      <c r="BQ99" s="331">
        <f t="shared" si="37"/>
        <v>48248147.073037073</v>
      </c>
      <c r="BR99" s="331">
        <f t="shared" si="37"/>
        <v>48248147.073037073</v>
      </c>
      <c r="BS99" s="331">
        <f t="shared" si="37"/>
        <v>48248147.073037073</v>
      </c>
      <c r="BT99" s="331">
        <f t="shared" si="37"/>
        <v>48248147.073037073</v>
      </c>
      <c r="BU99" s="331">
        <f t="shared" si="37"/>
        <v>48248147.073037073</v>
      </c>
      <c r="BV99" s="331">
        <f t="shared" si="37"/>
        <v>48248147.073037073</v>
      </c>
      <c r="BW99" s="331">
        <f t="shared" si="37"/>
        <v>48248147.073037073</v>
      </c>
      <c r="BX99" s="331">
        <f t="shared" si="37"/>
        <v>48248147.073037073</v>
      </c>
      <c r="BY99" s="265"/>
      <c r="BZ99" s="265"/>
      <c r="CA99" s="265"/>
      <c r="CB99" s="265"/>
      <c r="CC99" s="265"/>
    </row>
    <row r="100" spans="2:81">
      <c r="B100" s="265"/>
      <c r="C100" s="265"/>
      <c r="D100" s="265"/>
      <c r="E100" s="265"/>
      <c r="F100" s="265"/>
      <c r="G100" s="265"/>
      <c r="H100" s="265"/>
      <c r="I100" s="265"/>
      <c r="J100" s="265"/>
      <c r="K100" s="265"/>
      <c r="L100" s="265"/>
      <c r="M100" s="265"/>
      <c r="N100" s="265"/>
      <c r="O100" s="265"/>
      <c r="P100" s="265"/>
      <c r="Q100" s="265"/>
      <c r="R100" s="265"/>
      <c r="S100" s="265"/>
      <c r="T100" s="265"/>
      <c r="U100" s="265"/>
      <c r="V100" s="265"/>
      <c r="W100" s="265"/>
      <c r="X100" s="265"/>
      <c r="Y100" s="265"/>
      <c r="Z100" s="265"/>
      <c r="AA100" s="265"/>
      <c r="AB100" s="265"/>
      <c r="AC100" s="265"/>
      <c r="AD100" s="265"/>
      <c r="AE100" s="265"/>
      <c r="AF100" s="265"/>
      <c r="AG100" s="265"/>
      <c r="AH100" s="265"/>
      <c r="AI100" s="265"/>
      <c r="AJ100" s="265"/>
      <c r="AK100" s="265"/>
      <c r="AL100" s="265"/>
      <c r="AM100" s="265"/>
      <c r="AN100" s="265"/>
      <c r="AO100" s="265"/>
      <c r="AP100" s="265"/>
      <c r="AQ100" s="265"/>
      <c r="AR100" s="265"/>
      <c r="AS100" s="265"/>
      <c r="AT100" s="265"/>
      <c r="AU100" s="265"/>
      <c r="AV100" s="265"/>
      <c r="AW100" s="265"/>
      <c r="AX100" s="265"/>
      <c r="AY100" s="265"/>
      <c r="AZ100" s="265"/>
      <c r="BA100" s="265"/>
      <c r="BB100" s="265"/>
      <c r="BC100" s="265"/>
      <c r="BD100" s="265"/>
      <c r="BE100" s="265"/>
      <c r="BF100" s="265"/>
      <c r="BG100" s="265"/>
      <c r="BH100" s="265"/>
      <c r="BI100" s="265"/>
      <c r="BJ100" s="265"/>
      <c r="BK100" s="265"/>
      <c r="BL100" s="265"/>
      <c r="BM100" s="265"/>
      <c r="BN100" s="265"/>
      <c r="BO100" s="265"/>
      <c r="BP100" s="265"/>
      <c r="BQ100" s="265"/>
      <c r="BR100" s="265"/>
      <c r="BS100" s="265"/>
      <c r="BT100" s="265"/>
      <c r="BU100" s="265"/>
      <c r="BV100" s="265"/>
      <c r="BW100" s="265"/>
      <c r="BX100" s="265"/>
      <c r="BY100" s="332"/>
      <c r="BZ100" s="265"/>
      <c r="CA100" s="265"/>
      <c r="CB100" s="265"/>
      <c r="CC100" s="265"/>
    </row>
    <row r="101" spans="2:81" hidden="1">
      <c r="B101" s="265"/>
      <c r="C101" s="265"/>
      <c r="D101" s="333" t="s">
        <v>365</v>
      </c>
      <c r="E101" s="333"/>
      <c r="F101" s="333"/>
      <c r="G101" s="333"/>
      <c r="H101" s="333"/>
      <c r="I101" s="333"/>
      <c r="J101" s="333"/>
      <c r="K101" s="333"/>
      <c r="L101" s="333"/>
      <c r="M101" s="333"/>
      <c r="N101" s="333"/>
      <c r="O101" s="333"/>
      <c r="P101" s="333"/>
      <c r="Q101" s="333"/>
      <c r="R101" s="333"/>
      <c r="S101" s="333"/>
      <c r="T101" s="333"/>
      <c r="U101" s="333"/>
      <c r="V101" s="334"/>
      <c r="W101" s="334"/>
      <c r="X101" s="334"/>
      <c r="Y101" s="334"/>
      <c r="Z101" s="334"/>
      <c r="AA101" s="334"/>
      <c r="AB101" s="334"/>
      <c r="AC101" s="334"/>
      <c r="AD101" s="334"/>
      <c r="AE101" s="334"/>
      <c r="AF101" s="334"/>
      <c r="AG101" s="334"/>
      <c r="AH101" s="334"/>
      <c r="AI101" s="334"/>
      <c r="AJ101" s="334"/>
      <c r="AK101" s="334"/>
      <c r="AL101" s="334"/>
      <c r="AM101" s="334"/>
      <c r="AN101" s="334"/>
      <c r="AO101" s="334"/>
      <c r="AP101" s="334"/>
      <c r="AQ101" s="334"/>
      <c r="AR101" s="334"/>
      <c r="AS101" s="334"/>
      <c r="AT101" s="334"/>
      <c r="AU101" s="334"/>
      <c r="AV101" s="334"/>
      <c r="AW101" s="334"/>
      <c r="AX101" s="334"/>
      <c r="AY101" s="334"/>
      <c r="AZ101" s="334"/>
      <c r="BA101" s="334"/>
      <c r="BB101" s="334"/>
      <c r="BC101" s="334"/>
      <c r="BD101" s="334"/>
      <c r="BE101" s="334"/>
      <c r="BF101" s="334"/>
      <c r="BG101" s="334"/>
      <c r="BH101" s="334"/>
      <c r="BI101" s="334"/>
      <c r="BJ101" s="334"/>
      <c r="BK101" s="334"/>
      <c r="BL101" s="334"/>
      <c r="BM101" s="334"/>
      <c r="BN101" s="334"/>
      <c r="BO101" s="334"/>
      <c r="BP101" s="334"/>
      <c r="BQ101" s="334"/>
      <c r="BR101" s="334"/>
      <c r="BS101" s="334"/>
      <c r="BT101" s="334"/>
      <c r="BU101" s="334"/>
      <c r="BV101" s="334"/>
      <c r="BW101" s="334"/>
      <c r="BX101" s="334"/>
      <c r="BY101" s="332"/>
      <c r="BZ101" s="265"/>
      <c r="CA101" s="265"/>
      <c r="CB101" s="265"/>
      <c r="CC101" s="265"/>
    </row>
    <row r="102" spans="2:81" hidden="1">
      <c r="B102" s="265"/>
      <c r="C102" s="265"/>
      <c r="D102" s="265"/>
      <c r="E102" s="265"/>
      <c r="F102" s="265"/>
      <c r="G102" s="265"/>
      <c r="H102" s="265"/>
      <c r="I102" s="265"/>
      <c r="J102" s="265"/>
      <c r="K102" s="265"/>
      <c r="L102" s="265"/>
      <c r="M102" s="265"/>
      <c r="N102" s="265"/>
      <c r="O102" s="265"/>
      <c r="P102" s="265"/>
      <c r="Q102" s="265"/>
      <c r="R102" s="265"/>
      <c r="S102" s="265"/>
      <c r="T102" s="265"/>
      <c r="U102" s="265"/>
      <c r="V102" s="265"/>
      <c r="W102" s="265"/>
      <c r="X102" s="265"/>
      <c r="Y102" s="265"/>
      <c r="Z102" s="265"/>
      <c r="AA102" s="265"/>
      <c r="AB102" s="265"/>
      <c r="AC102" s="265"/>
      <c r="AD102" s="265"/>
      <c r="AE102" s="265"/>
      <c r="AF102" s="265"/>
      <c r="AG102" s="265"/>
      <c r="AH102" s="265"/>
      <c r="AI102" s="265"/>
      <c r="AJ102" s="265"/>
      <c r="AK102" s="265"/>
      <c r="AL102" s="265"/>
      <c r="AM102" s="265"/>
      <c r="AN102" s="265"/>
      <c r="AO102" s="265"/>
      <c r="AP102" s="265"/>
      <c r="AQ102" s="265"/>
      <c r="AR102" s="265"/>
      <c r="AS102" s="265"/>
      <c r="AT102" s="265"/>
      <c r="AU102" s="265"/>
      <c r="AV102" s="265"/>
      <c r="AW102" s="265"/>
      <c r="AX102" s="265"/>
      <c r="AY102" s="265"/>
      <c r="AZ102" s="265"/>
      <c r="BA102" s="265"/>
      <c r="BB102" s="265"/>
      <c r="BC102" s="265"/>
      <c r="BD102" s="265"/>
      <c r="BE102" s="265"/>
      <c r="BF102" s="265"/>
      <c r="BG102" s="265"/>
      <c r="BH102" s="265"/>
      <c r="BI102" s="265"/>
      <c r="BJ102" s="265"/>
      <c r="BK102" s="265"/>
      <c r="BL102" s="265"/>
      <c r="BM102" s="265"/>
      <c r="BN102" s="265"/>
      <c r="BO102" s="265"/>
      <c r="BP102" s="265"/>
      <c r="BQ102" s="265"/>
      <c r="BR102" s="265"/>
      <c r="BS102" s="265"/>
      <c r="BT102" s="265"/>
      <c r="BU102" s="265"/>
      <c r="BV102" s="265"/>
      <c r="BW102" s="265"/>
      <c r="BX102" s="265"/>
      <c r="BY102" s="332"/>
      <c r="BZ102" s="265"/>
      <c r="CA102" s="265"/>
      <c r="CB102" s="265"/>
      <c r="CC102" s="265"/>
    </row>
    <row r="103" spans="2:81" hidden="1">
      <c r="B103" s="265"/>
      <c r="C103" s="335" t="s">
        <v>366</v>
      </c>
      <c r="D103" s="511"/>
      <c r="E103" s="512">
        <f>E111+E126+E142+E159</f>
        <v>0</v>
      </c>
      <c r="F103" s="512">
        <f t="shared" ref="F103:BW103" si="38">F111+F159</f>
        <v>0</v>
      </c>
      <c r="G103" s="512">
        <f t="shared" si="38"/>
        <v>0</v>
      </c>
      <c r="H103" s="512">
        <f t="shared" si="38"/>
        <v>0</v>
      </c>
      <c r="I103" s="512">
        <f t="shared" si="38"/>
        <v>0</v>
      </c>
      <c r="J103" s="512">
        <f t="shared" si="38"/>
        <v>0</v>
      </c>
      <c r="K103" s="512">
        <f t="shared" si="38"/>
        <v>0</v>
      </c>
      <c r="L103" s="512">
        <f t="shared" si="38"/>
        <v>0</v>
      </c>
      <c r="M103" s="512">
        <f t="shared" si="38"/>
        <v>0</v>
      </c>
      <c r="N103" s="512">
        <f t="shared" si="38"/>
        <v>0</v>
      </c>
      <c r="O103" s="512">
        <f t="shared" si="38"/>
        <v>0</v>
      </c>
      <c r="P103" s="512">
        <f t="shared" si="38"/>
        <v>0</v>
      </c>
      <c r="Q103" s="512">
        <f t="shared" si="38"/>
        <v>0</v>
      </c>
      <c r="R103" s="512">
        <f t="shared" si="38"/>
        <v>0</v>
      </c>
      <c r="S103" s="512">
        <f t="shared" si="38"/>
        <v>0</v>
      </c>
      <c r="T103" s="512">
        <f t="shared" si="38"/>
        <v>0</v>
      </c>
      <c r="U103" s="512">
        <f t="shared" si="38"/>
        <v>0</v>
      </c>
      <c r="V103" s="512">
        <f t="shared" si="38"/>
        <v>0</v>
      </c>
      <c r="W103" s="512">
        <f t="shared" si="38"/>
        <v>0</v>
      </c>
      <c r="X103" s="512">
        <f t="shared" si="38"/>
        <v>0</v>
      </c>
      <c r="Y103" s="512">
        <f t="shared" si="38"/>
        <v>0</v>
      </c>
      <c r="Z103" s="512">
        <f t="shared" si="38"/>
        <v>0</v>
      </c>
      <c r="AA103" s="512">
        <f t="shared" si="38"/>
        <v>0</v>
      </c>
      <c r="AB103" s="512">
        <f t="shared" si="38"/>
        <v>0</v>
      </c>
      <c r="AC103" s="512">
        <f t="shared" si="38"/>
        <v>0</v>
      </c>
      <c r="AD103" s="512">
        <f t="shared" si="38"/>
        <v>0</v>
      </c>
      <c r="AE103" s="512">
        <f t="shared" si="38"/>
        <v>0</v>
      </c>
      <c r="AF103" s="512">
        <f t="shared" si="38"/>
        <v>0</v>
      </c>
      <c r="AG103" s="512">
        <f t="shared" si="38"/>
        <v>0</v>
      </c>
      <c r="AH103" s="512">
        <f t="shared" si="38"/>
        <v>0</v>
      </c>
      <c r="AI103" s="512">
        <f t="shared" si="38"/>
        <v>0</v>
      </c>
      <c r="AJ103" s="512">
        <f t="shared" si="38"/>
        <v>0</v>
      </c>
      <c r="AK103" s="512">
        <f t="shared" si="38"/>
        <v>0</v>
      </c>
      <c r="AL103" s="512">
        <f t="shared" si="38"/>
        <v>0</v>
      </c>
      <c r="AM103" s="512">
        <f t="shared" si="38"/>
        <v>0</v>
      </c>
      <c r="AN103" s="512">
        <f t="shared" si="38"/>
        <v>0</v>
      </c>
      <c r="AO103" s="512">
        <f t="shared" si="38"/>
        <v>0</v>
      </c>
      <c r="AP103" s="512">
        <f t="shared" si="38"/>
        <v>0</v>
      </c>
      <c r="AQ103" s="512">
        <f t="shared" si="38"/>
        <v>0</v>
      </c>
      <c r="AR103" s="512">
        <f t="shared" si="38"/>
        <v>0</v>
      </c>
      <c r="AS103" s="512">
        <f t="shared" si="38"/>
        <v>0</v>
      </c>
      <c r="AT103" s="512">
        <f t="shared" si="38"/>
        <v>0</v>
      </c>
      <c r="AU103" s="512">
        <f t="shared" si="38"/>
        <v>0</v>
      </c>
      <c r="AV103" s="512">
        <f t="shared" si="38"/>
        <v>0</v>
      </c>
      <c r="AW103" s="512">
        <f t="shared" si="38"/>
        <v>0</v>
      </c>
      <c r="AX103" s="512">
        <f t="shared" si="38"/>
        <v>0</v>
      </c>
      <c r="AY103" s="512">
        <f t="shared" si="38"/>
        <v>0</v>
      </c>
      <c r="AZ103" s="512">
        <f t="shared" si="38"/>
        <v>0</v>
      </c>
      <c r="BA103" s="512">
        <f t="shared" si="38"/>
        <v>0</v>
      </c>
      <c r="BB103" s="512">
        <f t="shared" si="38"/>
        <v>0</v>
      </c>
      <c r="BC103" s="512">
        <f t="shared" si="38"/>
        <v>0</v>
      </c>
      <c r="BD103" s="512">
        <f t="shared" si="38"/>
        <v>0</v>
      </c>
      <c r="BE103" s="512">
        <f t="shared" si="38"/>
        <v>0</v>
      </c>
      <c r="BF103" s="512">
        <f t="shared" si="38"/>
        <v>0</v>
      </c>
      <c r="BG103" s="512">
        <f t="shared" si="38"/>
        <v>0</v>
      </c>
      <c r="BH103" s="512">
        <f t="shared" si="38"/>
        <v>0</v>
      </c>
      <c r="BI103" s="512">
        <f t="shared" si="38"/>
        <v>0</v>
      </c>
      <c r="BJ103" s="512">
        <f t="shared" si="38"/>
        <v>0</v>
      </c>
      <c r="BK103" s="512">
        <f t="shared" si="38"/>
        <v>0</v>
      </c>
      <c r="BL103" s="512">
        <f t="shared" si="38"/>
        <v>0</v>
      </c>
      <c r="BM103" s="512">
        <f t="shared" si="38"/>
        <v>0</v>
      </c>
      <c r="BN103" s="512">
        <f t="shared" si="38"/>
        <v>0</v>
      </c>
      <c r="BO103" s="512">
        <f t="shared" si="38"/>
        <v>0</v>
      </c>
      <c r="BP103" s="512">
        <f t="shared" si="38"/>
        <v>0</v>
      </c>
      <c r="BQ103" s="512">
        <f t="shared" si="38"/>
        <v>0</v>
      </c>
      <c r="BR103" s="512">
        <f t="shared" si="38"/>
        <v>0</v>
      </c>
      <c r="BS103" s="512">
        <f t="shared" si="38"/>
        <v>0</v>
      </c>
      <c r="BT103" s="512">
        <f t="shared" si="38"/>
        <v>0</v>
      </c>
      <c r="BU103" s="512">
        <f t="shared" si="38"/>
        <v>0</v>
      </c>
      <c r="BV103" s="512">
        <f t="shared" si="38"/>
        <v>0</v>
      </c>
      <c r="BW103" s="512">
        <f t="shared" si="38"/>
        <v>0</v>
      </c>
      <c r="BX103" s="512">
        <f>BX111+BX159+BX99</f>
        <v>48248147.073037073</v>
      </c>
      <c r="BY103" s="332"/>
      <c r="BZ103" s="265"/>
      <c r="CA103" s="265"/>
      <c r="CB103" s="265"/>
      <c r="CC103" s="265"/>
    </row>
    <row r="104" spans="2:81" hidden="1">
      <c r="B104" s="265"/>
      <c r="C104" s="513" t="s">
        <v>352</v>
      </c>
      <c r="D104" s="672" t="e">
        <f>IRR(E103:BX103)*12</f>
        <v>#NUM!</v>
      </c>
      <c r="E104" s="624"/>
      <c r="F104" s="265"/>
      <c r="G104" s="265"/>
      <c r="H104" s="265"/>
      <c r="I104" s="265"/>
      <c r="J104" s="265"/>
      <c r="K104" s="265"/>
      <c r="L104" s="265"/>
      <c r="M104" s="265"/>
      <c r="N104" s="265"/>
      <c r="O104" s="265"/>
      <c r="P104" s="265"/>
      <c r="Q104" s="265"/>
      <c r="R104" s="265"/>
      <c r="S104" s="265"/>
      <c r="T104" s="265"/>
      <c r="U104" s="265"/>
      <c r="V104" s="265"/>
      <c r="W104" s="265"/>
      <c r="X104" s="265"/>
      <c r="Y104" s="265"/>
      <c r="Z104" s="265"/>
      <c r="AA104" s="265"/>
      <c r="AB104" s="265"/>
      <c r="AC104" s="265"/>
      <c r="AD104" s="265"/>
      <c r="AE104" s="265"/>
      <c r="AF104" s="265"/>
      <c r="AG104" s="265"/>
      <c r="AH104" s="265"/>
      <c r="AI104" s="265"/>
      <c r="AJ104" s="265"/>
      <c r="AK104" s="265"/>
      <c r="AL104" s="265"/>
      <c r="AM104" s="265"/>
      <c r="AN104" s="265"/>
      <c r="AO104" s="265"/>
      <c r="AP104" s="265"/>
      <c r="AQ104" s="265"/>
      <c r="AR104" s="265"/>
      <c r="AS104" s="265"/>
      <c r="AT104" s="265"/>
      <c r="AU104" s="265"/>
      <c r="AV104" s="265"/>
      <c r="AW104" s="265"/>
      <c r="AX104" s="265"/>
      <c r="AY104" s="265"/>
      <c r="AZ104" s="265"/>
      <c r="BA104" s="265"/>
      <c r="BB104" s="265"/>
      <c r="BC104" s="265"/>
      <c r="BD104" s="265"/>
      <c r="BE104" s="265"/>
      <c r="BF104" s="265"/>
      <c r="BG104" s="265"/>
      <c r="BH104" s="265"/>
      <c r="BI104" s="265"/>
      <c r="BJ104" s="265"/>
      <c r="BK104" s="265"/>
      <c r="BL104" s="265"/>
      <c r="BM104" s="265"/>
      <c r="BN104" s="265"/>
      <c r="BO104" s="265"/>
      <c r="BP104" s="265"/>
      <c r="BQ104" s="265"/>
      <c r="BR104" s="265"/>
      <c r="BS104" s="265"/>
      <c r="BT104" s="265"/>
      <c r="BU104" s="265"/>
      <c r="BV104" s="265"/>
      <c r="BW104" s="265"/>
      <c r="BX104" s="265"/>
      <c r="BY104" s="332"/>
      <c r="BZ104" s="265"/>
      <c r="CA104" s="265"/>
      <c r="CB104" s="265"/>
      <c r="CC104" s="265"/>
    </row>
    <row r="105" spans="2:81" hidden="1">
      <c r="B105" s="265"/>
      <c r="C105" s="265"/>
      <c r="D105" s="265"/>
      <c r="E105" s="265"/>
      <c r="F105" s="265"/>
      <c r="G105" s="265"/>
      <c r="H105" s="265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5"/>
      <c r="U105" s="265"/>
      <c r="V105" s="265"/>
      <c r="W105" s="265"/>
      <c r="X105" s="265"/>
      <c r="Y105" s="265"/>
      <c r="Z105" s="265"/>
      <c r="AA105" s="265"/>
      <c r="AB105" s="265"/>
      <c r="AC105" s="265"/>
      <c r="AD105" s="265"/>
      <c r="AE105" s="265"/>
      <c r="AF105" s="265"/>
      <c r="AG105" s="265"/>
      <c r="AH105" s="265"/>
      <c r="AI105" s="265"/>
      <c r="AJ105" s="265"/>
      <c r="AK105" s="265"/>
      <c r="AL105" s="265"/>
      <c r="AM105" s="265"/>
      <c r="AN105" s="265"/>
      <c r="AO105" s="265"/>
      <c r="AP105" s="265"/>
      <c r="AQ105" s="265"/>
      <c r="AR105" s="265"/>
      <c r="AS105" s="265"/>
      <c r="AT105" s="265"/>
      <c r="AU105" s="265"/>
      <c r="AV105" s="265"/>
      <c r="AW105" s="265"/>
      <c r="AX105" s="265"/>
      <c r="AY105" s="265"/>
      <c r="AZ105" s="265"/>
      <c r="BA105" s="265"/>
      <c r="BB105" s="265"/>
      <c r="BC105" s="265"/>
      <c r="BD105" s="265"/>
      <c r="BE105" s="265"/>
      <c r="BF105" s="265"/>
      <c r="BG105" s="265"/>
      <c r="BH105" s="265"/>
      <c r="BI105" s="265"/>
      <c r="BJ105" s="265"/>
      <c r="BK105" s="265"/>
      <c r="BL105" s="265"/>
      <c r="BM105" s="265"/>
      <c r="BN105" s="265"/>
      <c r="BO105" s="265"/>
      <c r="BP105" s="265"/>
      <c r="BQ105" s="265"/>
      <c r="BR105" s="265"/>
      <c r="BS105" s="265"/>
      <c r="BT105" s="265"/>
      <c r="BU105" s="265"/>
      <c r="BV105" s="265"/>
      <c r="BW105" s="265"/>
      <c r="BX105" s="265"/>
      <c r="BY105" s="332"/>
      <c r="BZ105" s="265"/>
      <c r="CA105" s="265"/>
      <c r="CB105" s="265"/>
      <c r="CC105" s="265"/>
    </row>
    <row r="106" spans="2:81" hidden="1">
      <c r="B106" s="265"/>
      <c r="C106" s="265"/>
      <c r="D106" s="265"/>
      <c r="E106" s="265"/>
      <c r="F106" s="265"/>
      <c r="G106" s="265"/>
      <c r="H106" s="265"/>
      <c r="I106" s="265"/>
      <c r="J106" s="265"/>
      <c r="K106" s="265"/>
      <c r="L106" s="265"/>
      <c r="M106" s="265"/>
      <c r="N106" s="265"/>
      <c r="O106" s="265"/>
      <c r="P106" s="265"/>
      <c r="Q106" s="265"/>
      <c r="R106" s="265"/>
      <c r="S106" s="265"/>
      <c r="T106" s="265"/>
      <c r="U106" s="265"/>
      <c r="V106" s="265"/>
      <c r="W106" s="265"/>
      <c r="X106" s="265"/>
      <c r="Y106" s="265"/>
      <c r="Z106" s="265"/>
      <c r="AA106" s="265"/>
      <c r="AB106" s="265"/>
      <c r="AC106" s="265"/>
      <c r="AD106" s="265"/>
      <c r="AE106" s="265"/>
      <c r="AF106" s="265"/>
      <c r="AG106" s="265"/>
      <c r="AH106" s="265"/>
      <c r="AI106" s="265"/>
      <c r="AJ106" s="265"/>
      <c r="AK106" s="265"/>
      <c r="AL106" s="265"/>
      <c r="AM106" s="265"/>
      <c r="AN106" s="265"/>
      <c r="AO106" s="265"/>
      <c r="AP106" s="265"/>
      <c r="AQ106" s="265"/>
      <c r="AR106" s="265"/>
      <c r="AS106" s="265"/>
      <c r="AT106" s="265"/>
      <c r="AU106" s="265"/>
      <c r="AV106" s="265"/>
      <c r="AW106" s="265"/>
      <c r="AX106" s="265"/>
      <c r="AY106" s="265"/>
      <c r="AZ106" s="265"/>
      <c r="BA106" s="265"/>
      <c r="BB106" s="265"/>
      <c r="BC106" s="265"/>
      <c r="BD106" s="265"/>
      <c r="BE106" s="265"/>
      <c r="BF106" s="265"/>
      <c r="BG106" s="265"/>
      <c r="BH106" s="265"/>
      <c r="BI106" s="265"/>
      <c r="BJ106" s="265"/>
      <c r="BK106" s="265"/>
      <c r="BL106" s="265"/>
      <c r="BM106" s="265"/>
      <c r="BN106" s="265"/>
      <c r="BO106" s="265"/>
      <c r="BP106" s="265"/>
      <c r="BQ106" s="265"/>
      <c r="BR106" s="265"/>
      <c r="BS106" s="265"/>
      <c r="BT106" s="265"/>
      <c r="BU106" s="265"/>
      <c r="BV106" s="265"/>
      <c r="BW106" s="265"/>
      <c r="BX106" s="265"/>
      <c r="BY106" s="332"/>
      <c r="BZ106" s="265"/>
      <c r="CA106" s="265"/>
      <c r="CB106" s="265"/>
      <c r="CC106" s="265"/>
    </row>
    <row r="107" spans="2:81" ht="17" hidden="1">
      <c r="B107" s="265"/>
      <c r="C107" s="335" t="s">
        <v>345</v>
      </c>
      <c r="D107" s="622"/>
      <c r="E107" s="623"/>
      <c r="F107" s="623"/>
      <c r="G107" s="623"/>
      <c r="H107" s="623"/>
      <c r="I107" s="623"/>
      <c r="J107" s="623"/>
      <c r="K107" s="623"/>
      <c r="L107" s="623"/>
      <c r="M107" s="623"/>
      <c r="N107" s="623"/>
      <c r="O107" s="623"/>
      <c r="P107" s="623"/>
      <c r="Q107" s="623"/>
      <c r="R107" s="623"/>
      <c r="S107" s="623"/>
      <c r="T107" s="623"/>
      <c r="U107" s="623"/>
      <c r="V107" s="623"/>
      <c r="W107" s="623"/>
      <c r="X107" s="623"/>
      <c r="Y107" s="623"/>
      <c r="Z107" s="623"/>
      <c r="AA107" s="623"/>
      <c r="AB107" s="623"/>
      <c r="AC107" s="623"/>
      <c r="AD107" s="623"/>
      <c r="AE107" s="623"/>
      <c r="AF107" s="623"/>
      <c r="AG107" s="623"/>
      <c r="AH107" s="623"/>
      <c r="AI107" s="623"/>
      <c r="AJ107" s="623"/>
      <c r="AK107" s="623"/>
      <c r="AL107" s="623"/>
      <c r="AM107" s="623"/>
      <c r="AN107" s="623"/>
      <c r="AO107" s="623"/>
      <c r="AP107" s="623"/>
      <c r="AQ107" s="623"/>
      <c r="AR107" s="623"/>
      <c r="AS107" s="623"/>
      <c r="AT107" s="623"/>
      <c r="AU107" s="623"/>
      <c r="AV107" s="623"/>
      <c r="AW107" s="623"/>
      <c r="AX107" s="623"/>
      <c r="AY107" s="623"/>
      <c r="AZ107" s="623"/>
      <c r="BA107" s="623"/>
      <c r="BB107" s="623"/>
      <c r="BC107" s="623"/>
      <c r="BD107" s="623"/>
      <c r="BE107" s="623"/>
      <c r="BF107" s="623"/>
      <c r="BG107" s="623"/>
      <c r="BH107" s="623"/>
      <c r="BI107" s="623"/>
      <c r="BJ107" s="623"/>
      <c r="BK107" s="623"/>
      <c r="BL107" s="623"/>
      <c r="BM107" s="623"/>
      <c r="BN107" s="623"/>
      <c r="BO107" s="623"/>
      <c r="BP107" s="623"/>
      <c r="BQ107" s="623"/>
      <c r="BR107" s="623"/>
      <c r="BS107" s="623"/>
      <c r="BT107" s="623"/>
      <c r="BU107" s="623"/>
      <c r="BV107" s="623"/>
      <c r="BW107" s="624"/>
      <c r="BX107" s="514">
        <f>BX99*C108</f>
        <v>9649629.414607415</v>
      </c>
      <c r="BY107" s="332"/>
      <c r="BZ107" s="265"/>
      <c r="CA107" s="265"/>
      <c r="CB107" s="265"/>
      <c r="CC107" s="265"/>
    </row>
    <row r="108" spans="2:81" ht="19" hidden="1">
      <c r="B108" s="265"/>
      <c r="C108" s="515">
        <v>0.2</v>
      </c>
      <c r="D108" s="265"/>
      <c r="E108" s="265"/>
      <c r="F108" s="265"/>
      <c r="G108" s="265"/>
      <c r="H108" s="265"/>
      <c r="I108" s="265"/>
      <c r="J108" s="265"/>
      <c r="K108" s="265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  <c r="Z108" s="265"/>
      <c r="AA108" s="265"/>
      <c r="AB108" s="265"/>
      <c r="AC108" s="265"/>
      <c r="AD108" s="265"/>
      <c r="AE108" s="265"/>
      <c r="AF108" s="265"/>
      <c r="AG108" s="265"/>
      <c r="AH108" s="265"/>
      <c r="AI108" s="265"/>
      <c r="AJ108" s="265"/>
      <c r="AK108" s="265"/>
      <c r="AL108" s="265"/>
      <c r="AM108" s="265"/>
      <c r="AN108" s="265"/>
      <c r="AO108" s="265"/>
      <c r="AP108" s="265"/>
      <c r="AQ108" s="265"/>
      <c r="AR108" s="265"/>
      <c r="AS108" s="265"/>
      <c r="AT108" s="265"/>
      <c r="AU108" s="265"/>
      <c r="AV108" s="265"/>
      <c r="AW108" s="265"/>
      <c r="AX108" s="265"/>
      <c r="AY108" s="265"/>
      <c r="AZ108" s="265"/>
      <c r="BA108" s="265"/>
      <c r="BB108" s="265"/>
      <c r="BC108" s="265"/>
      <c r="BD108" s="265"/>
      <c r="BE108" s="265"/>
      <c r="BF108" s="265"/>
      <c r="BG108" s="265"/>
      <c r="BH108" s="265"/>
      <c r="BI108" s="265"/>
      <c r="BJ108" s="265"/>
      <c r="BK108" s="265"/>
      <c r="BL108" s="265"/>
      <c r="BM108" s="265"/>
      <c r="BN108" s="265"/>
      <c r="BO108" s="265"/>
      <c r="BP108" s="265"/>
      <c r="BQ108" s="265"/>
      <c r="BR108" s="265"/>
      <c r="BS108" s="265"/>
      <c r="BT108" s="265"/>
      <c r="BU108" s="265"/>
      <c r="BV108" s="265"/>
      <c r="BW108" s="265"/>
      <c r="BX108" s="265"/>
      <c r="BY108" s="332"/>
      <c r="BZ108" s="265"/>
      <c r="CA108" s="265"/>
      <c r="CB108" s="265"/>
      <c r="CC108" s="265"/>
    </row>
    <row r="109" spans="2:81" hidden="1">
      <c r="B109" s="265"/>
      <c r="C109" s="265"/>
      <c r="D109" s="265"/>
      <c r="E109" s="265"/>
      <c r="F109" s="265"/>
      <c r="G109" s="265"/>
      <c r="H109" s="265"/>
      <c r="I109" s="265"/>
      <c r="J109" s="265"/>
      <c r="K109" s="265"/>
      <c r="L109" s="265"/>
      <c r="M109" s="265"/>
      <c r="N109" s="265"/>
      <c r="O109" s="265"/>
      <c r="P109" s="265"/>
      <c r="Q109" s="265"/>
      <c r="R109" s="265"/>
      <c r="S109" s="265"/>
      <c r="T109" s="265"/>
      <c r="U109" s="265"/>
      <c r="V109" s="265"/>
      <c r="W109" s="265"/>
      <c r="X109" s="265"/>
      <c r="Y109" s="265"/>
      <c r="Z109" s="265"/>
      <c r="AA109" s="265"/>
      <c r="AB109" s="265"/>
      <c r="AC109" s="265"/>
      <c r="AD109" s="265"/>
      <c r="AE109" s="265"/>
      <c r="AF109" s="265"/>
      <c r="AG109" s="265"/>
      <c r="AH109" s="265"/>
      <c r="AI109" s="265"/>
      <c r="AJ109" s="265"/>
      <c r="AK109" s="265"/>
      <c r="AL109" s="265"/>
      <c r="AM109" s="265"/>
      <c r="AN109" s="265"/>
      <c r="AO109" s="265"/>
      <c r="AP109" s="265"/>
      <c r="AQ109" s="265"/>
      <c r="AR109" s="265"/>
      <c r="AS109" s="265"/>
      <c r="AT109" s="265"/>
      <c r="AU109" s="265"/>
      <c r="AV109" s="265"/>
      <c r="AW109" s="265"/>
      <c r="AX109" s="265"/>
      <c r="AY109" s="265"/>
      <c r="AZ109" s="265"/>
      <c r="BA109" s="265"/>
      <c r="BB109" s="265"/>
      <c r="BC109" s="265"/>
      <c r="BD109" s="265"/>
      <c r="BE109" s="265"/>
      <c r="BF109" s="265"/>
      <c r="BG109" s="265"/>
      <c r="BH109" s="265"/>
      <c r="BI109" s="265"/>
      <c r="BJ109" s="265"/>
      <c r="BK109" s="265"/>
      <c r="BL109" s="265"/>
      <c r="BM109" s="265"/>
      <c r="BN109" s="265"/>
      <c r="BO109" s="265"/>
      <c r="BP109" s="265"/>
      <c r="BQ109" s="265"/>
      <c r="BR109" s="265"/>
      <c r="BS109" s="265"/>
      <c r="BT109" s="265"/>
      <c r="BU109" s="265"/>
      <c r="BV109" s="265"/>
      <c r="BW109" s="265"/>
      <c r="BX109" s="265"/>
      <c r="BY109" s="332"/>
      <c r="BZ109" s="265"/>
      <c r="CA109" s="265"/>
      <c r="CB109" s="265"/>
      <c r="CC109" s="265"/>
    </row>
    <row r="110" spans="2:81" hidden="1">
      <c r="B110" s="265"/>
      <c r="C110" s="337"/>
      <c r="D110" s="337"/>
      <c r="E110" s="337"/>
      <c r="F110" s="337"/>
      <c r="G110" s="337"/>
      <c r="H110" s="337"/>
      <c r="I110" s="337"/>
      <c r="J110" s="337"/>
      <c r="K110" s="337"/>
      <c r="L110" s="337"/>
      <c r="M110" s="337"/>
      <c r="N110" s="337"/>
      <c r="O110" s="337"/>
      <c r="P110" s="337"/>
      <c r="Q110" s="337"/>
      <c r="R110" s="337"/>
      <c r="S110" s="337"/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7"/>
      <c r="AE110" s="337"/>
      <c r="AF110" s="337"/>
      <c r="AG110" s="337"/>
      <c r="AH110" s="337"/>
      <c r="AI110" s="337"/>
      <c r="AJ110" s="337"/>
      <c r="AK110" s="337"/>
      <c r="AL110" s="337"/>
      <c r="AM110" s="337"/>
      <c r="AN110" s="337"/>
      <c r="AO110" s="337"/>
      <c r="AP110" s="337"/>
      <c r="AQ110" s="337"/>
      <c r="AR110" s="337"/>
      <c r="AS110" s="337"/>
      <c r="AT110" s="337"/>
      <c r="AU110" s="337"/>
      <c r="AV110" s="337"/>
      <c r="AW110" s="337"/>
      <c r="AX110" s="337"/>
      <c r="AY110" s="337"/>
      <c r="AZ110" s="337"/>
      <c r="BA110" s="337"/>
      <c r="BB110" s="337"/>
      <c r="BC110" s="337"/>
      <c r="BD110" s="337"/>
      <c r="BE110" s="337"/>
      <c r="BF110" s="337"/>
      <c r="BG110" s="337"/>
      <c r="BH110" s="337"/>
      <c r="BI110" s="337"/>
      <c r="BJ110" s="337"/>
      <c r="BK110" s="337"/>
      <c r="BL110" s="337"/>
      <c r="BM110" s="265"/>
      <c r="BN110" s="265"/>
      <c r="BO110" s="265"/>
      <c r="BP110" s="265"/>
      <c r="BQ110" s="265"/>
      <c r="BR110" s="265"/>
      <c r="BS110" s="265"/>
      <c r="BT110" s="265"/>
      <c r="BU110" s="265"/>
      <c r="BV110" s="265"/>
      <c r="BW110" s="265"/>
      <c r="BX110" s="265"/>
      <c r="BY110" s="265"/>
      <c r="BZ110" s="265"/>
      <c r="CA110" s="265"/>
      <c r="CB110" s="265"/>
      <c r="CC110" s="265"/>
    </row>
    <row r="111" spans="2:81" hidden="1">
      <c r="B111" s="338"/>
      <c r="C111" s="335" t="s">
        <v>346</v>
      </c>
      <c r="D111" s="511"/>
      <c r="E111" s="512">
        <f t="shared" ref="E111:O111" si="39">-(E5+E90)</f>
        <v>0</v>
      </c>
      <c r="F111" s="512">
        <f t="shared" si="39"/>
        <v>0</v>
      </c>
      <c r="G111" s="512">
        <f t="shared" si="39"/>
        <v>0</v>
      </c>
      <c r="H111" s="512">
        <f t="shared" si="39"/>
        <v>0</v>
      </c>
      <c r="I111" s="512">
        <f t="shared" si="39"/>
        <v>0</v>
      </c>
      <c r="J111" s="512">
        <f t="shared" si="39"/>
        <v>0</v>
      </c>
      <c r="K111" s="512">
        <f t="shared" si="39"/>
        <v>0</v>
      </c>
      <c r="L111" s="512">
        <f t="shared" si="39"/>
        <v>0</v>
      </c>
      <c r="M111" s="512">
        <f t="shared" si="39"/>
        <v>0</v>
      </c>
      <c r="N111" s="512">
        <f t="shared" si="39"/>
        <v>0</v>
      </c>
      <c r="O111" s="512">
        <f t="shared" si="39"/>
        <v>0</v>
      </c>
      <c r="P111" s="512">
        <f>-(P5+P6+P90+P91)</f>
        <v>0</v>
      </c>
      <c r="Q111" s="512">
        <f t="shared" ref="Q111:AV111" si="40">-(Q5+Q90)</f>
        <v>0</v>
      </c>
      <c r="R111" s="512">
        <f t="shared" si="40"/>
        <v>0</v>
      </c>
      <c r="S111" s="512">
        <f t="shared" si="40"/>
        <v>0</v>
      </c>
      <c r="T111" s="512">
        <f t="shared" si="40"/>
        <v>0</v>
      </c>
      <c r="U111" s="512">
        <f t="shared" si="40"/>
        <v>0</v>
      </c>
      <c r="V111" s="512">
        <f t="shared" si="40"/>
        <v>0</v>
      </c>
      <c r="W111" s="512">
        <f t="shared" si="40"/>
        <v>0</v>
      </c>
      <c r="X111" s="512">
        <f t="shared" si="40"/>
        <v>0</v>
      </c>
      <c r="Y111" s="512">
        <f t="shared" si="40"/>
        <v>0</v>
      </c>
      <c r="Z111" s="512">
        <f t="shared" si="40"/>
        <v>0</v>
      </c>
      <c r="AA111" s="512">
        <f t="shared" si="40"/>
        <v>0</v>
      </c>
      <c r="AB111" s="512">
        <f t="shared" si="40"/>
        <v>0</v>
      </c>
      <c r="AC111" s="512">
        <f t="shared" si="40"/>
        <v>0</v>
      </c>
      <c r="AD111" s="512">
        <f t="shared" si="40"/>
        <v>0</v>
      </c>
      <c r="AE111" s="512">
        <f t="shared" si="40"/>
        <v>0</v>
      </c>
      <c r="AF111" s="512">
        <f t="shared" si="40"/>
        <v>0</v>
      </c>
      <c r="AG111" s="512">
        <f t="shared" si="40"/>
        <v>0</v>
      </c>
      <c r="AH111" s="512">
        <f t="shared" si="40"/>
        <v>0</v>
      </c>
      <c r="AI111" s="512">
        <f t="shared" si="40"/>
        <v>0</v>
      </c>
      <c r="AJ111" s="512">
        <f t="shared" si="40"/>
        <v>0</v>
      </c>
      <c r="AK111" s="512">
        <f t="shared" si="40"/>
        <v>0</v>
      </c>
      <c r="AL111" s="512">
        <f t="shared" si="40"/>
        <v>0</v>
      </c>
      <c r="AM111" s="512">
        <f t="shared" si="40"/>
        <v>0</v>
      </c>
      <c r="AN111" s="512">
        <f t="shared" si="40"/>
        <v>0</v>
      </c>
      <c r="AO111" s="512">
        <f t="shared" si="40"/>
        <v>0</v>
      </c>
      <c r="AP111" s="512">
        <f t="shared" si="40"/>
        <v>0</v>
      </c>
      <c r="AQ111" s="512">
        <f t="shared" si="40"/>
        <v>0</v>
      </c>
      <c r="AR111" s="512">
        <f t="shared" si="40"/>
        <v>0</v>
      </c>
      <c r="AS111" s="512">
        <f t="shared" si="40"/>
        <v>0</v>
      </c>
      <c r="AT111" s="512">
        <f t="shared" si="40"/>
        <v>0</v>
      </c>
      <c r="AU111" s="512">
        <f t="shared" si="40"/>
        <v>0</v>
      </c>
      <c r="AV111" s="512">
        <f t="shared" si="40"/>
        <v>0</v>
      </c>
      <c r="AW111" s="512">
        <f t="shared" ref="AW111:BX111" si="41">-(AW5+AW90)</f>
        <v>0</v>
      </c>
      <c r="AX111" s="512">
        <f t="shared" si="41"/>
        <v>0</v>
      </c>
      <c r="AY111" s="512">
        <f t="shared" si="41"/>
        <v>0</v>
      </c>
      <c r="AZ111" s="512">
        <f t="shared" si="41"/>
        <v>0</v>
      </c>
      <c r="BA111" s="512">
        <f t="shared" si="41"/>
        <v>0</v>
      </c>
      <c r="BB111" s="512">
        <f t="shared" si="41"/>
        <v>0</v>
      </c>
      <c r="BC111" s="512">
        <f t="shared" si="41"/>
        <v>0</v>
      </c>
      <c r="BD111" s="512">
        <f t="shared" si="41"/>
        <v>0</v>
      </c>
      <c r="BE111" s="512">
        <f t="shared" si="41"/>
        <v>0</v>
      </c>
      <c r="BF111" s="512">
        <f t="shared" si="41"/>
        <v>0</v>
      </c>
      <c r="BG111" s="512">
        <f t="shared" si="41"/>
        <v>0</v>
      </c>
      <c r="BH111" s="512">
        <f t="shared" si="41"/>
        <v>0</v>
      </c>
      <c r="BI111" s="512">
        <f t="shared" si="41"/>
        <v>0</v>
      </c>
      <c r="BJ111" s="512">
        <f t="shared" si="41"/>
        <v>0</v>
      </c>
      <c r="BK111" s="512">
        <f t="shared" si="41"/>
        <v>0</v>
      </c>
      <c r="BL111" s="512">
        <f t="shared" si="41"/>
        <v>0</v>
      </c>
      <c r="BM111" s="512">
        <f t="shared" si="41"/>
        <v>0</v>
      </c>
      <c r="BN111" s="512">
        <f t="shared" si="41"/>
        <v>0</v>
      </c>
      <c r="BO111" s="512">
        <f t="shared" si="41"/>
        <v>0</v>
      </c>
      <c r="BP111" s="512">
        <f t="shared" si="41"/>
        <v>0</v>
      </c>
      <c r="BQ111" s="512">
        <f t="shared" si="41"/>
        <v>0</v>
      </c>
      <c r="BR111" s="512">
        <f t="shared" si="41"/>
        <v>0</v>
      </c>
      <c r="BS111" s="512">
        <f t="shared" si="41"/>
        <v>0</v>
      </c>
      <c r="BT111" s="512">
        <f t="shared" si="41"/>
        <v>0</v>
      </c>
      <c r="BU111" s="512">
        <f t="shared" si="41"/>
        <v>0</v>
      </c>
      <c r="BV111" s="512">
        <f t="shared" si="41"/>
        <v>0</v>
      </c>
      <c r="BW111" s="512">
        <f t="shared" si="41"/>
        <v>0</v>
      </c>
      <c r="BX111" s="512">
        <f t="shared" si="41"/>
        <v>0</v>
      </c>
      <c r="BY111" s="265"/>
      <c r="BZ111" s="265"/>
      <c r="CA111" s="265"/>
      <c r="CB111" s="265"/>
      <c r="CC111" s="265"/>
    </row>
    <row r="112" spans="2:81" hidden="1">
      <c r="B112" s="338"/>
      <c r="C112" s="335" t="s">
        <v>347</v>
      </c>
      <c r="D112" s="516"/>
      <c r="E112" s="511"/>
      <c r="F112" s="511"/>
      <c r="G112" s="511"/>
      <c r="H112" s="511"/>
      <c r="I112" s="511"/>
      <c r="J112" s="511"/>
      <c r="K112" s="511"/>
      <c r="L112" s="511"/>
      <c r="M112" s="511"/>
      <c r="N112" s="511"/>
      <c r="O112" s="511"/>
      <c r="P112" s="511"/>
      <c r="Q112" s="511"/>
      <c r="R112" s="511"/>
      <c r="S112" s="511"/>
      <c r="T112" s="511"/>
      <c r="U112" s="511"/>
      <c r="V112" s="511"/>
      <c r="W112" s="511"/>
      <c r="X112" s="511"/>
      <c r="Y112" s="511"/>
      <c r="Z112" s="511"/>
      <c r="AA112" s="511"/>
      <c r="AB112" s="511"/>
      <c r="AC112" s="511"/>
      <c r="AD112" s="511"/>
      <c r="AE112" s="511"/>
      <c r="AF112" s="511"/>
      <c r="AG112" s="511"/>
      <c r="AH112" s="511"/>
      <c r="AI112" s="511"/>
      <c r="AJ112" s="511"/>
      <c r="AK112" s="511"/>
      <c r="AL112" s="511"/>
      <c r="AM112" s="511"/>
      <c r="AN112" s="511"/>
      <c r="AO112" s="511"/>
      <c r="AP112" s="511"/>
      <c r="AQ112" s="511"/>
      <c r="AR112" s="511"/>
      <c r="AS112" s="511"/>
      <c r="AT112" s="511"/>
      <c r="AU112" s="511"/>
      <c r="AV112" s="511"/>
      <c r="AW112" s="511"/>
      <c r="AX112" s="511"/>
      <c r="AY112" s="511"/>
      <c r="AZ112" s="511"/>
      <c r="BA112" s="511"/>
      <c r="BB112" s="511"/>
      <c r="BC112" s="511"/>
      <c r="BD112" s="511"/>
      <c r="BE112" s="511"/>
      <c r="BF112" s="511"/>
      <c r="BG112" s="511"/>
      <c r="BH112" s="511"/>
      <c r="BI112" s="511"/>
      <c r="BJ112" s="511"/>
      <c r="BK112" s="511"/>
      <c r="BL112" s="511"/>
      <c r="BM112" s="511"/>
      <c r="BN112" s="511"/>
      <c r="BO112" s="511"/>
      <c r="BP112" s="511"/>
      <c r="BQ112" s="511"/>
      <c r="BR112" s="511"/>
      <c r="BS112" s="511"/>
      <c r="BT112" s="511"/>
      <c r="BU112" s="511"/>
      <c r="BV112" s="511"/>
      <c r="BW112" s="511"/>
      <c r="BX112" s="511"/>
      <c r="BY112" s="265"/>
      <c r="BZ112" s="265"/>
      <c r="CA112" s="265"/>
      <c r="CB112" s="265"/>
      <c r="CC112" s="265"/>
    </row>
    <row r="113" spans="3:76" hidden="1">
      <c r="C113" s="335" t="s">
        <v>348</v>
      </c>
      <c r="D113" s="516"/>
      <c r="E113" s="511">
        <f t="shared" ref="E113:BX113" si="42">-E55</f>
        <v>0</v>
      </c>
      <c r="F113" s="511">
        <f t="shared" si="42"/>
        <v>0</v>
      </c>
      <c r="G113" s="511">
        <f t="shared" si="42"/>
        <v>0</v>
      </c>
      <c r="H113" s="511">
        <f t="shared" si="42"/>
        <v>0</v>
      </c>
      <c r="I113" s="511">
        <f t="shared" si="42"/>
        <v>0</v>
      </c>
      <c r="J113" s="511">
        <f t="shared" si="42"/>
        <v>0</v>
      </c>
      <c r="K113" s="511">
        <f t="shared" si="42"/>
        <v>0</v>
      </c>
      <c r="L113" s="511">
        <f t="shared" si="42"/>
        <v>0</v>
      </c>
      <c r="M113" s="511">
        <f t="shared" si="42"/>
        <v>0</v>
      </c>
      <c r="N113" s="511">
        <f t="shared" si="42"/>
        <v>0</v>
      </c>
      <c r="O113" s="511">
        <f t="shared" si="42"/>
        <v>0</v>
      </c>
      <c r="P113" s="511">
        <f t="shared" si="42"/>
        <v>0</v>
      </c>
      <c r="Q113" s="511">
        <f t="shared" si="42"/>
        <v>0</v>
      </c>
      <c r="R113" s="511">
        <f t="shared" si="42"/>
        <v>0</v>
      </c>
      <c r="S113" s="511">
        <f t="shared" si="42"/>
        <v>0</v>
      </c>
      <c r="T113" s="511">
        <f t="shared" si="42"/>
        <v>0</v>
      </c>
      <c r="U113" s="511">
        <f t="shared" si="42"/>
        <v>0</v>
      </c>
      <c r="V113" s="511">
        <f t="shared" si="42"/>
        <v>0</v>
      </c>
      <c r="W113" s="511">
        <f t="shared" si="42"/>
        <v>0</v>
      </c>
      <c r="X113" s="511">
        <f t="shared" si="42"/>
        <v>0</v>
      </c>
      <c r="Y113" s="511">
        <f t="shared" si="42"/>
        <v>0</v>
      </c>
      <c r="Z113" s="511">
        <f t="shared" si="42"/>
        <v>0</v>
      </c>
      <c r="AA113" s="511">
        <f t="shared" si="42"/>
        <v>0</v>
      </c>
      <c r="AB113" s="511">
        <f t="shared" si="42"/>
        <v>0</v>
      </c>
      <c r="AC113" s="511">
        <f t="shared" si="42"/>
        <v>0</v>
      </c>
      <c r="AD113" s="511">
        <f t="shared" si="42"/>
        <v>0</v>
      </c>
      <c r="AE113" s="511">
        <f t="shared" si="42"/>
        <v>0</v>
      </c>
      <c r="AF113" s="511">
        <f t="shared" si="42"/>
        <v>0</v>
      </c>
      <c r="AG113" s="511">
        <f t="shared" si="42"/>
        <v>0</v>
      </c>
      <c r="AH113" s="511">
        <f t="shared" si="42"/>
        <v>0</v>
      </c>
      <c r="AI113" s="511">
        <f t="shared" si="42"/>
        <v>0</v>
      </c>
      <c r="AJ113" s="511">
        <f t="shared" si="42"/>
        <v>0</v>
      </c>
      <c r="AK113" s="511">
        <f t="shared" si="42"/>
        <v>0</v>
      </c>
      <c r="AL113" s="511">
        <f t="shared" si="42"/>
        <v>0</v>
      </c>
      <c r="AM113" s="511">
        <f t="shared" si="42"/>
        <v>0</v>
      </c>
      <c r="AN113" s="511">
        <f t="shared" si="42"/>
        <v>0</v>
      </c>
      <c r="AO113" s="511">
        <f t="shared" si="42"/>
        <v>0</v>
      </c>
      <c r="AP113" s="511">
        <f t="shared" si="42"/>
        <v>0</v>
      </c>
      <c r="AQ113" s="511">
        <f t="shared" si="42"/>
        <v>0</v>
      </c>
      <c r="AR113" s="511">
        <f t="shared" si="42"/>
        <v>0</v>
      </c>
      <c r="AS113" s="511">
        <f t="shared" si="42"/>
        <v>0</v>
      </c>
      <c r="AT113" s="511">
        <f t="shared" si="42"/>
        <v>0</v>
      </c>
      <c r="AU113" s="511">
        <f t="shared" si="42"/>
        <v>0</v>
      </c>
      <c r="AV113" s="511">
        <f t="shared" si="42"/>
        <v>0</v>
      </c>
      <c r="AW113" s="511">
        <f t="shared" si="42"/>
        <v>0</v>
      </c>
      <c r="AX113" s="511">
        <f t="shared" si="42"/>
        <v>0</v>
      </c>
      <c r="AY113" s="511">
        <f t="shared" si="42"/>
        <v>0</v>
      </c>
      <c r="AZ113" s="511">
        <f t="shared" si="42"/>
        <v>0</v>
      </c>
      <c r="BA113" s="511">
        <f t="shared" si="42"/>
        <v>0</v>
      </c>
      <c r="BB113" s="511">
        <f t="shared" si="42"/>
        <v>0</v>
      </c>
      <c r="BC113" s="511">
        <f t="shared" si="42"/>
        <v>0</v>
      </c>
      <c r="BD113" s="511">
        <f t="shared" si="42"/>
        <v>0</v>
      </c>
      <c r="BE113" s="511">
        <f t="shared" si="42"/>
        <v>0</v>
      </c>
      <c r="BF113" s="511">
        <f t="shared" si="42"/>
        <v>0</v>
      </c>
      <c r="BG113" s="511">
        <f t="shared" si="42"/>
        <v>0</v>
      </c>
      <c r="BH113" s="511">
        <f t="shared" si="42"/>
        <v>0</v>
      </c>
      <c r="BI113" s="511">
        <f t="shared" si="42"/>
        <v>0</v>
      </c>
      <c r="BJ113" s="511">
        <f t="shared" si="42"/>
        <v>0</v>
      </c>
      <c r="BK113" s="511">
        <f t="shared" si="42"/>
        <v>0</v>
      </c>
      <c r="BL113" s="511">
        <f t="shared" si="42"/>
        <v>0</v>
      </c>
      <c r="BM113" s="511">
        <f t="shared" si="42"/>
        <v>0</v>
      </c>
      <c r="BN113" s="511">
        <f t="shared" si="42"/>
        <v>0</v>
      </c>
      <c r="BO113" s="511">
        <f t="shared" si="42"/>
        <v>0</v>
      </c>
      <c r="BP113" s="511">
        <f t="shared" si="42"/>
        <v>0</v>
      </c>
      <c r="BQ113" s="511">
        <f t="shared" si="42"/>
        <v>0</v>
      </c>
      <c r="BR113" s="511">
        <f t="shared" si="42"/>
        <v>0</v>
      </c>
      <c r="BS113" s="511">
        <f t="shared" si="42"/>
        <v>0</v>
      </c>
      <c r="BT113" s="511">
        <f t="shared" si="42"/>
        <v>0</v>
      </c>
      <c r="BU113" s="511">
        <f t="shared" si="42"/>
        <v>0</v>
      </c>
      <c r="BV113" s="511">
        <f t="shared" si="42"/>
        <v>0</v>
      </c>
      <c r="BW113" s="511">
        <f t="shared" si="42"/>
        <v>0</v>
      </c>
      <c r="BX113" s="511">
        <f t="shared" si="42"/>
        <v>0</v>
      </c>
    </row>
    <row r="114" spans="3:76" hidden="1">
      <c r="C114" s="335" t="s">
        <v>349</v>
      </c>
      <c r="D114" s="516"/>
      <c r="E114" s="511"/>
      <c r="F114" s="511"/>
      <c r="G114" s="511"/>
      <c r="H114" s="511"/>
      <c r="I114" s="511"/>
      <c r="J114" s="511"/>
      <c r="K114" s="511"/>
      <c r="L114" s="511"/>
      <c r="M114" s="511"/>
      <c r="N114" s="511"/>
      <c r="O114" s="511"/>
      <c r="P114" s="511"/>
      <c r="Q114" s="511"/>
      <c r="R114" s="511"/>
      <c r="S114" s="511"/>
      <c r="T114" s="511"/>
      <c r="U114" s="511"/>
      <c r="V114" s="511"/>
      <c r="W114" s="511"/>
      <c r="X114" s="511"/>
      <c r="Y114" s="511"/>
      <c r="Z114" s="511"/>
      <c r="AA114" s="511"/>
      <c r="AB114" s="511"/>
      <c r="AC114" s="511"/>
      <c r="AD114" s="511"/>
      <c r="AE114" s="511"/>
      <c r="AF114" s="511"/>
      <c r="AG114" s="511"/>
      <c r="AH114" s="511"/>
      <c r="AI114" s="511"/>
      <c r="AJ114" s="511"/>
      <c r="AK114" s="511"/>
      <c r="AL114" s="511"/>
      <c r="AM114" s="511"/>
      <c r="AN114" s="511"/>
      <c r="AO114" s="511"/>
      <c r="AP114" s="511"/>
      <c r="AQ114" s="511"/>
      <c r="AR114" s="511"/>
      <c r="AS114" s="511"/>
      <c r="AT114" s="511"/>
      <c r="AU114" s="511"/>
      <c r="AV114" s="511"/>
      <c r="AW114" s="511"/>
      <c r="AX114" s="511"/>
      <c r="AY114" s="511"/>
      <c r="AZ114" s="511"/>
      <c r="BA114" s="511"/>
      <c r="BB114" s="511"/>
      <c r="BC114" s="511"/>
      <c r="BD114" s="511"/>
      <c r="BE114" s="511"/>
      <c r="BF114" s="511"/>
      <c r="BG114" s="511"/>
      <c r="BH114" s="511"/>
      <c r="BI114" s="511"/>
      <c r="BJ114" s="511"/>
      <c r="BK114" s="511"/>
      <c r="BL114" s="511"/>
      <c r="BM114" s="511"/>
      <c r="BN114" s="511"/>
      <c r="BO114" s="511"/>
      <c r="BP114" s="511"/>
      <c r="BQ114" s="511"/>
      <c r="BR114" s="511"/>
      <c r="BS114" s="511"/>
      <c r="BT114" s="511"/>
      <c r="BU114" s="511"/>
      <c r="BV114" s="511"/>
      <c r="BW114" s="511"/>
      <c r="BX114" s="511" t="e">
        <f>IF(D104&gt;0.25,(BX99-BX107)*D116,BX99*D116)</f>
        <v>#NUM!</v>
      </c>
    </row>
    <row r="115" spans="3:76" hidden="1">
      <c r="C115" s="335" t="s">
        <v>345</v>
      </c>
      <c r="D115" s="516"/>
      <c r="E115" s="511"/>
      <c r="F115" s="511"/>
      <c r="G115" s="511"/>
      <c r="H115" s="511"/>
      <c r="I115" s="511"/>
      <c r="J115" s="511"/>
      <c r="K115" s="511"/>
      <c r="L115" s="511"/>
      <c r="M115" s="511"/>
      <c r="N115" s="511"/>
      <c r="O115" s="511"/>
      <c r="P115" s="511"/>
      <c r="Q115" s="511"/>
      <c r="R115" s="511"/>
      <c r="S115" s="511"/>
      <c r="T115" s="511"/>
      <c r="U115" s="511"/>
      <c r="V115" s="511"/>
      <c r="W115" s="511"/>
      <c r="X115" s="511"/>
      <c r="Y115" s="511"/>
      <c r="Z115" s="511"/>
      <c r="AA115" s="511"/>
      <c r="AB115" s="511"/>
      <c r="AC115" s="511"/>
      <c r="AD115" s="511"/>
      <c r="AE115" s="511"/>
      <c r="AF115" s="511"/>
      <c r="AG115" s="511"/>
      <c r="AH115" s="511"/>
      <c r="AI115" s="511"/>
      <c r="AJ115" s="511"/>
      <c r="AK115" s="511"/>
      <c r="AL115" s="511"/>
      <c r="AM115" s="511"/>
      <c r="AN115" s="511"/>
      <c r="AO115" s="511"/>
      <c r="AP115" s="511"/>
      <c r="AQ115" s="511"/>
      <c r="AR115" s="511"/>
      <c r="AS115" s="511"/>
      <c r="AT115" s="511"/>
      <c r="AU115" s="511"/>
      <c r="AV115" s="511"/>
      <c r="AW115" s="511"/>
      <c r="AX115" s="511"/>
      <c r="AY115" s="511"/>
      <c r="AZ115" s="511"/>
      <c r="BA115" s="511"/>
      <c r="BB115" s="511"/>
      <c r="BC115" s="511"/>
      <c r="BD115" s="511"/>
      <c r="BE115" s="511"/>
      <c r="BF115" s="511"/>
      <c r="BG115" s="511"/>
      <c r="BH115" s="511"/>
      <c r="BI115" s="511"/>
      <c r="BJ115" s="511"/>
      <c r="BK115" s="511"/>
      <c r="BL115" s="511"/>
      <c r="BM115" s="511"/>
      <c r="BN115" s="511"/>
      <c r="BO115" s="511"/>
      <c r="BP115" s="511"/>
      <c r="BQ115" s="511"/>
      <c r="BR115" s="511"/>
      <c r="BS115" s="511"/>
      <c r="BT115" s="511"/>
      <c r="BU115" s="511"/>
      <c r="BV115" s="511"/>
      <c r="BW115" s="511"/>
      <c r="BX115" s="511" t="e">
        <f>IF(D104&gt;0.25,BX107,0)</f>
        <v>#NUM!</v>
      </c>
    </row>
    <row r="116" spans="3:76" hidden="1">
      <c r="C116" s="513" t="s">
        <v>350</v>
      </c>
      <c r="D116" s="516">
        <v>0</v>
      </c>
      <c r="E116" s="283"/>
      <c r="F116" s="283"/>
      <c r="G116" s="283"/>
      <c r="H116" s="283"/>
      <c r="I116" s="283"/>
      <c r="J116" s="283"/>
      <c r="K116" s="283"/>
      <c r="L116" s="283"/>
      <c r="M116" s="283"/>
      <c r="N116" s="283"/>
      <c r="O116" s="283"/>
      <c r="P116" s="283"/>
      <c r="Q116" s="283"/>
      <c r="R116" s="283"/>
      <c r="S116" s="283"/>
      <c r="T116" s="283"/>
      <c r="U116" s="283"/>
      <c r="V116" s="283"/>
      <c r="W116" s="283"/>
      <c r="X116" s="283"/>
      <c r="Y116" s="283"/>
      <c r="Z116" s="283"/>
      <c r="AA116" s="283"/>
      <c r="AB116" s="283"/>
      <c r="AC116" s="283"/>
      <c r="AD116" s="283"/>
      <c r="AE116" s="283"/>
      <c r="AF116" s="283"/>
      <c r="AG116" s="283"/>
      <c r="AH116" s="283"/>
      <c r="AI116" s="283"/>
      <c r="AJ116" s="283"/>
      <c r="AK116" s="283"/>
      <c r="AL116" s="283"/>
      <c r="AM116" s="283"/>
      <c r="AN116" s="283"/>
      <c r="AO116" s="283"/>
      <c r="AP116" s="283"/>
      <c r="AQ116" s="283"/>
      <c r="AR116" s="283"/>
      <c r="AS116" s="283"/>
      <c r="AT116" s="283"/>
      <c r="AU116" s="283"/>
      <c r="AV116" s="283"/>
      <c r="AW116" s="283"/>
      <c r="AX116" s="283"/>
      <c r="AY116" s="283"/>
      <c r="AZ116" s="283"/>
      <c r="BA116" s="283"/>
      <c r="BB116" s="283"/>
      <c r="BC116" s="339"/>
      <c r="BD116" s="283"/>
      <c r="BE116" s="283"/>
      <c r="BF116" s="283"/>
      <c r="BG116" s="283"/>
      <c r="BH116" s="283"/>
      <c r="BI116" s="283"/>
      <c r="BJ116" s="283"/>
      <c r="BK116" s="283"/>
      <c r="BL116" s="283"/>
      <c r="BM116" s="283"/>
      <c r="BN116" s="283"/>
      <c r="BO116" s="283"/>
      <c r="BP116" s="283"/>
      <c r="BQ116" s="283"/>
      <c r="BR116" s="283"/>
      <c r="BS116" s="283"/>
      <c r="BT116" s="283"/>
      <c r="BU116" s="283"/>
      <c r="BV116" s="283"/>
      <c r="BW116" s="283"/>
      <c r="BX116" s="283"/>
    </row>
    <row r="117" spans="3:76" hidden="1">
      <c r="C117" s="335" t="s">
        <v>351</v>
      </c>
      <c r="D117" s="336"/>
      <c r="E117" s="517">
        <f t="shared" ref="E117:BW117" si="43">E111+E112+E113+E114+E116</f>
        <v>0</v>
      </c>
      <c r="F117" s="517">
        <f t="shared" si="43"/>
        <v>0</v>
      </c>
      <c r="G117" s="517">
        <f t="shared" si="43"/>
        <v>0</v>
      </c>
      <c r="H117" s="517">
        <f t="shared" si="43"/>
        <v>0</v>
      </c>
      <c r="I117" s="517">
        <f t="shared" si="43"/>
        <v>0</v>
      </c>
      <c r="J117" s="517">
        <f t="shared" si="43"/>
        <v>0</v>
      </c>
      <c r="K117" s="517">
        <f t="shared" si="43"/>
        <v>0</v>
      </c>
      <c r="L117" s="517">
        <f t="shared" si="43"/>
        <v>0</v>
      </c>
      <c r="M117" s="517">
        <f t="shared" si="43"/>
        <v>0</v>
      </c>
      <c r="N117" s="517">
        <f t="shared" si="43"/>
        <v>0</v>
      </c>
      <c r="O117" s="517">
        <f t="shared" si="43"/>
        <v>0</v>
      </c>
      <c r="P117" s="517">
        <f t="shared" si="43"/>
        <v>0</v>
      </c>
      <c r="Q117" s="517">
        <f t="shared" si="43"/>
        <v>0</v>
      </c>
      <c r="R117" s="517">
        <f t="shared" si="43"/>
        <v>0</v>
      </c>
      <c r="S117" s="517">
        <f t="shared" si="43"/>
        <v>0</v>
      </c>
      <c r="T117" s="517">
        <f t="shared" si="43"/>
        <v>0</v>
      </c>
      <c r="U117" s="517">
        <f t="shared" si="43"/>
        <v>0</v>
      </c>
      <c r="V117" s="517">
        <f t="shared" si="43"/>
        <v>0</v>
      </c>
      <c r="W117" s="517">
        <f t="shared" si="43"/>
        <v>0</v>
      </c>
      <c r="X117" s="517">
        <f t="shared" si="43"/>
        <v>0</v>
      </c>
      <c r="Y117" s="517">
        <f t="shared" si="43"/>
        <v>0</v>
      </c>
      <c r="Z117" s="517">
        <f t="shared" si="43"/>
        <v>0</v>
      </c>
      <c r="AA117" s="517">
        <f t="shared" si="43"/>
        <v>0</v>
      </c>
      <c r="AB117" s="517">
        <f t="shared" si="43"/>
        <v>0</v>
      </c>
      <c r="AC117" s="517">
        <f t="shared" si="43"/>
        <v>0</v>
      </c>
      <c r="AD117" s="517">
        <f t="shared" si="43"/>
        <v>0</v>
      </c>
      <c r="AE117" s="517">
        <f t="shared" si="43"/>
        <v>0</v>
      </c>
      <c r="AF117" s="517">
        <f t="shared" si="43"/>
        <v>0</v>
      </c>
      <c r="AG117" s="517">
        <f t="shared" si="43"/>
        <v>0</v>
      </c>
      <c r="AH117" s="517">
        <f t="shared" si="43"/>
        <v>0</v>
      </c>
      <c r="AI117" s="517">
        <f t="shared" si="43"/>
        <v>0</v>
      </c>
      <c r="AJ117" s="517">
        <f t="shared" si="43"/>
        <v>0</v>
      </c>
      <c r="AK117" s="517">
        <f t="shared" si="43"/>
        <v>0</v>
      </c>
      <c r="AL117" s="517">
        <f t="shared" si="43"/>
        <v>0</v>
      </c>
      <c r="AM117" s="517">
        <f t="shared" si="43"/>
        <v>0</v>
      </c>
      <c r="AN117" s="517">
        <f t="shared" si="43"/>
        <v>0</v>
      </c>
      <c r="AO117" s="517">
        <f t="shared" si="43"/>
        <v>0</v>
      </c>
      <c r="AP117" s="517">
        <f t="shared" si="43"/>
        <v>0</v>
      </c>
      <c r="AQ117" s="517">
        <f t="shared" si="43"/>
        <v>0</v>
      </c>
      <c r="AR117" s="517">
        <f t="shared" si="43"/>
        <v>0</v>
      </c>
      <c r="AS117" s="517">
        <f t="shared" si="43"/>
        <v>0</v>
      </c>
      <c r="AT117" s="517">
        <f t="shared" si="43"/>
        <v>0</v>
      </c>
      <c r="AU117" s="517">
        <f t="shared" si="43"/>
        <v>0</v>
      </c>
      <c r="AV117" s="517">
        <f t="shared" si="43"/>
        <v>0</v>
      </c>
      <c r="AW117" s="517">
        <f t="shared" si="43"/>
        <v>0</v>
      </c>
      <c r="AX117" s="517">
        <f t="shared" si="43"/>
        <v>0</v>
      </c>
      <c r="AY117" s="517">
        <f t="shared" si="43"/>
        <v>0</v>
      </c>
      <c r="AZ117" s="517">
        <f t="shared" si="43"/>
        <v>0</v>
      </c>
      <c r="BA117" s="517">
        <f t="shared" si="43"/>
        <v>0</v>
      </c>
      <c r="BB117" s="517">
        <f t="shared" si="43"/>
        <v>0</v>
      </c>
      <c r="BC117" s="517">
        <f t="shared" si="43"/>
        <v>0</v>
      </c>
      <c r="BD117" s="517">
        <f t="shared" si="43"/>
        <v>0</v>
      </c>
      <c r="BE117" s="517">
        <f t="shared" si="43"/>
        <v>0</v>
      </c>
      <c r="BF117" s="517">
        <f t="shared" si="43"/>
        <v>0</v>
      </c>
      <c r="BG117" s="517">
        <f t="shared" si="43"/>
        <v>0</v>
      </c>
      <c r="BH117" s="517">
        <f t="shared" si="43"/>
        <v>0</v>
      </c>
      <c r="BI117" s="517">
        <f t="shared" si="43"/>
        <v>0</v>
      </c>
      <c r="BJ117" s="517">
        <f t="shared" si="43"/>
        <v>0</v>
      </c>
      <c r="BK117" s="517">
        <f t="shared" si="43"/>
        <v>0</v>
      </c>
      <c r="BL117" s="517">
        <f t="shared" si="43"/>
        <v>0</v>
      </c>
      <c r="BM117" s="517">
        <f t="shared" si="43"/>
        <v>0</v>
      </c>
      <c r="BN117" s="517">
        <f t="shared" si="43"/>
        <v>0</v>
      </c>
      <c r="BO117" s="517">
        <f t="shared" si="43"/>
        <v>0</v>
      </c>
      <c r="BP117" s="517">
        <f t="shared" si="43"/>
        <v>0</v>
      </c>
      <c r="BQ117" s="517">
        <f t="shared" si="43"/>
        <v>0</v>
      </c>
      <c r="BR117" s="517">
        <f t="shared" si="43"/>
        <v>0</v>
      </c>
      <c r="BS117" s="517">
        <f t="shared" si="43"/>
        <v>0</v>
      </c>
      <c r="BT117" s="517">
        <f t="shared" si="43"/>
        <v>0</v>
      </c>
      <c r="BU117" s="517">
        <f t="shared" si="43"/>
        <v>0</v>
      </c>
      <c r="BV117" s="517">
        <f t="shared" si="43"/>
        <v>0</v>
      </c>
      <c r="BW117" s="517">
        <f t="shared" si="43"/>
        <v>0</v>
      </c>
      <c r="BX117" s="517" t="e">
        <f>BX111+BX112+BX113+BX114+BX115+BX116</f>
        <v>#NUM!</v>
      </c>
    </row>
    <row r="118" spans="3:76" hidden="1">
      <c r="C118" s="513" t="s">
        <v>352</v>
      </c>
      <c r="D118" s="518" t="e">
        <f>IRR(E117:BX117)*12</f>
        <v>#VALUE!</v>
      </c>
      <c r="E118" s="265"/>
      <c r="F118" s="265"/>
      <c r="G118" s="265"/>
      <c r="H118" s="265"/>
      <c r="I118" s="265"/>
      <c r="J118" s="265"/>
      <c r="K118" s="265"/>
      <c r="L118" s="265"/>
      <c r="M118" s="265"/>
      <c r="N118" s="265"/>
      <c r="O118" s="265"/>
      <c r="P118" s="265"/>
      <c r="Q118" s="265"/>
      <c r="R118" s="265"/>
      <c r="S118" s="265"/>
      <c r="T118" s="265"/>
      <c r="U118" s="265"/>
      <c r="V118" s="265"/>
      <c r="W118" s="265"/>
      <c r="X118" s="265"/>
      <c r="Y118" s="265"/>
      <c r="Z118" s="265"/>
      <c r="AA118" s="265"/>
      <c r="AB118" s="265"/>
      <c r="AC118" s="265"/>
      <c r="AD118" s="265"/>
      <c r="AE118" s="265"/>
      <c r="AF118" s="265"/>
      <c r="AG118" s="265"/>
      <c r="AH118" s="265"/>
      <c r="AI118" s="265"/>
      <c r="AJ118" s="265"/>
      <c r="AK118" s="265"/>
      <c r="AL118" s="265"/>
      <c r="AM118" s="265"/>
      <c r="AN118" s="265"/>
      <c r="AO118" s="265"/>
      <c r="AP118" s="265"/>
      <c r="AQ118" s="265"/>
      <c r="AR118" s="265"/>
      <c r="AS118" s="265"/>
      <c r="AT118" s="265"/>
      <c r="AU118" s="265"/>
      <c r="AV118" s="265"/>
      <c r="AW118" s="265"/>
      <c r="AX118" s="265"/>
      <c r="AY118" s="265"/>
      <c r="AZ118" s="265"/>
      <c r="BA118" s="265"/>
      <c r="BB118" s="265"/>
      <c r="BC118" s="265"/>
      <c r="BD118" s="265"/>
      <c r="BE118" s="265"/>
      <c r="BF118" s="265"/>
      <c r="BG118" s="265"/>
      <c r="BH118" s="265"/>
      <c r="BI118" s="265"/>
      <c r="BJ118" s="265"/>
      <c r="BK118" s="265"/>
      <c r="BL118" s="265"/>
      <c r="BM118" s="265"/>
      <c r="BN118" s="265"/>
      <c r="BO118" s="265"/>
      <c r="BP118" s="265"/>
      <c r="BQ118" s="265"/>
      <c r="BR118" s="265"/>
      <c r="BS118" s="265"/>
      <c r="BT118" s="265"/>
      <c r="BU118" s="265"/>
      <c r="BV118" s="265"/>
      <c r="BW118" s="265"/>
      <c r="BX118" s="265"/>
    </row>
    <row r="119" spans="3:76" hidden="1">
      <c r="C119" s="519" t="s">
        <v>353</v>
      </c>
      <c r="D119" s="520">
        <f>-MIN(E111:BL111)</f>
        <v>0</v>
      </c>
      <c r="E119" s="265"/>
      <c r="F119" s="265"/>
      <c r="G119" s="265"/>
      <c r="H119" s="265"/>
      <c r="I119" s="265"/>
      <c r="J119" s="265"/>
      <c r="K119" s="265"/>
      <c r="L119" s="265"/>
      <c r="M119" s="265"/>
      <c r="N119" s="265"/>
      <c r="O119" s="265"/>
      <c r="P119" s="265"/>
      <c r="Q119" s="265"/>
      <c r="R119" s="265"/>
      <c r="S119" s="265"/>
      <c r="T119" s="265"/>
      <c r="U119" s="265"/>
      <c r="V119" s="265"/>
      <c r="W119" s="265"/>
      <c r="X119" s="265"/>
      <c r="Y119" s="265"/>
      <c r="Z119" s="265"/>
      <c r="AA119" s="265"/>
      <c r="AB119" s="265"/>
      <c r="AC119" s="265"/>
      <c r="AD119" s="265"/>
      <c r="AE119" s="265"/>
      <c r="AF119" s="265"/>
      <c r="AG119" s="265"/>
      <c r="AH119" s="265"/>
      <c r="AI119" s="265"/>
      <c r="AJ119" s="265"/>
      <c r="AK119" s="265"/>
      <c r="AL119" s="265"/>
      <c r="AM119" s="265"/>
      <c r="AN119" s="265"/>
      <c r="AO119" s="265"/>
      <c r="AP119" s="265"/>
      <c r="AQ119" s="265"/>
      <c r="AR119" s="265"/>
      <c r="AS119" s="265"/>
      <c r="AT119" s="265"/>
      <c r="AU119" s="265"/>
      <c r="AV119" s="265"/>
      <c r="AW119" s="265"/>
      <c r="AX119" s="265"/>
      <c r="AY119" s="265"/>
      <c r="AZ119" s="265"/>
      <c r="BA119" s="265"/>
      <c r="BB119" s="265"/>
      <c r="BC119" s="265"/>
      <c r="BD119" s="265"/>
      <c r="BE119" s="265"/>
      <c r="BF119" s="265"/>
      <c r="BG119" s="265"/>
      <c r="BH119" s="265"/>
      <c r="BI119" s="265"/>
      <c r="BJ119" s="265"/>
      <c r="BK119" s="265"/>
      <c r="BL119" s="265"/>
      <c r="BM119" s="265"/>
      <c r="BN119" s="265"/>
      <c r="BO119" s="265"/>
      <c r="BP119" s="265"/>
      <c r="BQ119" s="265"/>
      <c r="BR119" s="265"/>
      <c r="BS119" s="265"/>
      <c r="BT119" s="265"/>
      <c r="BU119" s="265"/>
      <c r="BV119" s="265"/>
      <c r="BW119" s="265"/>
      <c r="BX119" s="265"/>
    </row>
    <row r="120" spans="3:76" hidden="1">
      <c r="C120" s="513" t="s">
        <v>354</v>
      </c>
      <c r="D120" s="521">
        <f>D119</f>
        <v>0</v>
      </c>
      <c r="E120" s="265"/>
      <c r="F120" s="265"/>
      <c r="G120" s="265"/>
      <c r="H120" s="265"/>
      <c r="I120" s="265"/>
      <c r="J120" s="265"/>
      <c r="K120" s="265"/>
      <c r="L120" s="265"/>
      <c r="M120" s="265"/>
      <c r="N120" s="265"/>
      <c r="O120" s="265"/>
      <c r="P120" s="265"/>
      <c r="Q120" s="265"/>
      <c r="R120" s="265"/>
      <c r="S120" s="265"/>
      <c r="T120" s="265"/>
      <c r="U120" s="265"/>
      <c r="V120" s="265"/>
      <c r="W120" s="265"/>
      <c r="X120" s="265"/>
      <c r="Y120" s="265"/>
      <c r="Z120" s="265"/>
      <c r="AA120" s="265"/>
      <c r="AB120" s="265"/>
      <c r="AC120" s="265"/>
      <c r="AD120" s="265"/>
      <c r="AE120" s="265"/>
      <c r="AF120" s="265"/>
      <c r="AG120" s="265"/>
      <c r="AH120" s="265"/>
      <c r="AI120" s="265"/>
      <c r="AJ120" s="265"/>
      <c r="AK120" s="265"/>
      <c r="AL120" s="265"/>
      <c r="AM120" s="265"/>
      <c r="AN120" s="265"/>
      <c r="AO120" s="265"/>
      <c r="AP120" s="265"/>
      <c r="AQ120" s="265"/>
      <c r="AR120" s="265"/>
      <c r="AS120" s="265"/>
      <c r="AT120" s="265"/>
      <c r="AU120" s="265"/>
      <c r="AV120" s="265"/>
      <c r="AW120" s="265"/>
      <c r="AX120" s="265"/>
      <c r="AY120" s="265"/>
      <c r="AZ120" s="265"/>
      <c r="BA120" s="265"/>
      <c r="BB120" s="265"/>
      <c r="BC120" s="265"/>
      <c r="BD120" s="265"/>
      <c r="BE120" s="265"/>
      <c r="BF120" s="265"/>
      <c r="BG120" s="265"/>
      <c r="BH120" s="265"/>
      <c r="BI120" s="265"/>
      <c r="BJ120" s="265"/>
      <c r="BK120" s="265"/>
      <c r="BL120" s="265"/>
      <c r="BM120" s="265"/>
      <c r="BN120" s="265"/>
      <c r="BO120" s="265"/>
      <c r="BP120" s="265"/>
      <c r="BQ120" s="265"/>
      <c r="BR120" s="265"/>
      <c r="BS120" s="265"/>
      <c r="BT120" s="265"/>
      <c r="BU120" s="265"/>
      <c r="BV120" s="265"/>
      <c r="BW120" s="265"/>
      <c r="BX120" s="265"/>
    </row>
    <row r="121" spans="3:76" hidden="1">
      <c r="C121" s="513" t="s">
        <v>355</v>
      </c>
      <c r="D121" s="521" t="e">
        <f>BX113+BX114+BX115</f>
        <v>#NUM!</v>
      </c>
      <c r="E121" s="265"/>
      <c r="F121" s="265"/>
      <c r="G121" s="265"/>
      <c r="H121" s="265"/>
      <c r="I121" s="265"/>
      <c r="J121" s="265"/>
      <c r="K121" s="265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5"/>
      <c r="AA121" s="265"/>
      <c r="AB121" s="265"/>
      <c r="AC121" s="265"/>
      <c r="AD121" s="265"/>
      <c r="AE121" s="265"/>
      <c r="AF121" s="265"/>
      <c r="AG121" s="265"/>
      <c r="AH121" s="265"/>
      <c r="AI121" s="265"/>
      <c r="AJ121" s="265"/>
      <c r="AK121" s="265"/>
      <c r="AL121" s="265"/>
      <c r="AM121" s="265"/>
      <c r="AN121" s="265"/>
      <c r="AO121" s="265"/>
      <c r="AP121" s="265"/>
      <c r="AQ121" s="265"/>
      <c r="AR121" s="265"/>
      <c r="AS121" s="265"/>
      <c r="AT121" s="265"/>
      <c r="AU121" s="265"/>
      <c r="AV121" s="265"/>
      <c r="AW121" s="265"/>
      <c r="AX121" s="265"/>
      <c r="AY121" s="265"/>
      <c r="AZ121" s="265"/>
      <c r="BA121" s="265"/>
      <c r="BB121" s="265"/>
      <c r="BC121" s="265"/>
      <c r="BD121" s="265"/>
      <c r="BE121" s="265"/>
      <c r="BF121" s="265"/>
      <c r="BG121" s="265"/>
      <c r="BH121" s="265"/>
      <c r="BI121" s="265"/>
      <c r="BJ121" s="265"/>
      <c r="BK121" s="265"/>
      <c r="BL121" s="265"/>
      <c r="BM121" s="265"/>
      <c r="BN121" s="265"/>
      <c r="BO121" s="265"/>
      <c r="BP121" s="265"/>
      <c r="BQ121" s="265"/>
      <c r="BR121" s="265"/>
      <c r="BS121" s="265"/>
      <c r="BT121" s="265"/>
      <c r="BU121" s="265"/>
      <c r="BV121" s="265"/>
      <c r="BW121" s="265"/>
      <c r="BX121" s="265"/>
    </row>
    <row r="122" spans="3:76" hidden="1">
      <c r="C122" s="513" t="s">
        <v>356</v>
      </c>
      <c r="D122" s="518" t="e">
        <f>D121/D120</f>
        <v>#NUM!</v>
      </c>
      <c r="E122" s="265"/>
      <c r="F122" s="265"/>
      <c r="G122" s="265"/>
      <c r="H122" s="265"/>
      <c r="I122" s="265"/>
      <c r="J122" s="265"/>
      <c r="K122" s="265"/>
      <c r="L122" s="265"/>
      <c r="M122" s="265"/>
      <c r="N122" s="265"/>
      <c r="O122" s="265"/>
      <c r="P122" s="265"/>
      <c r="Q122" s="265"/>
      <c r="R122" s="265"/>
      <c r="S122" s="265"/>
      <c r="T122" s="265"/>
      <c r="U122" s="265"/>
      <c r="V122" s="265"/>
      <c r="W122" s="265"/>
      <c r="X122" s="265"/>
      <c r="Y122" s="265"/>
      <c r="Z122" s="265"/>
      <c r="AA122" s="265"/>
      <c r="AB122" s="265"/>
      <c r="AC122" s="265"/>
      <c r="AD122" s="265"/>
      <c r="AE122" s="265"/>
      <c r="AF122" s="265"/>
      <c r="AG122" s="265"/>
      <c r="AH122" s="265"/>
      <c r="AI122" s="265"/>
      <c r="AJ122" s="265"/>
      <c r="AK122" s="265"/>
      <c r="AL122" s="265"/>
      <c r="AM122" s="265"/>
      <c r="AN122" s="265"/>
      <c r="AO122" s="265"/>
      <c r="AP122" s="265"/>
      <c r="AQ122" s="265"/>
      <c r="AR122" s="265"/>
      <c r="AS122" s="265"/>
      <c r="AT122" s="265"/>
      <c r="AU122" s="265"/>
      <c r="AV122" s="265"/>
      <c r="AW122" s="265"/>
      <c r="AX122" s="265"/>
      <c r="AY122" s="265"/>
      <c r="AZ122" s="265"/>
      <c r="BA122" s="265"/>
      <c r="BB122" s="265"/>
      <c r="BC122" s="265"/>
      <c r="BD122" s="265"/>
      <c r="BE122" s="265"/>
      <c r="BF122" s="265"/>
      <c r="BG122" s="265"/>
      <c r="BH122" s="265"/>
      <c r="BI122" s="265"/>
      <c r="BJ122" s="265"/>
      <c r="BK122" s="265"/>
      <c r="BL122" s="265"/>
      <c r="BM122" s="265"/>
      <c r="BN122" s="265"/>
      <c r="BO122" s="265"/>
      <c r="BP122" s="265"/>
      <c r="BQ122" s="265"/>
      <c r="BR122" s="265"/>
      <c r="BS122" s="265"/>
      <c r="BT122" s="265"/>
      <c r="BU122" s="265"/>
      <c r="BV122" s="265"/>
      <c r="BW122" s="265"/>
      <c r="BX122" s="265"/>
    </row>
    <row r="123" spans="3:76" hidden="1">
      <c r="E123" s="265"/>
      <c r="F123" s="265"/>
      <c r="G123" s="265"/>
      <c r="H123" s="265"/>
      <c r="I123" s="265"/>
      <c r="J123" s="265"/>
      <c r="K123" s="265"/>
      <c r="L123" s="265"/>
      <c r="M123" s="265"/>
      <c r="N123" s="265"/>
      <c r="O123" s="265"/>
      <c r="P123" s="265"/>
      <c r="Q123" s="265"/>
      <c r="R123" s="265"/>
      <c r="S123" s="265"/>
      <c r="T123" s="265"/>
      <c r="U123" s="265"/>
      <c r="V123" s="265"/>
      <c r="W123" s="265"/>
      <c r="X123" s="265"/>
      <c r="Y123" s="265"/>
      <c r="Z123" s="265"/>
      <c r="AA123" s="265"/>
      <c r="AB123" s="265"/>
      <c r="AC123" s="265"/>
      <c r="AD123" s="265"/>
      <c r="AE123" s="265"/>
      <c r="AF123" s="265"/>
      <c r="AG123" s="265"/>
      <c r="AH123" s="265"/>
      <c r="AI123" s="265"/>
      <c r="AJ123" s="265"/>
      <c r="AK123" s="265"/>
      <c r="AL123" s="265"/>
      <c r="AM123" s="265"/>
      <c r="AN123" s="265"/>
      <c r="AO123" s="265"/>
      <c r="AP123" s="265"/>
      <c r="AQ123" s="265"/>
      <c r="AR123" s="265"/>
      <c r="AS123" s="265"/>
      <c r="AT123" s="265"/>
      <c r="AU123" s="265"/>
      <c r="AV123" s="265"/>
      <c r="AW123" s="265"/>
      <c r="AX123" s="265"/>
      <c r="AY123" s="265"/>
      <c r="AZ123" s="265"/>
      <c r="BA123" s="265"/>
      <c r="BB123" s="265"/>
      <c r="BC123" s="265"/>
      <c r="BD123" s="265"/>
      <c r="BE123" s="265"/>
      <c r="BF123" s="265"/>
      <c r="BG123" s="265"/>
      <c r="BH123" s="265"/>
      <c r="BI123" s="265"/>
      <c r="BJ123" s="265"/>
      <c r="BK123" s="265"/>
      <c r="BL123" s="265"/>
      <c r="BM123" s="265"/>
      <c r="BN123" s="265"/>
      <c r="BO123" s="265"/>
      <c r="BP123" s="265"/>
      <c r="BQ123" s="265"/>
      <c r="BR123" s="265"/>
      <c r="BS123" s="265"/>
      <c r="BT123" s="265"/>
      <c r="BU123" s="265"/>
      <c r="BV123" s="265"/>
      <c r="BW123" s="265"/>
      <c r="BX123" s="265"/>
    </row>
    <row r="124" spans="3:76" hidden="1">
      <c r="E124" s="265"/>
      <c r="F124" s="265"/>
      <c r="G124" s="265"/>
      <c r="H124" s="265"/>
      <c r="I124" s="265"/>
      <c r="J124" s="265"/>
      <c r="K124" s="265"/>
      <c r="L124" s="265"/>
      <c r="M124" s="265"/>
      <c r="N124" s="265"/>
      <c r="O124" s="265"/>
      <c r="P124" s="265"/>
      <c r="Q124" s="265"/>
      <c r="R124" s="265"/>
      <c r="S124" s="265"/>
      <c r="T124" s="265"/>
      <c r="U124" s="265"/>
      <c r="V124" s="265"/>
      <c r="W124" s="265"/>
      <c r="X124" s="265"/>
      <c r="Y124" s="265"/>
      <c r="Z124" s="265"/>
      <c r="AA124" s="265"/>
      <c r="AB124" s="265"/>
      <c r="AC124" s="265"/>
      <c r="AD124" s="265"/>
      <c r="AE124" s="265"/>
      <c r="AF124" s="265"/>
      <c r="AG124" s="265"/>
      <c r="AH124" s="265"/>
      <c r="AI124" s="265"/>
      <c r="AJ124" s="265"/>
      <c r="AK124" s="265"/>
      <c r="AL124" s="265"/>
      <c r="AM124" s="265"/>
      <c r="AN124" s="265"/>
      <c r="AO124" s="265"/>
      <c r="AP124" s="265"/>
      <c r="AQ124" s="265"/>
      <c r="AR124" s="265"/>
      <c r="AS124" s="265"/>
      <c r="AT124" s="265"/>
      <c r="AU124" s="265"/>
      <c r="AV124" s="265"/>
      <c r="AW124" s="265"/>
      <c r="AX124" s="265"/>
      <c r="AY124" s="265"/>
      <c r="AZ124" s="265"/>
      <c r="BA124" s="265"/>
      <c r="BB124" s="265"/>
      <c r="BC124" s="265"/>
      <c r="BD124" s="265"/>
      <c r="BE124" s="265"/>
      <c r="BF124" s="265"/>
      <c r="BG124" s="265"/>
      <c r="BH124" s="265"/>
      <c r="BI124" s="265"/>
      <c r="BJ124" s="265"/>
      <c r="BK124" s="265"/>
      <c r="BL124" s="265"/>
      <c r="BM124" s="265"/>
      <c r="BN124" s="265"/>
      <c r="BO124" s="265"/>
      <c r="BP124" s="265"/>
      <c r="BQ124" s="265"/>
      <c r="BR124" s="265"/>
      <c r="BS124" s="265"/>
      <c r="BT124" s="265"/>
      <c r="BU124" s="265"/>
      <c r="BV124" s="265"/>
      <c r="BW124" s="265"/>
      <c r="BX124" s="265"/>
    </row>
    <row r="125" spans="3:76">
      <c r="E125" s="265"/>
      <c r="F125" s="265"/>
      <c r="G125" s="265"/>
      <c r="H125" s="265"/>
      <c r="I125" s="265"/>
      <c r="J125" s="265"/>
      <c r="K125" s="265"/>
      <c r="L125" s="265"/>
      <c r="M125" s="265"/>
      <c r="N125" s="265"/>
      <c r="O125" s="265"/>
      <c r="P125" s="265"/>
      <c r="Q125" s="265"/>
      <c r="R125" s="265"/>
      <c r="S125" s="265"/>
      <c r="T125" s="265"/>
      <c r="U125" s="265"/>
      <c r="V125" s="265"/>
      <c r="W125" s="265"/>
      <c r="X125" s="265"/>
      <c r="Y125" s="265"/>
      <c r="Z125" s="265"/>
      <c r="AA125" s="265"/>
      <c r="AB125" s="265"/>
      <c r="AC125" s="265"/>
      <c r="AD125" s="265"/>
      <c r="AE125" s="265"/>
      <c r="AF125" s="265"/>
      <c r="AG125" s="265"/>
      <c r="AH125" s="265"/>
      <c r="AI125" s="265"/>
      <c r="AJ125" s="265"/>
      <c r="AK125" s="265"/>
      <c r="AL125" s="265"/>
      <c r="AM125" s="265"/>
      <c r="AN125" s="265"/>
      <c r="AO125" s="265"/>
      <c r="AP125" s="265"/>
      <c r="AQ125" s="265"/>
      <c r="AR125" s="265"/>
      <c r="AS125" s="265"/>
      <c r="AT125" s="265"/>
      <c r="AU125" s="265"/>
      <c r="AV125" s="265"/>
      <c r="AW125" s="265"/>
      <c r="AX125" s="265"/>
      <c r="AY125" s="265"/>
      <c r="AZ125" s="265"/>
      <c r="BA125" s="265"/>
      <c r="BB125" s="265"/>
      <c r="BC125" s="265"/>
      <c r="BD125" s="265"/>
      <c r="BE125" s="265"/>
      <c r="BF125" s="265"/>
      <c r="BG125" s="265"/>
      <c r="BH125" s="265"/>
      <c r="BI125" s="265"/>
      <c r="BJ125" s="265"/>
      <c r="BK125" s="265"/>
      <c r="BL125" s="265"/>
      <c r="BM125" s="265"/>
      <c r="BN125" s="265"/>
      <c r="BO125" s="265"/>
      <c r="BP125" s="265"/>
      <c r="BQ125" s="265"/>
      <c r="BR125" s="265"/>
      <c r="BS125" s="265"/>
      <c r="BT125" s="265"/>
      <c r="BU125" s="265"/>
      <c r="BV125" s="265"/>
      <c r="BW125" s="265"/>
      <c r="BX125" s="265"/>
    </row>
    <row r="126" spans="3:76">
      <c r="C126" s="335" t="s">
        <v>357</v>
      </c>
      <c r="D126" s="511"/>
      <c r="E126" s="511">
        <f t="shared" ref="E126:AJ126" si="44">-(E6+E91)</f>
        <v>0</v>
      </c>
      <c r="F126" s="511">
        <f t="shared" si="44"/>
        <v>0</v>
      </c>
      <c r="G126" s="511">
        <f t="shared" si="44"/>
        <v>0</v>
      </c>
      <c r="H126" s="511">
        <f t="shared" si="44"/>
        <v>0</v>
      </c>
      <c r="I126" s="511">
        <f t="shared" si="44"/>
        <v>0</v>
      </c>
      <c r="J126" s="511">
        <f t="shared" si="44"/>
        <v>0</v>
      </c>
      <c r="K126" s="511">
        <f t="shared" si="44"/>
        <v>0</v>
      </c>
      <c r="L126" s="511">
        <f t="shared" si="44"/>
        <v>0</v>
      </c>
      <c r="M126" s="511">
        <f t="shared" si="44"/>
        <v>0</v>
      </c>
      <c r="N126" s="511">
        <f t="shared" si="44"/>
        <v>0</v>
      </c>
      <c r="O126" s="511">
        <f t="shared" si="44"/>
        <v>0</v>
      </c>
      <c r="P126" s="511">
        <f t="shared" si="44"/>
        <v>0</v>
      </c>
      <c r="Q126" s="511">
        <f t="shared" si="44"/>
        <v>0</v>
      </c>
      <c r="R126" s="511">
        <f t="shared" si="44"/>
        <v>0</v>
      </c>
      <c r="S126" s="511">
        <f t="shared" si="44"/>
        <v>0</v>
      </c>
      <c r="T126" s="511">
        <f t="shared" si="44"/>
        <v>0</v>
      </c>
      <c r="U126" s="511">
        <f t="shared" si="44"/>
        <v>-25000000</v>
      </c>
      <c r="V126" s="511">
        <f t="shared" si="44"/>
        <v>-6500000</v>
      </c>
      <c r="W126" s="511">
        <f t="shared" si="44"/>
        <v>-1000000</v>
      </c>
      <c r="X126" s="511">
        <f t="shared" si="44"/>
        <v>-2000000</v>
      </c>
      <c r="Y126" s="511">
        <f t="shared" si="44"/>
        <v>-9500000</v>
      </c>
      <c r="Z126" s="511">
        <f t="shared" si="44"/>
        <v>-6000000</v>
      </c>
      <c r="AA126" s="511">
        <f t="shared" si="44"/>
        <v>0</v>
      </c>
      <c r="AB126" s="511">
        <f t="shared" si="44"/>
        <v>0</v>
      </c>
      <c r="AC126" s="511">
        <f t="shared" si="44"/>
        <v>0</v>
      </c>
      <c r="AD126" s="511">
        <f t="shared" si="44"/>
        <v>0</v>
      </c>
      <c r="AE126" s="511">
        <f t="shared" si="44"/>
        <v>0</v>
      </c>
      <c r="AF126" s="511">
        <f t="shared" si="44"/>
        <v>0</v>
      </c>
      <c r="AG126" s="511">
        <f t="shared" si="44"/>
        <v>0</v>
      </c>
      <c r="AH126" s="511">
        <f t="shared" si="44"/>
        <v>0</v>
      </c>
      <c r="AI126" s="511">
        <f t="shared" si="44"/>
        <v>50000000</v>
      </c>
      <c r="AJ126" s="511">
        <f t="shared" si="44"/>
        <v>0</v>
      </c>
      <c r="AK126" s="511">
        <f t="shared" ref="AK126:BP126" si="45">-(AK6+AK91)</f>
        <v>0</v>
      </c>
      <c r="AL126" s="511">
        <f t="shared" si="45"/>
        <v>0</v>
      </c>
      <c r="AM126" s="511">
        <f t="shared" si="45"/>
        <v>0</v>
      </c>
      <c r="AN126" s="511">
        <f t="shared" si="45"/>
        <v>0</v>
      </c>
      <c r="AO126" s="511">
        <f t="shared" si="45"/>
        <v>0</v>
      </c>
      <c r="AP126" s="511">
        <f t="shared" si="45"/>
        <v>0</v>
      </c>
      <c r="AQ126" s="511">
        <f t="shared" si="45"/>
        <v>0</v>
      </c>
      <c r="AR126" s="511">
        <f t="shared" si="45"/>
        <v>0</v>
      </c>
      <c r="AS126" s="511">
        <f t="shared" si="45"/>
        <v>0</v>
      </c>
      <c r="AT126" s="511">
        <f t="shared" si="45"/>
        <v>0</v>
      </c>
      <c r="AU126" s="511">
        <f t="shared" si="45"/>
        <v>0</v>
      </c>
      <c r="AV126" s="511">
        <f t="shared" si="45"/>
        <v>0</v>
      </c>
      <c r="AW126" s="511">
        <f t="shared" si="45"/>
        <v>0</v>
      </c>
      <c r="AX126" s="511">
        <f t="shared" si="45"/>
        <v>0</v>
      </c>
      <c r="AY126" s="511">
        <f t="shared" si="45"/>
        <v>0</v>
      </c>
      <c r="AZ126" s="511">
        <f t="shared" si="45"/>
        <v>0</v>
      </c>
      <c r="BA126" s="511">
        <f t="shared" si="45"/>
        <v>0</v>
      </c>
      <c r="BB126" s="511">
        <f t="shared" si="45"/>
        <v>0</v>
      </c>
      <c r="BC126" s="511">
        <f t="shared" si="45"/>
        <v>0</v>
      </c>
      <c r="BD126" s="511">
        <f t="shared" si="45"/>
        <v>0</v>
      </c>
      <c r="BE126" s="511">
        <f t="shared" si="45"/>
        <v>0</v>
      </c>
      <c r="BF126" s="511">
        <f t="shared" si="45"/>
        <v>0</v>
      </c>
      <c r="BG126" s="511">
        <f t="shared" si="45"/>
        <v>0</v>
      </c>
      <c r="BH126" s="511">
        <f t="shared" si="45"/>
        <v>0</v>
      </c>
      <c r="BI126" s="511">
        <f t="shared" si="45"/>
        <v>0</v>
      </c>
      <c r="BJ126" s="511">
        <f t="shared" si="45"/>
        <v>0</v>
      </c>
      <c r="BK126" s="511">
        <f t="shared" si="45"/>
        <v>0</v>
      </c>
      <c r="BL126" s="511">
        <f t="shared" si="45"/>
        <v>0</v>
      </c>
      <c r="BM126" s="511">
        <f t="shared" si="45"/>
        <v>0</v>
      </c>
      <c r="BN126" s="511">
        <f t="shared" si="45"/>
        <v>0</v>
      </c>
      <c r="BO126" s="511">
        <f t="shared" si="45"/>
        <v>0</v>
      </c>
      <c r="BP126" s="511">
        <f t="shared" si="45"/>
        <v>0</v>
      </c>
      <c r="BQ126" s="511">
        <f t="shared" ref="BQ126:BX126" si="46">-(BQ6+BQ91)</f>
        <v>0</v>
      </c>
      <c r="BR126" s="511">
        <f t="shared" si="46"/>
        <v>0</v>
      </c>
      <c r="BS126" s="511">
        <f t="shared" si="46"/>
        <v>0</v>
      </c>
      <c r="BT126" s="511">
        <f t="shared" si="46"/>
        <v>0</v>
      </c>
      <c r="BU126" s="511">
        <f t="shared" si="46"/>
        <v>0</v>
      </c>
      <c r="BV126" s="511">
        <f t="shared" si="46"/>
        <v>0</v>
      </c>
      <c r="BW126" s="511">
        <f t="shared" si="46"/>
        <v>0</v>
      </c>
      <c r="BX126" s="511">
        <f t="shared" si="46"/>
        <v>0</v>
      </c>
    </row>
    <row r="127" spans="3:76">
      <c r="C127" s="335" t="s">
        <v>358</v>
      </c>
      <c r="D127" s="516"/>
      <c r="E127" s="511"/>
      <c r="F127" s="511"/>
      <c r="G127" s="511"/>
      <c r="H127" s="511"/>
      <c r="I127" s="511"/>
      <c r="J127" s="511"/>
      <c r="K127" s="511"/>
      <c r="L127" s="511"/>
      <c r="M127" s="511"/>
      <c r="N127" s="511"/>
      <c r="O127" s="511"/>
      <c r="P127" s="511"/>
      <c r="Q127" s="511"/>
      <c r="R127" s="511"/>
      <c r="S127" s="511"/>
      <c r="T127" s="511"/>
      <c r="U127" s="511"/>
      <c r="V127" s="511">
        <f>-Shares!D5-Businessplan_prodej!F13</f>
        <v>-13647457</v>
      </c>
      <c r="W127" s="511"/>
      <c r="X127" s="511"/>
      <c r="Y127" s="511"/>
      <c r="Z127" s="511"/>
      <c r="AA127" s="511"/>
      <c r="AB127" s="511"/>
      <c r="AC127" s="511"/>
      <c r="AD127" s="511"/>
      <c r="AE127" s="511"/>
      <c r="AF127" s="511"/>
      <c r="AG127" s="511"/>
      <c r="AH127" s="511"/>
      <c r="AI127" s="511">
        <f>-$V$127</f>
        <v>13647457</v>
      </c>
      <c r="AJ127" s="511"/>
      <c r="AK127" s="511"/>
      <c r="AL127" s="511"/>
      <c r="AM127" s="511"/>
      <c r="AN127" s="511"/>
      <c r="AO127" s="511"/>
      <c r="AP127" s="511"/>
      <c r="AQ127" s="511"/>
      <c r="AR127" s="511"/>
      <c r="AS127" s="511"/>
      <c r="AT127" s="511"/>
      <c r="AU127" s="511"/>
      <c r="AV127" s="511"/>
      <c r="AW127" s="511"/>
      <c r="AX127" s="511"/>
      <c r="AY127" s="511"/>
      <c r="AZ127" s="511"/>
      <c r="BA127" s="511"/>
      <c r="BB127" s="511"/>
      <c r="BC127" s="511"/>
      <c r="BD127" s="511"/>
      <c r="BE127" s="511"/>
      <c r="BF127" s="511"/>
      <c r="BG127" s="511"/>
      <c r="BH127" s="511"/>
      <c r="BI127" s="511"/>
      <c r="BJ127" s="511"/>
      <c r="BK127" s="511"/>
      <c r="BL127" s="511"/>
      <c r="BM127" s="511"/>
      <c r="BN127" s="511"/>
      <c r="BO127" s="511"/>
      <c r="BP127" s="511"/>
      <c r="BQ127" s="511"/>
      <c r="BR127" s="511"/>
      <c r="BS127" s="511"/>
      <c r="BT127" s="511"/>
      <c r="BU127" s="511"/>
      <c r="BV127" s="511"/>
      <c r="BW127" s="511"/>
      <c r="BX127" s="511"/>
    </row>
    <row r="128" spans="3:76">
      <c r="C128" s="335" t="s">
        <v>348</v>
      </c>
      <c r="D128" s="516"/>
      <c r="E128" s="511">
        <f t="shared" ref="E128:U128" si="47">-E56</f>
        <v>0</v>
      </c>
      <c r="F128" s="511">
        <f t="shared" si="47"/>
        <v>0</v>
      </c>
      <c r="G128" s="511">
        <f t="shared" si="47"/>
        <v>0</v>
      </c>
      <c r="H128" s="511">
        <f t="shared" si="47"/>
        <v>0</v>
      </c>
      <c r="I128" s="511">
        <f t="shared" si="47"/>
        <v>0</v>
      </c>
      <c r="J128" s="511">
        <f t="shared" si="47"/>
        <v>0</v>
      </c>
      <c r="K128" s="511">
        <f t="shared" si="47"/>
        <v>0</v>
      </c>
      <c r="L128" s="511">
        <f t="shared" si="47"/>
        <v>0</v>
      </c>
      <c r="M128" s="511">
        <f t="shared" si="47"/>
        <v>0</v>
      </c>
      <c r="N128" s="511">
        <f t="shared" si="47"/>
        <v>0</v>
      </c>
      <c r="O128" s="511">
        <f t="shared" si="47"/>
        <v>0</v>
      </c>
      <c r="P128" s="511">
        <f t="shared" si="47"/>
        <v>0</v>
      </c>
      <c r="Q128" s="511">
        <f t="shared" si="47"/>
        <v>0</v>
      </c>
      <c r="R128" s="511">
        <f t="shared" si="47"/>
        <v>0</v>
      </c>
      <c r="S128" s="511">
        <f t="shared" si="47"/>
        <v>0</v>
      </c>
      <c r="T128" s="511">
        <f t="shared" si="47"/>
        <v>0</v>
      </c>
      <c r="U128" s="511">
        <f t="shared" si="47"/>
        <v>0</v>
      </c>
      <c r="V128" s="511"/>
      <c r="W128" s="511">
        <f t="shared" ref="W128:BX128" si="48">-W56</f>
        <v>0</v>
      </c>
      <c r="X128" s="511">
        <f t="shared" si="48"/>
        <v>0</v>
      </c>
      <c r="Y128" s="511">
        <f t="shared" si="48"/>
        <v>0</v>
      </c>
      <c r="Z128" s="511">
        <f t="shared" si="48"/>
        <v>0</v>
      </c>
      <c r="AA128" s="511">
        <f t="shared" si="48"/>
        <v>0</v>
      </c>
      <c r="AB128" s="511">
        <f t="shared" si="48"/>
        <v>0</v>
      </c>
      <c r="AC128" s="511">
        <f t="shared" si="48"/>
        <v>0</v>
      </c>
      <c r="AD128" s="511">
        <f t="shared" si="48"/>
        <v>0</v>
      </c>
      <c r="AE128" s="511">
        <f t="shared" si="48"/>
        <v>0</v>
      </c>
      <c r="AF128" s="511">
        <f t="shared" si="48"/>
        <v>0</v>
      </c>
      <c r="AG128" s="511">
        <f t="shared" si="48"/>
        <v>0</v>
      </c>
      <c r="AH128" s="511">
        <f t="shared" si="48"/>
        <v>0</v>
      </c>
      <c r="AI128" s="511">
        <f>-AI56</f>
        <v>6118749.9999999991</v>
      </c>
      <c r="AJ128" s="511">
        <f>-AJ56</f>
        <v>0</v>
      </c>
      <c r="AK128" s="511">
        <f t="shared" si="48"/>
        <v>0</v>
      </c>
      <c r="AL128" s="511">
        <f t="shared" si="48"/>
        <v>0</v>
      </c>
      <c r="AM128" s="511">
        <f t="shared" si="48"/>
        <v>0</v>
      </c>
      <c r="AN128" s="511">
        <f t="shared" si="48"/>
        <v>0</v>
      </c>
      <c r="AO128" s="511">
        <f t="shared" si="48"/>
        <v>0</v>
      </c>
      <c r="AP128" s="511">
        <f t="shared" si="48"/>
        <v>0</v>
      </c>
      <c r="AQ128" s="511">
        <f t="shared" si="48"/>
        <v>0</v>
      </c>
      <c r="AR128" s="511">
        <f t="shared" si="48"/>
        <v>0</v>
      </c>
      <c r="AS128" s="511">
        <f t="shared" si="48"/>
        <v>0</v>
      </c>
      <c r="AT128" s="511">
        <f t="shared" si="48"/>
        <v>0</v>
      </c>
      <c r="AU128" s="511">
        <f t="shared" si="48"/>
        <v>0</v>
      </c>
      <c r="AV128" s="511">
        <f t="shared" si="48"/>
        <v>0</v>
      </c>
      <c r="AW128" s="511">
        <f t="shared" si="48"/>
        <v>0</v>
      </c>
      <c r="AX128" s="511">
        <f t="shared" si="48"/>
        <v>0</v>
      </c>
      <c r="AY128" s="511">
        <f t="shared" si="48"/>
        <v>0</v>
      </c>
      <c r="AZ128" s="511">
        <f t="shared" si="48"/>
        <v>0</v>
      </c>
      <c r="BA128" s="511">
        <f t="shared" si="48"/>
        <v>0</v>
      </c>
      <c r="BB128" s="511">
        <f t="shared" si="48"/>
        <v>0</v>
      </c>
      <c r="BC128" s="511">
        <f t="shared" si="48"/>
        <v>0</v>
      </c>
      <c r="BD128" s="511">
        <f t="shared" si="48"/>
        <v>0</v>
      </c>
      <c r="BE128" s="511">
        <f t="shared" si="48"/>
        <v>0</v>
      </c>
      <c r="BF128" s="511">
        <f t="shared" si="48"/>
        <v>0</v>
      </c>
      <c r="BG128" s="511">
        <f t="shared" si="48"/>
        <v>0</v>
      </c>
      <c r="BH128" s="511">
        <f t="shared" si="48"/>
        <v>0</v>
      </c>
      <c r="BI128" s="511">
        <f t="shared" si="48"/>
        <v>0</v>
      </c>
      <c r="BJ128" s="511">
        <f t="shared" si="48"/>
        <v>0</v>
      </c>
      <c r="BK128" s="511">
        <f t="shared" si="48"/>
        <v>0</v>
      </c>
      <c r="BL128" s="511">
        <f t="shared" si="48"/>
        <v>0</v>
      </c>
      <c r="BM128" s="511">
        <f t="shared" si="48"/>
        <v>0</v>
      </c>
      <c r="BN128" s="511">
        <f t="shared" si="48"/>
        <v>0</v>
      </c>
      <c r="BO128" s="511">
        <f t="shared" si="48"/>
        <v>0</v>
      </c>
      <c r="BP128" s="511">
        <f t="shared" si="48"/>
        <v>0</v>
      </c>
      <c r="BQ128" s="511">
        <f t="shared" si="48"/>
        <v>0</v>
      </c>
      <c r="BR128" s="511">
        <f t="shared" si="48"/>
        <v>0</v>
      </c>
      <c r="BS128" s="511">
        <f t="shared" si="48"/>
        <v>0</v>
      </c>
      <c r="BT128" s="511">
        <f t="shared" si="48"/>
        <v>0</v>
      </c>
      <c r="BU128" s="511">
        <f t="shared" si="48"/>
        <v>0</v>
      </c>
      <c r="BV128" s="511">
        <f t="shared" si="48"/>
        <v>0</v>
      </c>
      <c r="BW128" s="511">
        <f t="shared" si="48"/>
        <v>0</v>
      </c>
      <c r="BX128" s="511">
        <f t="shared" si="48"/>
        <v>0</v>
      </c>
    </row>
    <row r="129" spans="3:76">
      <c r="C129" s="335" t="s">
        <v>349</v>
      </c>
      <c r="D129" s="516"/>
      <c r="E129" s="511"/>
      <c r="F129" s="511"/>
      <c r="G129" s="511"/>
      <c r="H129" s="511"/>
      <c r="I129" s="511"/>
      <c r="J129" s="511"/>
      <c r="K129" s="511"/>
      <c r="L129" s="511"/>
      <c r="M129" s="511"/>
      <c r="N129" s="511"/>
      <c r="O129" s="511"/>
      <c r="P129" s="511"/>
      <c r="Q129" s="511"/>
      <c r="R129" s="511"/>
      <c r="S129" s="511"/>
      <c r="T129" s="511"/>
      <c r="U129" s="511"/>
      <c r="V129" s="511"/>
      <c r="W129" s="511"/>
      <c r="X129" s="511"/>
      <c r="Y129" s="511"/>
      <c r="Z129" s="511"/>
      <c r="AA129" s="511"/>
      <c r="AB129" s="511"/>
      <c r="AC129" s="511"/>
      <c r="AD129" s="511"/>
      <c r="AE129" s="511"/>
      <c r="AF129" s="511"/>
      <c r="AG129" s="511"/>
      <c r="AH129" s="511"/>
      <c r="AI129" s="511">
        <f>AI99-AI127</f>
        <v>34600690.073037073</v>
      </c>
      <c r="AJ129" s="511"/>
      <c r="AK129" s="511"/>
      <c r="AL129" s="511"/>
      <c r="AM129" s="511"/>
      <c r="AN129" s="511"/>
      <c r="AO129" s="511"/>
      <c r="AP129" s="511"/>
      <c r="AQ129" s="511"/>
      <c r="AR129" s="511"/>
      <c r="AS129" s="511"/>
      <c r="AT129" s="511"/>
      <c r="AU129" s="511"/>
      <c r="AV129" s="511"/>
      <c r="AW129" s="511"/>
      <c r="AX129" s="511"/>
      <c r="AY129" s="511"/>
      <c r="AZ129" s="511"/>
      <c r="BA129" s="511"/>
      <c r="BB129" s="511"/>
      <c r="BC129" s="511"/>
      <c r="BD129" s="511"/>
      <c r="BE129" s="511"/>
      <c r="BF129" s="511"/>
      <c r="BG129" s="511"/>
      <c r="BH129" s="511"/>
      <c r="BI129" s="511"/>
      <c r="BJ129" s="511"/>
      <c r="BK129" s="511"/>
      <c r="BL129" s="511"/>
      <c r="BM129" s="511"/>
      <c r="BN129" s="511"/>
      <c r="BO129" s="511"/>
      <c r="BP129" s="511"/>
      <c r="BQ129" s="511"/>
      <c r="BR129" s="511"/>
      <c r="BS129" s="511"/>
      <c r="BT129" s="511"/>
      <c r="BU129" s="511"/>
      <c r="BV129" s="511"/>
      <c r="BW129" s="511"/>
      <c r="BX129" s="511" t="e">
        <f>IF(D104&gt;0.25,(BX99-BX107)*D130,BX99*D130)</f>
        <v>#NUM!</v>
      </c>
    </row>
    <row r="130" spans="3:76">
      <c r="C130" s="513" t="s">
        <v>350</v>
      </c>
      <c r="D130" s="516">
        <v>1</v>
      </c>
      <c r="E130" s="283"/>
      <c r="F130" s="283"/>
      <c r="G130" s="283"/>
      <c r="H130" s="283"/>
      <c r="I130" s="283"/>
      <c r="J130" s="283"/>
      <c r="K130" s="283"/>
      <c r="L130" s="283"/>
      <c r="M130" s="283"/>
      <c r="N130" s="283"/>
      <c r="O130" s="283"/>
      <c r="P130" s="283"/>
      <c r="Q130" s="283"/>
      <c r="R130" s="283"/>
      <c r="S130" s="283"/>
      <c r="T130" s="283"/>
      <c r="U130" s="283"/>
      <c r="V130" s="283"/>
      <c r="W130" s="283"/>
      <c r="X130" s="283"/>
      <c r="Y130" s="283"/>
      <c r="Z130" s="283"/>
      <c r="AA130" s="283"/>
      <c r="AB130" s="283"/>
      <c r="AC130" s="283"/>
      <c r="AD130" s="283"/>
      <c r="AE130" s="283"/>
      <c r="AF130" s="283"/>
      <c r="AG130" s="283"/>
      <c r="AH130" s="283"/>
      <c r="AI130" s="283"/>
      <c r="AJ130" s="283"/>
      <c r="AK130" s="283"/>
      <c r="AL130" s="283"/>
      <c r="AM130" s="283"/>
      <c r="AN130" s="283"/>
      <c r="AO130" s="283"/>
      <c r="AP130" s="283"/>
      <c r="AQ130" s="283"/>
      <c r="AR130" s="283"/>
      <c r="AS130" s="283"/>
      <c r="AT130" s="283"/>
      <c r="AU130" s="283"/>
      <c r="AV130" s="283"/>
      <c r="AW130" s="283"/>
      <c r="AX130" s="283"/>
      <c r="AY130" s="283"/>
      <c r="AZ130" s="283"/>
      <c r="BA130" s="283"/>
      <c r="BB130" s="283"/>
      <c r="BC130" s="283"/>
      <c r="BD130" s="283"/>
      <c r="BE130" s="283"/>
      <c r="BF130" s="283"/>
      <c r="BG130" s="283"/>
      <c r="BH130" s="283"/>
      <c r="BI130" s="283"/>
      <c r="BJ130" s="283"/>
      <c r="BK130" s="283"/>
      <c r="BL130" s="283"/>
      <c r="BM130" s="283"/>
      <c r="BN130" s="283"/>
      <c r="BO130" s="283"/>
      <c r="BP130" s="283"/>
      <c r="BQ130" s="283"/>
      <c r="BR130" s="283"/>
      <c r="BS130" s="283"/>
      <c r="BT130" s="283"/>
      <c r="BU130" s="283"/>
      <c r="BV130" s="283"/>
      <c r="BW130" s="283"/>
      <c r="BX130" s="283"/>
    </row>
    <row r="131" spans="3:76">
      <c r="C131" s="335" t="s">
        <v>351</v>
      </c>
      <c r="D131" s="511"/>
      <c r="E131" s="517">
        <f t="shared" ref="E131:BX131" si="49">E126+E127+E128+E129+E130</f>
        <v>0</v>
      </c>
      <c r="F131" s="517">
        <f t="shared" si="49"/>
        <v>0</v>
      </c>
      <c r="G131" s="517">
        <f t="shared" si="49"/>
        <v>0</v>
      </c>
      <c r="H131" s="517">
        <f t="shared" si="49"/>
        <v>0</v>
      </c>
      <c r="I131" s="517">
        <f t="shared" si="49"/>
        <v>0</v>
      </c>
      <c r="J131" s="517">
        <f t="shared" si="49"/>
        <v>0</v>
      </c>
      <c r="K131" s="517">
        <f t="shared" si="49"/>
        <v>0</v>
      </c>
      <c r="L131" s="517">
        <f t="shared" si="49"/>
        <v>0</v>
      </c>
      <c r="M131" s="517">
        <f t="shared" si="49"/>
        <v>0</v>
      </c>
      <c r="N131" s="517">
        <f t="shared" si="49"/>
        <v>0</v>
      </c>
      <c r="O131" s="517">
        <f t="shared" si="49"/>
        <v>0</v>
      </c>
      <c r="P131" s="517">
        <f t="shared" si="49"/>
        <v>0</v>
      </c>
      <c r="Q131" s="517">
        <f t="shared" si="49"/>
        <v>0</v>
      </c>
      <c r="R131" s="517">
        <f t="shared" si="49"/>
        <v>0</v>
      </c>
      <c r="S131" s="517">
        <f t="shared" si="49"/>
        <v>0</v>
      </c>
      <c r="T131" s="517">
        <f t="shared" si="49"/>
        <v>0</v>
      </c>
      <c r="U131" s="517">
        <f t="shared" si="49"/>
        <v>-25000000</v>
      </c>
      <c r="V131" s="517">
        <f t="shared" si="49"/>
        <v>-20147457</v>
      </c>
      <c r="W131" s="517">
        <f t="shared" si="49"/>
        <v>-1000000</v>
      </c>
      <c r="X131" s="517">
        <f t="shared" si="49"/>
        <v>-2000000</v>
      </c>
      <c r="Y131" s="517">
        <f t="shared" si="49"/>
        <v>-9500000</v>
      </c>
      <c r="Z131" s="517">
        <f t="shared" si="49"/>
        <v>-6000000</v>
      </c>
      <c r="AA131" s="517">
        <f t="shared" si="49"/>
        <v>0</v>
      </c>
      <c r="AB131" s="517">
        <f t="shared" si="49"/>
        <v>0</v>
      </c>
      <c r="AC131" s="517">
        <f t="shared" si="49"/>
        <v>0</v>
      </c>
      <c r="AD131" s="517">
        <f t="shared" si="49"/>
        <v>0</v>
      </c>
      <c r="AE131" s="517">
        <f t="shared" si="49"/>
        <v>0</v>
      </c>
      <c r="AF131" s="517">
        <f t="shared" si="49"/>
        <v>0</v>
      </c>
      <c r="AG131" s="517">
        <f t="shared" si="49"/>
        <v>0</v>
      </c>
      <c r="AH131" s="517">
        <f t="shared" si="49"/>
        <v>0</v>
      </c>
      <c r="AI131" s="517">
        <f>AI126+AI127+AI128+AI129+AI130</f>
        <v>104366897.07303707</v>
      </c>
      <c r="AJ131" s="517">
        <f t="shared" si="49"/>
        <v>0</v>
      </c>
      <c r="AK131" s="517">
        <f t="shared" si="49"/>
        <v>0</v>
      </c>
      <c r="AL131" s="517">
        <f t="shared" si="49"/>
        <v>0</v>
      </c>
      <c r="AM131" s="517">
        <f t="shared" si="49"/>
        <v>0</v>
      </c>
      <c r="AN131" s="517">
        <f t="shared" si="49"/>
        <v>0</v>
      </c>
      <c r="AO131" s="517">
        <f t="shared" si="49"/>
        <v>0</v>
      </c>
      <c r="AP131" s="517">
        <f t="shared" si="49"/>
        <v>0</v>
      </c>
      <c r="AQ131" s="517">
        <f t="shared" si="49"/>
        <v>0</v>
      </c>
      <c r="AR131" s="517">
        <f t="shared" si="49"/>
        <v>0</v>
      </c>
      <c r="AS131" s="517">
        <f t="shared" si="49"/>
        <v>0</v>
      </c>
      <c r="AT131" s="517">
        <f t="shared" si="49"/>
        <v>0</v>
      </c>
      <c r="AU131" s="517">
        <f t="shared" si="49"/>
        <v>0</v>
      </c>
      <c r="AV131" s="517">
        <f t="shared" si="49"/>
        <v>0</v>
      </c>
      <c r="AW131" s="517">
        <f t="shared" si="49"/>
        <v>0</v>
      </c>
      <c r="AX131" s="517">
        <f t="shared" si="49"/>
        <v>0</v>
      </c>
      <c r="AY131" s="517">
        <f t="shared" si="49"/>
        <v>0</v>
      </c>
      <c r="AZ131" s="517">
        <f t="shared" si="49"/>
        <v>0</v>
      </c>
      <c r="BA131" s="517">
        <f t="shared" si="49"/>
        <v>0</v>
      </c>
      <c r="BB131" s="517">
        <f t="shared" si="49"/>
        <v>0</v>
      </c>
      <c r="BC131" s="517">
        <f t="shared" si="49"/>
        <v>0</v>
      </c>
      <c r="BD131" s="517">
        <f t="shared" si="49"/>
        <v>0</v>
      </c>
      <c r="BE131" s="517">
        <f t="shared" si="49"/>
        <v>0</v>
      </c>
      <c r="BF131" s="517">
        <f t="shared" si="49"/>
        <v>0</v>
      </c>
      <c r="BG131" s="517">
        <f t="shared" si="49"/>
        <v>0</v>
      </c>
      <c r="BH131" s="517">
        <f t="shared" si="49"/>
        <v>0</v>
      </c>
      <c r="BI131" s="517">
        <f t="shared" si="49"/>
        <v>0</v>
      </c>
      <c r="BJ131" s="517">
        <f t="shared" si="49"/>
        <v>0</v>
      </c>
      <c r="BK131" s="517">
        <f t="shared" si="49"/>
        <v>0</v>
      </c>
      <c r="BL131" s="517">
        <f t="shared" si="49"/>
        <v>0</v>
      </c>
      <c r="BM131" s="517">
        <f t="shared" si="49"/>
        <v>0</v>
      </c>
      <c r="BN131" s="517">
        <f t="shared" si="49"/>
        <v>0</v>
      </c>
      <c r="BO131" s="517">
        <f t="shared" si="49"/>
        <v>0</v>
      </c>
      <c r="BP131" s="517">
        <f t="shared" si="49"/>
        <v>0</v>
      </c>
      <c r="BQ131" s="517">
        <f t="shared" si="49"/>
        <v>0</v>
      </c>
      <c r="BR131" s="517">
        <f t="shared" si="49"/>
        <v>0</v>
      </c>
      <c r="BS131" s="517">
        <f t="shared" si="49"/>
        <v>0</v>
      </c>
      <c r="BT131" s="517">
        <f t="shared" si="49"/>
        <v>0</v>
      </c>
      <c r="BU131" s="517">
        <f t="shared" si="49"/>
        <v>0</v>
      </c>
      <c r="BV131" s="517">
        <f t="shared" si="49"/>
        <v>0</v>
      </c>
      <c r="BW131" s="517">
        <f t="shared" si="49"/>
        <v>0</v>
      </c>
      <c r="BX131" s="517" t="e">
        <f t="shared" si="49"/>
        <v>#NUM!</v>
      </c>
    </row>
    <row r="132" spans="3:76">
      <c r="C132" s="336"/>
      <c r="D132" s="518" t="s">
        <v>359</v>
      </c>
      <c r="E132" s="522">
        <f>E131</f>
        <v>0</v>
      </c>
      <c r="F132" s="522">
        <f t="shared" ref="F132:BX132" si="50">E132+F131</f>
        <v>0</v>
      </c>
      <c r="G132" s="522">
        <f t="shared" si="50"/>
        <v>0</v>
      </c>
      <c r="H132" s="522">
        <f t="shared" si="50"/>
        <v>0</v>
      </c>
      <c r="I132" s="522">
        <f t="shared" si="50"/>
        <v>0</v>
      </c>
      <c r="J132" s="522">
        <f t="shared" si="50"/>
        <v>0</v>
      </c>
      <c r="K132" s="522">
        <f t="shared" si="50"/>
        <v>0</v>
      </c>
      <c r="L132" s="522">
        <f t="shared" si="50"/>
        <v>0</v>
      </c>
      <c r="M132" s="522">
        <f t="shared" si="50"/>
        <v>0</v>
      </c>
      <c r="N132" s="522">
        <f t="shared" si="50"/>
        <v>0</v>
      </c>
      <c r="O132" s="522">
        <f t="shared" si="50"/>
        <v>0</v>
      </c>
      <c r="P132" s="522">
        <f t="shared" si="50"/>
        <v>0</v>
      </c>
      <c r="Q132" s="522">
        <f t="shared" si="50"/>
        <v>0</v>
      </c>
      <c r="R132" s="522">
        <f t="shared" si="50"/>
        <v>0</v>
      </c>
      <c r="S132" s="522">
        <f t="shared" si="50"/>
        <v>0</v>
      </c>
      <c r="T132" s="522">
        <f t="shared" si="50"/>
        <v>0</v>
      </c>
      <c r="U132" s="522">
        <f t="shared" si="50"/>
        <v>-25000000</v>
      </c>
      <c r="V132" s="522">
        <f t="shared" si="50"/>
        <v>-45147457</v>
      </c>
      <c r="W132" s="522">
        <f t="shared" si="50"/>
        <v>-46147457</v>
      </c>
      <c r="X132" s="522">
        <f t="shared" si="50"/>
        <v>-48147457</v>
      </c>
      <c r="Y132" s="522">
        <f t="shared" si="50"/>
        <v>-57647457</v>
      </c>
      <c r="Z132" s="522">
        <f t="shared" si="50"/>
        <v>-63647457</v>
      </c>
      <c r="AA132" s="522">
        <f t="shared" si="50"/>
        <v>-63647457</v>
      </c>
      <c r="AB132" s="522">
        <f t="shared" si="50"/>
        <v>-63647457</v>
      </c>
      <c r="AC132" s="522">
        <f t="shared" si="50"/>
        <v>-63647457</v>
      </c>
      <c r="AD132" s="522">
        <f t="shared" si="50"/>
        <v>-63647457</v>
      </c>
      <c r="AE132" s="522">
        <f t="shared" si="50"/>
        <v>-63647457</v>
      </c>
      <c r="AF132" s="522">
        <f t="shared" si="50"/>
        <v>-63647457</v>
      </c>
      <c r="AG132" s="522">
        <f t="shared" si="50"/>
        <v>-63647457</v>
      </c>
      <c r="AH132" s="522">
        <f t="shared" si="50"/>
        <v>-63647457</v>
      </c>
      <c r="AI132" s="522">
        <f t="shared" si="50"/>
        <v>40719440.073037073</v>
      </c>
      <c r="AJ132" s="522">
        <f t="shared" si="50"/>
        <v>40719440.073037073</v>
      </c>
      <c r="AK132" s="522">
        <f t="shared" si="50"/>
        <v>40719440.073037073</v>
      </c>
      <c r="AL132" s="522">
        <f t="shared" si="50"/>
        <v>40719440.073037073</v>
      </c>
      <c r="AM132" s="522">
        <f t="shared" si="50"/>
        <v>40719440.073037073</v>
      </c>
      <c r="AN132" s="522">
        <f t="shared" si="50"/>
        <v>40719440.073037073</v>
      </c>
      <c r="AO132" s="522">
        <f t="shared" si="50"/>
        <v>40719440.073037073</v>
      </c>
      <c r="AP132" s="522">
        <f t="shared" si="50"/>
        <v>40719440.073037073</v>
      </c>
      <c r="AQ132" s="522">
        <f t="shared" si="50"/>
        <v>40719440.073037073</v>
      </c>
      <c r="AR132" s="522">
        <f t="shared" si="50"/>
        <v>40719440.073037073</v>
      </c>
      <c r="AS132" s="522">
        <f t="shared" si="50"/>
        <v>40719440.073037073</v>
      </c>
      <c r="AT132" s="522">
        <f t="shared" si="50"/>
        <v>40719440.073037073</v>
      </c>
      <c r="AU132" s="522">
        <f t="shared" si="50"/>
        <v>40719440.073037073</v>
      </c>
      <c r="AV132" s="522">
        <f t="shared" si="50"/>
        <v>40719440.073037073</v>
      </c>
      <c r="AW132" s="522">
        <f t="shared" si="50"/>
        <v>40719440.073037073</v>
      </c>
      <c r="AX132" s="522">
        <f t="shared" si="50"/>
        <v>40719440.073037073</v>
      </c>
      <c r="AY132" s="522">
        <f t="shared" si="50"/>
        <v>40719440.073037073</v>
      </c>
      <c r="AZ132" s="522">
        <f t="shared" si="50"/>
        <v>40719440.073037073</v>
      </c>
      <c r="BA132" s="522">
        <f t="shared" si="50"/>
        <v>40719440.073037073</v>
      </c>
      <c r="BB132" s="522">
        <f t="shared" si="50"/>
        <v>40719440.073037073</v>
      </c>
      <c r="BC132" s="522">
        <f t="shared" si="50"/>
        <v>40719440.073037073</v>
      </c>
      <c r="BD132" s="522">
        <f t="shared" si="50"/>
        <v>40719440.073037073</v>
      </c>
      <c r="BE132" s="522">
        <f t="shared" si="50"/>
        <v>40719440.073037073</v>
      </c>
      <c r="BF132" s="522">
        <f t="shared" si="50"/>
        <v>40719440.073037073</v>
      </c>
      <c r="BG132" s="522">
        <f t="shared" si="50"/>
        <v>40719440.073037073</v>
      </c>
      <c r="BH132" s="522">
        <f t="shared" si="50"/>
        <v>40719440.073037073</v>
      </c>
      <c r="BI132" s="522">
        <f t="shared" si="50"/>
        <v>40719440.073037073</v>
      </c>
      <c r="BJ132" s="522">
        <f t="shared" si="50"/>
        <v>40719440.073037073</v>
      </c>
      <c r="BK132" s="522">
        <f t="shared" si="50"/>
        <v>40719440.073037073</v>
      </c>
      <c r="BL132" s="522">
        <f t="shared" si="50"/>
        <v>40719440.073037073</v>
      </c>
      <c r="BM132" s="522">
        <f t="shared" si="50"/>
        <v>40719440.073037073</v>
      </c>
      <c r="BN132" s="522">
        <f t="shared" si="50"/>
        <v>40719440.073037073</v>
      </c>
      <c r="BO132" s="522">
        <f t="shared" si="50"/>
        <v>40719440.073037073</v>
      </c>
      <c r="BP132" s="522">
        <f t="shared" si="50"/>
        <v>40719440.073037073</v>
      </c>
      <c r="BQ132" s="522">
        <f t="shared" si="50"/>
        <v>40719440.073037073</v>
      </c>
      <c r="BR132" s="522">
        <f t="shared" si="50"/>
        <v>40719440.073037073</v>
      </c>
      <c r="BS132" s="522">
        <f t="shared" si="50"/>
        <v>40719440.073037073</v>
      </c>
      <c r="BT132" s="522">
        <f t="shared" si="50"/>
        <v>40719440.073037073</v>
      </c>
      <c r="BU132" s="522">
        <f t="shared" si="50"/>
        <v>40719440.073037073</v>
      </c>
      <c r="BV132" s="522">
        <f t="shared" si="50"/>
        <v>40719440.073037073</v>
      </c>
      <c r="BW132" s="522">
        <f t="shared" si="50"/>
        <v>40719440.073037073</v>
      </c>
      <c r="BX132" s="522" t="e">
        <f t="shared" si="50"/>
        <v>#NUM!</v>
      </c>
    </row>
    <row r="133" spans="3:76">
      <c r="C133" s="513" t="s">
        <v>352</v>
      </c>
      <c r="D133" s="518">
        <f>IRR(U131:AJ131)*12</f>
        <v>0.4823346989521351</v>
      </c>
      <c r="E133" s="265"/>
      <c r="F133" s="265"/>
      <c r="G133" s="265"/>
      <c r="H133" s="265"/>
      <c r="I133" s="265"/>
      <c r="J133" s="265"/>
      <c r="K133" s="265"/>
      <c r="L133" s="265"/>
      <c r="M133" s="265"/>
      <c r="N133" s="265"/>
      <c r="O133" s="265"/>
      <c r="P133" s="265"/>
      <c r="Q133" s="265"/>
      <c r="R133" s="265"/>
      <c r="S133" s="265"/>
      <c r="T133" s="265"/>
      <c r="U133" s="265"/>
      <c r="V133" s="265"/>
      <c r="W133" s="265"/>
      <c r="X133" s="265"/>
      <c r="Y133" s="265"/>
      <c r="Z133" s="265"/>
      <c r="AA133" s="265"/>
      <c r="AB133" s="265"/>
      <c r="AC133" s="265"/>
      <c r="AD133" s="265"/>
      <c r="AE133" s="265"/>
      <c r="AF133" s="265"/>
      <c r="AG133" s="265"/>
      <c r="AH133" s="265"/>
      <c r="AI133" s="265"/>
      <c r="AJ133" s="265"/>
      <c r="AK133" s="265"/>
      <c r="AL133" s="265"/>
      <c r="AM133" s="265"/>
      <c r="AN133" s="265"/>
      <c r="AO133" s="265"/>
      <c r="AP133" s="265"/>
      <c r="AQ133" s="265"/>
      <c r="AR133" s="265"/>
      <c r="AS133" s="265"/>
      <c r="AT133" s="265"/>
      <c r="AU133" s="265"/>
      <c r="AV133" s="265"/>
      <c r="AW133" s="265"/>
      <c r="AX133" s="265"/>
      <c r="AY133" s="265"/>
      <c r="AZ133" s="265"/>
      <c r="BA133" s="265"/>
      <c r="BB133" s="265"/>
      <c r="BC133" s="265"/>
      <c r="BD133" s="265"/>
      <c r="BE133" s="265"/>
      <c r="BF133" s="265"/>
      <c r="BG133" s="265"/>
      <c r="BH133" s="265"/>
      <c r="BI133" s="265"/>
      <c r="BJ133" s="265"/>
      <c r="BK133" s="265"/>
      <c r="BL133" s="265"/>
      <c r="BM133" s="265"/>
      <c r="BN133" s="265"/>
      <c r="BO133" s="265"/>
      <c r="BP133" s="265"/>
      <c r="BQ133" s="265"/>
      <c r="BR133" s="265"/>
      <c r="BS133" s="265"/>
      <c r="BT133" s="265"/>
      <c r="BU133" s="265"/>
      <c r="BV133" s="265"/>
      <c r="BW133" s="265"/>
      <c r="BX133" s="265"/>
    </row>
    <row r="134" spans="3:76">
      <c r="C134" s="519" t="s">
        <v>353</v>
      </c>
      <c r="D134" s="520">
        <f>BY6</f>
        <v>50000000</v>
      </c>
      <c r="E134" s="265"/>
      <c r="F134" s="265"/>
      <c r="G134" s="265"/>
      <c r="H134" s="265"/>
      <c r="I134" s="265"/>
      <c r="J134" s="265"/>
      <c r="K134" s="265"/>
      <c r="L134" s="265"/>
      <c r="M134" s="265"/>
      <c r="N134" s="265"/>
      <c r="O134" s="265"/>
      <c r="P134" s="265"/>
      <c r="Q134" s="265"/>
      <c r="R134" s="265"/>
      <c r="S134" s="265"/>
      <c r="T134" s="265"/>
      <c r="U134" s="265"/>
      <c r="V134" s="265"/>
      <c r="W134" s="265"/>
      <c r="X134" s="265"/>
      <c r="Y134" s="265"/>
      <c r="Z134" s="265"/>
      <c r="AA134" s="265"/>
      <c r="AB134" s="265"/>
      <c r="AC134" s="265"/>
      <c r="AD134" s="265"/>
      <c r="AE134" s="265"/>
      <c r="AF134" s="265"/>
      <c r="AG134" s="265"/>
      <c r="AH134" s="265"/>
      <c r="AI134" s="265"/>
      <c r="AJ134" s="265"/>
      <c r="AK134" s="265"/>
      <c r="AL134" s="265"/>
      <c r="AM134" s="265"/>
      <c r="AN134" s="265"/>
      <c r="AO134" s="265"/>
      <c r="AP134" s="265"/>
      <c r="AQ134" s="265"/>
      <c r="AR134" s="265"/>
      <c r="AS134" s="265"/>
      <c r="AT134" s="265"/>
      <c r="AU134" s="265"/>
      <c r="AV134" s="265"/>
      <c r="AW134" s="265"/>
      <c r="AX134" s="265"/>
      <c r="AY134" s="265"/>
      <c r="AZ134" s="265"/>
      <c r="BA134" s="265"/>
      <c r="BB134" s="265"/>
      <c r="BC134" s="265"/>
      <c r="BD134" s="265"/>
      <c r="BE134" s="265"/>
      <c r="BF134" s="265"/>
      <c r="BG134" s="265"/>
      <c r="BH134" s="265"/>
      <c r="BI134" s="265"/>
      <c r="BJ134" s="265"/>
      <c r="BK134" s="265"/>
      <c r="BL134" s="265"/>
      <c r="BM134" s="265"/>
      <c r="BN134" s="265"/>
      <c r="BO134" s="265"/>
      <c r="BP134" s="265"/>
      <c r="BQ134" s="265"/>
      <c r="BR134" s="265"/>
      <c r="BS134" s="265"/>
      <c r="BT134" s="265"/>
      <c r="BU134" s="265"/>
      <c r="BV134" s="265"/>
      <c r="BW134" s="265"/>
      <c r="BX134" s="265"/>
    </row>
    <row r="135" spans="3:76">
      <c r="C135" s="519" t="s">
        <v>360</v>
      </c>
      <c r="D135" s="520">
        <f>-V127</f>
        <v>13647457</v>
      </c>
      <c r="E135" s="265"/>
      <c r="F135" s="265"/>
      <c r="G135" s="265"/>
      <c r="H135" s="265"/>
      <c r="I135" s="265"/>
      <c r="J135" s="265"/>
      <c r="K135" s="265"/>
      <c r="L135" s="265"/>
      <c r="M135" s="265"/>
      <c r="N135" s="265"/>
      <c r="O135" s="265"/>
      <c r="P135" s="265"/>
      <c r="Q135" s="265"/>
      <c r="R135" s="265"/>
      <c r="S135" s="265"/>
      <c r="T135" s="265"/>
      <c r="U135" s="265"/>
      <c r="V135" s="265"/>
      <c r="W135" s="265"/>
      <c r="X135" s="265"/>
      <c r="Y135" s="265"/>
      <c r="Z135" s="265"/>
      <c r="AA135" s="265"/>
      <c r="AB135" s="265"/>
      <c r="AC135" s="265"/>
      <c r="AD135" s="265"/>
      <c r="AE135" s="265"/>
      <c r="AF135" s="265"/>
      <c r="AG135" s="265"/>
      <c r="AH135" s="265"/>
      <c r="AI135" s="265"/>
      <c r="AJ135" s="265"/>
      <c r="AK135" s="265"/>
      <c r="AL135" s="265"/>
      <c r="AM135" s="265"/>
      <c r="AN135" s="265"/>
      <c r="AO135" s="265"/>
      <c r="AP135" s="265"/>
      <c r="AQ135" s="265"/>
      <c r="AR135" s="265"/>
      <c r="AS135" s="265"/>
      <c r="AT135" s="265"/>
      <c r="AU135" s="265"/>
      <c r="AV135" s="265"/>
      <c r="AW135" s="265"/>
      <c r="AX135" s="265"/>
      <c r="AY135" s="265"/>
      <c r="AZ135" s="265"/>
      <c r="BA135" s="265"/>
      <c r="BB135" s="265"/>
      <c r="BC135" s="265"/>
      <c r="BD135" s="265"/>
      <c r="BE135" s="265"/>
      <c r="BF135" s="265"/>
      <c r="BG135" s="265"/>
      <c r="BH135" s="265"/>
      <c r="BI135" s="265"/>
      <c r="BJ135" s="265"/>
      <c r="BK135" s="265"/>
      <c r="BL135" s="265"/>
      <c r="BM135" s="265"/>
      <c r="BN135" s="265"/>
      <c r="BO135" s="265"/>
      <c r="BP135" s="265"/>
      <c r="BQ135" s="265"/>
      <c r="BR135" s="265"/>
      <c r="BS135" s="265"/>
      <c r="BT135" s="265"/>
      <c r="BU135" s="265"/>
      <c r="BV135" s="265"/>
      <c r="BW135" s="265"/>
      <c r="BX135" s="265"/>
    </row>
    <row r="136" spans="3:76">
      <c r="C136" s="513" t="s">
        <v>354</v>
      </c>
      <c r="D136" s="521">
        <f>D135+D134</f>
        <v>63647457</v>
      </c>
      <c r="E136" s="265"/>
      <c r="F136" s="265"/>
      <c r="G136" s="265"/>
      <c r="H136" s="265"/>
      <c r="I136" s="265"/>
      <c r="J136" s="265"/>
      <c r="K136" s="265"/>
      <c r="L136" s="265"/>
      <c r="M136" s="265"/>
      <c r="N136" s="265"/>
      <c r="O136" s="265"/>
      <c r="P136" s="265"/>
      <c r="Q136" s="265"/>
      <c r="R136" s="265"/>
      <c r="S136" s="265"/>
      <c r="T136" s="265"/>
      <c r="U136" s="265"/>
      <c r="V136" s="265"/>
      <c r="W136" s="265"/>
      <c r="X136" s="265"/>
      <c r="Y136" s="265"/>
      <c r="Z136" s="265"/>
      <c r="AA136" s="265"/>
      <c r="AB136" s="265"/>
      <c r="AC136" s="265"/>
      <c r="AD136" s="265"/>
      <c r="AE136" s="265"/>
      <c r="AF136" s="265"/>
      <c r="AG136" s="265"/>
      <c r="AH136" s="265"/>
      <c r="AI136" s="265"/>
      <c r="AJ136" s="265"/>
      <c r="AK136" s="265"/>
      <c r="AL136" s="265"/>
      <c r="AM136" s="265"/>
      <c r="AN136" s="265"/>
      <c r="AO136" s="265"/>
      <c r="AP136" s="265"/>
      <c r="AQ136" s="265"/>
      <c r="AR136" s="265"/>
      <c r="AS136" s="265"/>
      <c r="AT136" s="265"/>
      <c r="AU136" s="265"/>
      <c r="AV136" s="265"/>
      <c r="AW136" s="265"/>
      <c r="AX136" s="265"/>
      <c r="AY136" s="265"/>
      <c r="AZ136" s="265"/>
      <c r="BA136" s="265"/>
      <c r="BB136" s="265"/>
      <c r="BC136" s="265"/>
      <c r="BD136" s="265"/>
      <c r="BE136" s="265"/>
      <c r="BF136" s="265"/>
      <c r="BG136" s="265"/>
      <c r="BH136" s="265"/>
      <c r="BI136" s="265"/>
      <c r="BJ136" s="265"/>
      <c r="BK136" s="265"/>
      <c r="BL136" s="265"/>
      <c r="BM136" s="265"/>
      <c r="BN136" s="265"/>
      <c r="BO136" s="265"/>
      <c r="BP136" s="265"/>
      <c r="BQ136" s="265"/>
      <c r="BR136" s="265"/>
      <c r="BS136" s="265"/>
      <c r="BT136" s="265"/>
      <c r="BU136" s="265"/>
      <c r="BV136" s="265"/>
      <c r="BW136" s="265"/>
      <c r="BX136" s="265"/>
    </row>
    <row r="137" spans="3:76">
      <c r="C137" s="513" t="s">
        <v>355</v>
      </c>
      <c r="D137" s="521">
        <f>AI129+AI128</f>
        <v>40719440.073037073</v>
      </c>
      <c r="E137" s="265"/>
      <c r="F137" s="265"/>
      <c r="G137" s="265"/>
      <c r="H137" s="265"/>
      <c r="I137" s="265"/>
      <c r="J137" s="265"/>
      <c r="K137" s="265"/>
      <c r="L137" s="265"/>
      <c r="M137" s="265"/>
      <c r="N137" s="265"/>
      <c r="O137" s="265"/>
      <c r="P137" s="265"/>
      <c r="Q137" s="265"/>
      <c r="R137" s="265"/>
      <c r="S137" s="265"/>
      <c r="T137" s="265"/>
      <c r="U137" s="265"/>
      <c r="V137" s="265"/>
      <c r="W137" s="265"/>
      <c r="X137" s="265"/>
      <c r="Y137" s="265"/>
      <c r="Z137" s="265"/>
      <c r="AA137" s="265"/>
      <c r="AB137" s="265"/>
      <c r="AC137" s="265"/>
      <c r="AD137" s="265"/>
      <c r="AE137" s="265"/>
      <c r="AF137" s="265"/>
      <c r="AG137" s="265"/>
      <c r="AH137" s="265"/>
      <c r="AI137" s="265"/>
      <c r="AJ137" s="265"/>
      <c r="AK137" s="265"/>
      <c r="AL137" s="265"/>
      <c r="AM137" s="265"/>
      <c r="AN137" s="265"/>
      <c r="AO137" s="265"/>
      <c r="AP137" s="265"/>
      <c r="AQ137" s="265"/>
      <c r="AR137" s="265"/>
      <c r="AS137" s="265"/>
      <c r="AT137" s="265"/>
      <c r="AU137" s="265"/>
      <c r="AV137" s="265"/>
      <c r="AW137" s="265"/>
      <c r="AX137" s="265"/>
      <c r="AY137" s="265"/>
      <c r="AZ137" s="265"/>
      <c r="BA137" s="265"/>
      <c r="BB137" s="265"/>
      <c r="BC137" s="265"/>
      <c r="BD137" s="265"/>
      <c r="BE137" s="265"/>
      <c r="BF137" s="265"/>
      <c r="BG137" s="265"/>
      <c r="BH137" s="265"/>
      <c r="BI137" s="265"/>
      <c r="BJ137" s="265"/>
      <c r="BK137" s="265"/>
      <c r="BL137" s="265"/>
      <c r="BM137" s="265"/>
      <c r="BN137" s="265"/>
      <c r="BO137" s="265"/>
      <c r="BP137" s="265"/>
      <c r="BQ137" s="265"/>
      <c r="BR137" s="265"/>
      <c r="BS137" s="265"/>
      <c r="BT137" s="265"/>
      <c r="BU137" s="265"/>
      <c r="BV137" s="265"/>
      <c r="BW137" s="265"/>
      <c r="BX137" s="265"/>
    </row>
    <row r="138" spans="3:76">
      <c r="C138" s="513" t="s">
        <v>356</v>
      </c>
      <c r="D138" s="518">
        <f>D137/D136</f>
        <v>0.63976538878901434</v>
      </c>
      <c r="E138" s="265"/>
      <c r="F138" s="265"/>
      <c r="G138" s="265"/>
      <c r="H138" s="265"/>
      <c r="I138" s="265"/>
      <c r="J138" s="265"/>
      <c r="K138" s="265"/>
      <c r="L138" s="265"/>
      <c r="M138" s="265"/>
      <c r="N138" s="265"/>
      <c r="O138" s="265"/>
      <c r="P138" s="265"/>
      <c r="Q138" s="265"/>
      <c r="R138" s="265"/>
      <c r="S138" s="265"/>
      <c r="T138" s="265"/>
      <c r="U138" s="265"/>
      <c r="V138" s="265"/>
      <c r="W138" s="265"/>
      <c r="X138" s="265"/>
      <c r="Y138" s="265"/>
      <c r="Z138" s="265"/>
      <c r="AA138" s="265"/>
      <c r="AB138" s="265"/>
      <c r="AC138" s="265"/>
      <c r="AD138" s="265"/>
      <c r="AE138" s="265"/>
      <c r="AF138" s="265"/>
      <c r="AG138" s="265"/>
      <c r="AH138" s="265"/>
      <c r="AI138" s="265"/>
      <c r="AJ138" s="265"/>
      <c r="AK138" s="265"/>
      <c r="AL138" s="265"/>
      <c r="AM138" s="265"/>
      <c r="AN138" s="265"/>
      <c r="AO138" s="265"/>
      <c r="AP138" s="265"/>
      <c r="AQ138" s="265"/>
      <c r="AR138" s="265"/>
      <c r="AS138" s="265"/>
      <c r="AT138" s="265"/>
      <c r="AU138" s="265"/>
      <c r="AV138" s="265"/>
      <c r="AW138" s="265"/>
      <c r="AX138" s="265"/>
      <c r="AY138" s="265"/>
      <c r="AZ138" s="265"/>
      <c r="BA138" s="265"/>
      <c r="BB138" s="265"/>
      <c r="BC138" s="265"/>
      <c r="BD138" s="265"/>
      <c r="BE138" s="265"/>
      <c r="BF138" s="265"/>
      <c r="BG138" s="265"/>
      <c r="BH138" s="265"/>
      <c r="BI138" s="265"/>
      <c r="BJ138" s="265"/>
      <c r="BK138" s="265"/>
      <c r="BL138" s="265"/>
      <c r="BM138" s="265"/>
      <c r="BN138" s="265"/>
      <c r="BO138" s="265"/>
      <c r="BP138" s="265"/>
      <c r="BQ138" s="265"/>
      <c r="BR138" s="265"/>
      <c r="BS138" s="265"/>
      <c r="BT138" s="265"/>
      <c r="BU138" s="265"/>
      <c r="BV138" s="265"/>
      <c r="BW138" s="265"/>
      <c r="BX138" s="265"/>
    </row>
    <row r="139" spans="3:76">
      <c r="E139" s="265"/>
      <c r="F139" s="265"/>
      <c r="G139" s="265"/>
      <c r="H139" s="265"/>
      <c r="I139" s="265"/>
      <c r="J139" s="265"/>
      <c r="K139" s="265"/>
      <c r="L139" s="265"/>
      <c r="M139" s="265"/>
      <c r="N139" s="265"/>
      <c r="O139" s="265"/>
      <c r="P139" s="265"/>
      <c r="Q139" s="265"/>
      <c r="R139" s="265"/>
      <c r="S139" s="265"/>
      <c r="T139" s="265"/>
      <c r="U139" s="265"/>
      <c r="V139" s="265"/>
      <c r="W139" s="265"/>
      <c r="X139" s="265"/>
      <c r="Y139" s="265"/>
      <c r="Z139" s="265"/>
      <c r="AA139" s="265"/>
      <c r="AB139" s="265"/>
      <c r="AC139" s="265"/>
      <c r="AD139" s="265"/>
      <c r="AE139" s="265"/>
      <c r="AF139" s="265"/>
      <c r="AG139" s="265"/>
      <c r="AH139" s="265"/>
      <c r="AI139" s="265"/>
      <c r="AJ139" s="265"/>
      <c r="AK139" s="265"/>
      <c r="AL139" s="265"/>
      <c r="AM139" s="265"/>
      <c r="AN139" s="265"/>
      <c r="AO139" s="265"/>
      <c r="AP139" s="265"/>
      <c r="AQ139" s="265"/>
      <c r="AR139" s="265"/>
      <c r="AS139" s="265"/>
      <c r="AT139" s="265"/>
      <c r="AU139" s="265"/>
      <c r="AV139" s="265"/>
      <c r="AW139" s="265"/>
      <c r="AX139" s="265"/>
      <c r="AY139" s="265"/>
      <c r="AZ139" s="265"/>
      <c r="BA139" s="265"/>
      <c r="BB139" s="265"/>
      <c r="BC139" s="265"/>
      <c r="BD139" s="265"/>
      <c r="BE139" s="265"/>
      <c r="BF139" s="265"/>
      <c r="BG139" s="265"/>
      <c r="BH139" s="265"/>
      <c r="BI139" s="265"/>
      <c r="BJ139" s="265"/>
      <c r="BK139" s="265"/>
      <c r="BL139" s="265"/>
      <c r="BM139" s="265"/>
      <c r="BN139" s="265"/>
      <c r="BO139" s="265"/>
      <c r="BP139" s="265"/>
      <c r="BQ139" s="265"/>
      <c r="BR139" s="265"/>
      <c r="BS139" s="265"/>
      <c r="BT139" s="265"/>
      <c r="BU139" s="265"/>
      <c r="BV139" s="265"/>
      <c r="BW139" s="265"/>
      <c r="BX139" s="265"/>
    </row>
    <row r="140" spans="3:76">
      <c r="E140" s="265"/>
      <c r="F140" s="265"/>
      <c r="G140" s="265"/>
      <c r="H140" s="265"/>
      <c r="I140" s="265"/>
      <c r="J140" s="265"/>
      <c r="K140" s="265"/>
      <c r="L140" s="265"/>
      <c r="M140" s="265"/>
      <c r="N140" s="265"/>
      <c r="O140" s="265"/>
      <c r="P140" s="265"/>
      <c r="Q140" s="265"/>
      <c r="R140" s="265"/>
      <c r="S140" s="265"/>
      <c r="T140" s="265"/>
      <c r="U140" s="265"/>
      <c r="V140" s="265"/>
      <c r="W140" s="265"/>
      <c r="X140" s="265"/>
      <c r="Y140" s="265"/>
      <c r="Z140" s="265"/>
      <c r="AA140" s="265"/>
      <c r="AB140" s="265"/>
      <c r="AC140" s="265"/>
      <c r="AD140" s="265"/>
      <c r="AE140" s="265"/>
      <c r="AF140" s="265"/>
      <c r="AG140" s="265"/>
      <c r="AH140" s="265"/>
      <c r="AI140" s="265"/>
      <c r="AJ140" s="265"/>
      <c r="AK140" s="265"/>
      <c r="AL140" s="265"/>
      <c r="AM140" s="265"/>
      <c r="AN140" s="265"/>
      <c r="AO140" s="265"/>
      <c r="AP140" s="265"/>
      <c r="AQ140" s="265"/>
      <c r="AR140" s="265"/>
      <c r="AS140" s="265"/>
      <c r="AT140" s="265"/>
      <c r="AU140" s="265"/>
      <c r="AV140" s="265"/>
      <c r="AW140" s="265"/>
      <c r="AX140" s="265"/>
      <c r="AY140" s="265"/>
      <c r="AZ140" s="265"/>
      <c r="BA140" s="265"/>
      <c r="BB140" s="265"/>
      <c r="BC140" s="265"/>
      <c r="BD140" s="265"/>
      <c r="BE140" s="265"/>
      <c r="BF140" s="265"/>
      <c r="BG140" s="265"/>
      <c r="BH140" s="265"/>
      <c r="BI140" s="265"/>
      <c r="BJ140" s="265"/>
      <c r="BK140" s="265"/>
      <c r="BL140" s="265"/>
      <c r="BM140" s="265"/>
      <c r="BN140" s="265"/>
      <c r="BO140" s="265"/>
      <c r="BP140" s="265"/>
      <c r="BQ140" s="265"/>
      <c r="BR140" s="265"/>
      <c r="BS140" s="265"/>
      <c r="BT140" s="265"/>
      <c r="BU140" s="265"/>
      <c r="BV140" s="265"/>
      <c r="BW140" s="265"/>
      <c r="BX140" s="265"/>
    </row>
    <row r="141" spans="3:76" hidden="1">
      <c r="E141" s="265"/>
      <c r="F141" s="265"/>
      <c r="G141" s="265"/>
      <c r="H141" s="265"/>
      <c r="I141" s="265"/>
      <c r="J141" s="265"/>
      <c r="K141" s="265"/>
      <c r="L141" s="265"/>
      <c r="M141" s="265"/>
      <c r="N141" s="265"/>
      <c r="O141" s="265"/>
      <c r="P141" s="265"/>
      <c r="Q141" s="265"/>
      <c r="R141" s="265"/>
      <c r="S141" s="265"/>
      <c r="T141" s="265"/>
      <c r="U141" s="265"/>
      <c r="V141" s="265"/>
      <c r="W141" s="265"/>
      <c r="X141" s="265"/>
      <c r="Y141" s="265"/>
      <c r="Z141" s="265"/>
      <c r="AA141" s="265"/>
      <c r="AB141" s="265"/>
      <c r="AC141" s="265"/>
      <c r="AD141" s="265"/>
      <c r="AE141" s="265"/>
      <c r="AF141" s="265"/>
      <c r="AG141" s="265"/>
      <c r="AH141" s="265"/>
      <c r="AI141" s="265"/>
      <c r="AJ141" s="265"/>
      <c r="AK141" s="265"/>
      <c r="AL141" s="265"/>
      <c r="AM141" s="265"/>
      <c r="AN141" s="265"/>
      <c r="AO141" s="265"/>
      <c r="AP141" s="265"/>
      <c r="AQ141" s="265"/>
      <c r="AR141" s="265"/>
      <c r="AS141" s="265"/>
      <c r="AT141" s="265"/>
      <c r="AU141" s="265"/>
      <c r="AV141" s="265"/>
      <c r="AW141" s="265"/>
      <c r="AX141" s="265"/>
      <c r="AY141" s="265"/>
      <c r="AZ141" s="265"/>
      <c r="BA141" s="265"/>
      <c r="BB141" s="265"/>
      <c r="BC141" s="265"/>
      <c r="BD141" s="265"/>
      <c r="BE141" s="265"/>
      <c r="BF141" s="265"/>
      <c r="BG141" s="265"/>
      <c r="BH141" s="265"/>
      <c r="BI141" s="265"/>
      <c r="BJ141" s="265"/>
      <c r="BK141" s="265"/>
      <c r="BL141" s="265"/>
      <c r="BM141" s="265"/>
      <c r="BN141" s="265"/>
      <c r="BO141" s="265"/>
      <c r="BP141" s="265"/>
      <c r="BQ141" s="265"/>
      <c r="BR141" s="265"/>
      <c r="BS141" s="265"/>
      <c r="BT141" s="265"/>
      <c r="BU141" s="265"/>
      <c r="BV141" s="265"/>
      <c r="BW141" s="265"/>
      <c r="BX141" s="265"/>
    </row>
    <row r="142" spans="3:76" hidden="1">
      <c r="C142" s="335" t="s">
        <v>361</v>
      </c>
      <c r="D142" s="511"/>
      <c r="E142" s="511">
        <f t="shared" ref="E142:AF142" si="51">-(E7+E92)</f>
        <v>0</v>
      </c>
      <c r="F142" s="511">
        <f t="shared" si="51"/>
        <v>0</v>
      </c>
      <c r="G142" s="511">
        <f t="shared" si="51"/>
        <v>0</v>
      </c>
      <c r="H142" s="511">
        <f t="shared" si="51"/>
        <v>0</v>
      </c>
      <c r="I142" s="511">
        <f t="shared" si="51"/>
        <v>0</v>
      </c>
      <c r="J142" s="511">
        <f t="shared" si="51"/>
        <v>0</v>
      </c>
      <c r="K142" s="511">
        <f t="shared" si="51"/>
        <v>0</v>
      </c>
      <c r="L142" s="511">
        <f t="shared" si="51"/>
        <v>0</v>
      </c>
      <c r="M142" s="511">
        <f t="shared" si="51"/>
        <v>0</v>
      </c>
      <c r="N142" s="511">
        <f t="shared" si="51"/>
        <v>0</v>
      </c>
      <c r="O142" s="511">
        <f t="shared" si="51"/>
        <v>0</v>
      </c>
      <c r="P142" s="511">
        <f t="shared" si="51"/>
        <v>0</v>
      </c>
      <c r="Q142" s="511">
        <f t="shared" si="51"/>
        <v>0</v>
      </c>
      <c r="R142" s="511">
        <f t="shared" si="51"/>
        <v>0</v>
      </c>
      <c r="S142" s="511">
        <f t="shared" si="51"/>
        <v>0</v>
      </c>
      <c r="T142" s="511">
        <f t="shared" si="51"/>
        <v>0</v>
      </c>
      <c r="U142" s="511">
        <f t="shared" si="51"/>
        <v>0</v>
      </c>
      <c r="V142" s="511">
        <f t="shared" si="51"/>
        <v>0</v>
      </c>
      <c r="W142" s="511">
        <f t="shared" si="51"/>
        <v>0</v>
      </c>
      <c r="X142" s="511">
        <f t="shared" si="51"/>
        <v>0</v>
      </c>
      <c r="Y142" s="511">
        <f t="shared" si="51"/>
        <v>0</v>
      </c>
      <c r="Z142" s="511">
        <f t="shared" si="51"/>
        <v>0</v>
      </c>
      <c r="AA142" s="511">
        <f t="shared" si="51"/>
        <v>0</v>
      </c>
      <c r="AB142" s="511">
        <f t="shared" si="51"/>
        <v>0</v>
      </c>
      <c r="AC142" s="511">
        <f t="shared" si="51"/>
        <v>0</v>
      </c>
      <c r="AD142" s="511">
        <f t="shared" si="51"/>
        <v>0</v>
      </c>
      <c r="AE142" s="511">
        <f t="shared" si="51"/>
        <v>0</v>
      </c>
      <c r="AF142" s="511">
        <f t="shared" si="51"/>
        <v>0</v>
      </c>
      <c r="AG142" s="511"/>
      <c r="AH142" s="511"/>
      <c r="AI142" s="511"/>
      <c r="AJ142" s="511"/>
      <c r="AK142" s="511">
        <f t="shared" ref="AK142:BX142" si="52">-(AK7+AK92)</f>
        <v>0</v>
      </c>
      <c r="AL142" s="511">
        <f t="shared" si="52"/>
        <v>0</v>
      </c>
      <c r="AM142" s="511">
        <f t="shared" si="52"/>
        <v>0</v>
      </c>
      <c r="AN142" s="511">
        <f t="shared" si="52"/>
        <v>0</v>
      </c>
      <c r="AO142" s="511">
        <f t="shared" si="52"/>
        <v>0</v>
      </c>
      <c r="AP142" s="511">
        <f t="shared" si="52"/>
        <v>0</v>
      </c>
      <c r="AQ142" s="511">
        <f t="shared" si="52"/>
        <v>0</v>
      </c>
      <c r="AR142" s="511">
        <f t="shared" si="52"/>
        <v>0</v>
      </c>
      <c r="AS142" s="511">
        <f t="shared" si="52"/>
        <v>0</v>
      </c>
      <c r="AT142" s="511">
        <f t="shared" si="52"/>
        <v>0</v>
      </c>
      <c r="AU142" s="511">
        <f t="shared" si="52"/>
        <v>0</v>
      </c>
      <c r="AV142" s="511">
        <f t="shared" si="52"/>
        <v>0</v>
      </c>
      <c r="AW142" s="511">
        <f t="shared" si="52"/>
        <v>0</v>
      </c>
      <c r="AX142" s="511">
        <f t="shared" si="52"/>
        <v>0</v>
      </c>
      <c r="AY142" s="511">
        <f t="shared" si="52"/>
        <v>0</v>
      </c>
      <c r="AZ142" s="511">
        <f t="shared" si="52"/>
        <v>0</v>
      </c>
      <c r="BA142" s="511">
        <f t="shared" si="52"/>
        <v>0</v>
      </c>
      <c r="BB142" s="511">
        <f t="shared" si="52"/>
        <v>0</v>
      </c>
      <c r="BC142" s="511">
        <f t="shared" si="52"/>
        <v>0</v>
      </c>
      <c r="BD142" s="511">
        <f t="shared" si="52"/>
        <v>0</v>
      </c>
      <c r="BE142" s="511">
        <f t="shared" si="52"/>
        <v>0</v>
      </c>
      <c r="BF142" s="511">
        <f t="shared" si="52"/>
        <v>0</v>
      </c>
      <c r="BG142" s="511">
        <f t="shared" si="52"/>
        <v>0</v>
      </c>
      <c r="BH142" s="511">
        <f t="shared" si="52"/>
        <v>0</v>
      </c>
      <c r="BI142" s="511">
        <f t="shared" si="52"/>
        <v>0</v>
      </c>
      <c r="BJ142" s="511">
        <f t="shared" si="52"/>
        <v>0</v>
      </c>
      <c r="BK142" s="511">
        <f t="shared" si="52"/>
        <v>0</v>
      </c>
      <c r="BL142" s="511">
        <f t="shared" si="52"/>
        <v>0</v>
      </c>
      <c r="BM142" s="511">
        <f t="shared" si="52"/>
        <v>0</v>
      </c>
      <c r="BN142" s="511">
        <f t="shared" si="52"/>
        <v>0</v>
      </c>
      <c r="BO142" s="511">
        <f t="shared" si="52"/>
        <v>0</v>
      </c>
      <c r="BP142" s="511">
        <f t="shared" si="52"/>
        <v>0</v>
      </c>
      <c r="BQ142" s="511">
        <f t="shared" si="52"/>
        <v>0</v>
      </c>
      <c r="BR142" s="511">
        <f t="shared" si="52"/>
        <v>0</v>
      </c>
      <c r="BS142" s="511">
        <f t="shared" si="52"/>
        <v>0</v>
      </c>
      <c r="BT142" s="511">
        <f t="shared" si="52"/>
        <v>0</v>
      </c>
      <c r="BU142" s="511">
        <f t="shared" si="52"/>
        <v>0</v>
      </c>
      <c r="BV142" s="511">
        <f t="shared" si="52"/>
        <v>0</v>
      </c>
      <c r="BW142" s="511">
        <f t="shared" si="52"/>
        <v>0</v>
      </c>
      <c r="BX142" s="511">
        <f t="shared" si="52"/>
        <v>0</v>
      </c>
    </row>
    <row r="143" spans="3:76" hidden="1">
      <c r="C143" s="335" t="s">
        <v>358</v>
      </c>
      <c r="D143" s="516"/>
      <c r="E143" s="511"/>
      <c r="F143" s="511"/>
      <c r="G143" s="511"/>
      <c r="H143" s="511"/>
      <c r="I143" s="511"/>
      <c r="J143" s="511"/>
      <c r="K143" s="511"/>
      <c r="L143" s="511"/>
      <c r="M143" s="511"/>
      <c r="N143" s="511"/>
      <c r="O143" s="511"/>
      <c r="P143" s="511"/>
      <c r="Q143" s="511"/>
      <c r="R143" s="511"/>
      <c r="S143" s="511"/>
      <c r="T143" s="511"/>
      <c r="U143" s="511"/>
      <c r="V143" s="511"/>
      <c r="W143" s="511"/>
      <c r="X143" s="511"/>
      <c r="Y143" s="511"/>
      <c r="Z143" s="511"/>
      <c r="AA143" s="511"/>
      <c r="AB143" s="511"/>
      <c r="AC143" s="511"/>
      <c r="AD143" s="511"/>
      <c r="AE143" s="511"/>
      <c r="AF143" s="511"/>
      <c r="AG143" s="511"/>
      <c r="AH143" s="511"/>
      <c r="AI143" s="511"/>
      <c r="AJ143" s="511"/>
      <c r="AK143" s="511"/>
      <c r="AL143" s="511"/>
      <c r="AM143" s="511"/>
      <c r="AN143" s="511"/>
      <c r="AO143" s="511"/>
      <c r="AP143" s="511"/>
      <c r="AQ143" s="511"/>
      <c r="AR143" s="511"/>
      <c r="AS143" s="511"/>
      <c r="AT143" s="511"/>
      <c r="AU143" s="511"/>
      <c r="AV143" s="511"/>
      <c r="AW143" s="511"/>
      <c r="AX143" s="511"/>
      <c r="AY143" s="511"/>
      <c r="AZ143" s="511"/>
      <c r="BA143" s="511"/>
      <c r="BB143" s="511"/>
      <c r="BC143" s="511"/>
      <c r="BD143" s="511"/>
      <c r="BE143" s="511"/>
      <c r="BF143" s="511"/>
      <c r="BG143" s="511"/>
      <c r="BH143" s="511"/>
      <c r="BI143" s="511"/>
      <c r="BJ143" s="511"/>
      <c r="BK143" s="511"/>
      <c r="BL143" s="511"/>
      <c r="BM143" s="511"/>
      <c r="BN143" s="511"/>
      <c r="BO143" s="511"/>
      <c r="BP143" s="511"/>
      <c r="BQ143" s="511"/>
      <c r="BR143" s="511"/>
      <c r="BS143" s="511"/>
      <c r="BT143" s="511"/>
      <c r="BU143" s="511"/>
      <c r="BV143" s="511"/>
      <c r="BW143" s="511"/>
      <c r="BX143" s="511"/>
    </row>
    <row r="144" spans="3:76" hidden="1">
      <c r="C144" s="335" t="s">
        <v>348</v>
      </c>
      <c r="D144" s="516"/>
      <c r="E144" s="511">
        <f t="shared" ref="E144:AF144" si="53">-E57</f>
        <v>0</v>
      </c>
      <c r="F144" s="511">
        <f t="shared" si="53"/>
        <v>0</v>
      </c>
      <c r="G144" s="511">
        <f t="shared" si="53"/>
        <v>0</v>
      </c>
      <c r="H144" s="511">
        <f t="shared" si="53"/>
        <v>0</v>
      </c>
      <c r="I144" s="511">
        <f t="shared" si="53"/>
        <v>0</v>
      </c>
      <c r="J144" s="511">
        <f t="shared" si="53"/>
        <v>0</v>
      </c>
      <c r="K144" s="511">
        <f t="shared" si="53"/>
        <v>0</v>
      </c>
      <c r="L144" s="511">
        <f t="shared" si="53"/>
        <v>0</v>
      </c>
      <c r="M144" s="511">
        <f t="shared" si="53"/>
        <v>0</v>
      </c>
      <c r="N144" s="511">
        <f t="shared" si="53"/>
        <v>0</v>
      </c>
      <c r="O144" s="511">
        <f t="shared" si="53"/>
        <v>0</v>
      </c>
      <c r="P144" s="511">
        <f t="shared" si="53"/>
        <v>0</v>
      </c>
      <c r="Q144" s="511">
        <f t="shared" si="53"/>
        <v>0</v>
      </c>
      <c r="R144" s="511">
        <f t="shared" si="53"/>
        <v>0</v>
      </c>
      <c r="S144" s="511">
        <f t="shared" si="53"/>
        <v>0</v>
      </c>
      <c r="T144" s="511">
        <f t="shared" si="53"/>
        <v>0</v>
      </c>
      <c r="U144" s="511">
        <f t="shared" si="53"/>
        <v>0</v>
      </c>
      <c r="V144" s="511">
        <f t="shared" si="53"/>
        <v>0</v>
      </c>
      <c r="W144" s="511">
        <f t="shared" si="53"/>
        <v>0</v>
      </c>
      <c r="X144" s="511">
        <f t="shared" si="53"/>
        <v>0</v>
      </c>
      <c r="Y144" s="511">
        <f t="shared" si="53"/>
        <v>0</v>
      </c>
      <c r="Z144" s="511">
        <f t="shared" si="53"/>
        <v>0</v>
      </c>
      <c r="AA144" s="511">
        <f t="shared" si="53"/>
        <v>0</v>
      </c>
      <c r="AB144" s="511">
        <f t="shared" si="53"/>
        <v>0</v>
      </c>
      <c r="AC144" s="511">
        <f t="shared" si="53"/>
        <v>0</v>
      </c>
      <c r="AD144" s="511">
        <f t="shared" si="53"/>
        <v>0</v>
      </c>
      <c r="AE144" s="511">
        <f t="shared" si="53"/>
        <v>0</v>
      </c>
      <c r="AF144" s="511">
        <f t="shared" si="53"/>
        <v>0</v>
      </c>
      <c r="AG144" s="511"/>
      <c r="AH144" s="511"/>
      <c r="AI144" s="511"/>
      <c r="AJ144" s="511"/>
      <c r="AK144" s="511">
        <f t="shared" ref="AK144:BX144" si="54">-AK57</f>
        <v>0</v>
      </c>
      <c r="AL144" s="511">
        <f t="shared" si="54"/>
        <v>0</v>
      </c>
      <c r="AM144" s="511">
        <f t="shared" si="54"/>
        <v>0</v>
      </c>
      <c r="AN144" s="511">
        <f t="shared" si="54"/>
        <v>0</v>
      </c>
      <c r="AO144" s="511">
        <f t="shared" si="54"/>
        <v>0</v>
      </c>
      <c r="AP144" s="511">
        <f t="shared" si="54"/>
        <v>0</v>
      </c>
      <c r="AQ144" s="511">
        <f t="shared" si="54"/>
        <v>0</v>
      </c>
      <c r="AR144" s="511">
        <f t="shared" si="54"/>
        <v>0</v>
      </c>
      <c r="AS144" s="511">
        <f t="shared" si="54"/>
        <v>0</v>
      </c>
      <c r="AT144" s="511">
        <f t="shared" si="54"/>
        <v>0</v>
      </c>
      <c r="AU144" s="511">
        <f t="shared" si="54"/>
        <v>0</v>
      </c>
      <c r="AV144" s="511">
        <f t="shared" si="54"/>
        <v>0</v>
      </c>
      <c r="AW144" s="511">
        <f t="shared" si="54"/>
        <v>0</v>
      </c>
      <c r="AX144" s="511">
        <f t="shared" si="54"/>
        <v>0</v>
      </c>
      <c r="AY144" s="511">
        <f t="shared" si="54"/>
        <v>0</v>
      </c>
      <c r="AZ144" s="511">
        <f t="shared" si="54"/>
        <v>0</v>
      </c>
      <c r="BA144" s="511">
        <f t="shared" si="54"/>
        <v>0</v>
      </c>
      <c r="BB144" s="511">
        <f t="shared" si="54"/>
        <v>0</v>
      </c>
      <c r="BC144" s="511">
        <f t="shared" si="54"/>
        <v>0</v>
      </c>
      <c r="BD144" s="511">
        <f t="shared" si="54"/>
        <v>0</v>
      </c>
      <c r="BE144" s="511">
        <f t="shared" si="54"/>
        <v>0</v>
      </c>
      <c r="BF144" s="511">
        <f t="shared" si="54"/>
        <v>0</v>
      </c>
      <c r="BG144" s="511">
        <f t="shared" si="54"/>
        <v>0</v>
      </c>
      <c r="BH144" s="511">
        <f t="shared" si="54"/>
        <v>0</v>
      </c>
      <c r="BI144" s="511">
        <f t="shared" si="54"/>
        <v>0</v>
      </c>
      <c r="BJ144" s="511">
        <f t="shared" si="54"/>
        <v>0</v>
      </c>
      <c r="BK144" s="511">
        <f t="shared" si="54"/>
        <v>0</v>
      </c>
      <c r="BL144" s="511">
        <f t="shared" si="54"/>
        <v>0</v>
      </c>
      <c r="BM144" s="511">
        <f t="shared" si="54"/>
        <v>0</v>
      </c>
      <c r="BN144" s="511">
        <f t="shared" si="54"/>
        <v>0</v>
      </c>
      <c r="BO144" s="511">
        <f t="shared" si="54"/>
        <v>0</v>
      </c>
      <c r="BP144" s="511">
        <f t="shared" si="54"/>
        <v>0</v>
      </c>
      <c r="BQ144" s="511">
        <f t="shared" si="54"/>
        <v>0</v>
      </c>
      <c r="BR144" s="511">
        <f t="shared" si="54"/>
        <v>0</v>
      </c>
      <c r="BS144" s="511">
        <f t="shared" si="54"/>
        <v>0</v>
      </c>
      <c r="BT144" s="511">
        <f t="shared" si="54"/>
        <v>0</v>
      </c>
      <c r="BU144" s="511">
        <f t="shared" si="54"/>
        <v>0</v>
      </c>
      <c r="BV144" s="511">
        <f t="shared" si="54"/>
        <v>0</v>
      </c>
      <c r="BW144" s="511">
        <f t="shared" si="54"/>
        <v>0</v>
      </c>
      <c r="BX144" s="511">
        <f t="shared" si="54"/>
        <v>0</v>
      </c>
    </row>
    <row r="145" spans="3:76" hidden="1">
      <c r="C145" s="335" t="s">
        <v>349</v>
      </c>
      <c r="D145" s="516"/>
      <c r="E145" s="511"/>
      <c r="F145" s="511"/>
      <c r="G145" s="511"/>
      <c r="H145" s="511"/>
      <c r="I145" s="511"/>
      <c r="J145" s="511"/>
      <c r="K145" s="511"/>
      <c r="L145" s="511"/>
      <c r="M145" s="511"/>
      <c r="N145" s="511"/>
      <c r="O145" s="511"/>
      <c r="P145" s="511"/>
      <c r="Q145" s="511"/>
      <c r="R145" s="511"/>
      <c r="S145" s="511"/>
      <c r="T145" s="511"/>
      <c r="U145" s="511"/>
      <c r="V145" s="511"/>
      <c r="W145" s="511"/>
      <c r="X145" s="511"/>
      <c r="Y145" s="511"/>
      <c r="Z145" s="511"/>
      <c r="AA145" s="511"/>
      <c r="AB145" s="511"/>
      <c r="AC145" s="511"/>
      <c r="AD145" s="511"/>
      <c r="AE145" s="511"/>
      <c r="AF145" s="511"/>
      <c r="AG145" s="511"/>
      <c r="AH145" s="511"/>
      <c r="AI145" s="511"/>
      <c r="AJ145" s="511"/>
      <c r="AK145" s="511"/>
      <c r="AL145" s="511"/>
      <c r="AM145" s="511"/>
      <c r="AN145" s="511"/>
      <c r="AO145" s="511"/>
      <c r="AP145" s="511"/>
      <c r="AQ145" s="511"/>
      <c r="AR145" s="511"/>
      <c r="AS145" s="511"/>
      <c r="AT145" s="511"/>
      <c r="AU145" s="511"/>
      <c r="AV145" s="511"/>
      <c r="AW145" s="511"/>
      <c r="AX145" s="511"/>
      <c r="AY145" s="511"/>
      <c r="AZ145" s="511"/>
      <c r="BA145" s="511"/>
      <c r="BB145" s="511"/>
      <c r="BC145" s="511"/>
      <c r="BD145" s="511"/>
      <c r="BE145" s="511"/>
      <c r="BF145" s="511"/>
      <c r="BG145" s="511"/>
      <c r="BH145" s="511"/>
      <c r="BI145" s="511"/>
      <c r="BJ145" s="511"/>
      <c r="BK145" s="511"/>
      <c r="BL145" s="511"/>
      <c r="BM145" s="511"/>
      <c r="BN145" s="511"/>
      <c r="BO145" s="511"/>
      <c r="BP145" s="511"/>
      <c r="BQ145" s="511"/>
      <c r="BR145" s="511"/>
      <c r="BS145" s="511"/>
      <c r="BT145" s="511"/>
      <c r="BU145" s="511"/>
      <c r="BV145" s="511"/>
      <c r="BW145" s="511"/>
      <c r="BX145" s="511" t="e">
        <f>IF(D104&gt;0.25,(BX99-BX107)*D146,BX99*D146)</f>
        <v>#NUM!</v>
      </c>
    </row>
    <row r="146" spans="3:76" hidden="1">
      <c r="C146" s="513" t="s">
        <v>350</v>
      </c>
      <c r="D146" s="516">
        <v>1</v>
      </c>
      <c r="E146" s="283"/>
      <c r="F146" s="283"/>
      <c r="G146" s="283"/>
      <c r="H146" s="283"/>
      <c r="I146" s="283"/>
      <c r="J146" s="283"/>
      <c r="K146" s="283"/>
      <c r="L146" s="283"/>
      <c r="M146" s="283"/>
      <c r="N146" s="283"/>
      <c r="O146" s="283"/>
      <c r="P146" s="283"/>
      <c r="Q146" s="283"/>
      <c r="R146" s="283"/>
      <c r="S146" s="283"/>
      <c r="T146" s="283"/>
      <c r="U146" s="283"/>
      <c r="V146" s="283"/>
      <c r="W146" s="283"/>
      <c r="X146" s="283"/>
      <c r="Y146" s="283"/>
      <c r="Z146" s="283"/>
      <c r="AA146" s="283"/>
      <c r="AB146" s="283"/>
      <c r="AC146" s="283"/>
      <c r="AD146" s="283"/>
      <c r="AE146" s="283"/>
      <c r="AF146" s="283"/>
      <c r="AG146" s="283"/>
      <c r="AH146" s="283"/>
      <c r="AI146" s="283"/>
      <c r="AJ146" s="283"/>
      <c r="AK146" s="283"/>
      <c r="AL146" s="283"/>
      <c r="AM146" s="283"/>
      <c r="AN146" s="283"/>
      <c r="AO146" s="283"/>
      <c r="AP146" s="283"/>
      <c r="AQ146" s="283"/>
      <c r="AR146" s="283"/>
      <c r="AS146" s="283"/>
      <c r="AT146" s="283"/>
      <c r="AU146" s="283"/>
      <c r="AV146" s="283"/>
      <c r="AW146" s="283"/>
      <c r="AX146" s="283"/>
      <c r="AY146" s="283"/>
      <c r="AZ146" s="283"/>
      <c r="BA146" s="283"/>
      <c r="BB146" s="283"/>
      <c r="BC146" s="283"/>
      <c r="BD146" s="283"/>
      <c r="BE146" s="283"/>
      <c r="BF146" s="283"/>
      <c r="BG146" s="283"/>
      <c r="BH146" s="283"/>
      <c r="BI146" s="283"/>
      <c r="BJ146" s="283"/>
      <c r="BK146" s="283"/>
      <c r="BL146" s="283"/>
      <c r="BM146" s="283"/>
      <c r="BN146" s="283"/>
      <c r="BO146" s="283"/>
      <c r="BP146" s="283"/>
      <c r="BQ146" s="283"/>
      <c r="BR146" s="283"/>
      <c r="BS146" s="283"/>
      <c r="BT146" s="283"/>
      <c r="BU146" s="283"/>
      <c r="BV146" s="283"/>
      <c r="BW146" s="283"/>
      <c r="BX146" s="283"/>
    </row>
    <row r="147" spans="3:76" hidden="1">
      <c r="C147" s="335" t="s">
        <v>351</v>
      </c>
      <c r="D147" s="511"/>
      <c r="E147" s="517">
        <f t="shared" ref="E147:AF147" si="55">E142+E143+E144+E145+E146</f>
        <v>0</v>
      </c>
      <c r="F147" s="517">
        <f t="shared" si="55"/>
        <v>0</v>
      </c>
      <c r="G147" s="517">
        <f t="shared" si="55"/>
        <v>0</v>
      </c>
      <c r="H147" s="517">
        <f t="shared" si="55"/>
        <v>0</v>
      </c>
      <c r="I147" s="517">
        <f t="shared" si="55"/>
        <v>0</v>
      </c>
      <c r="J147" s="517">
        <f t="shared" si="55"/>
        <v>0</v>
      </c>
      <c r="K147" s="517">
        <f t="shared" si="55"/>
        <v>0</v>
      </c>
      <c r="L147" s="517">
        <f t="shared" si="55"/>
        <v>0</v>
      </c>
      <c r="M147" s="517">
        <f t="shared" si="55"/>
        <v>0</v>
      </c>
      <c r="N147" s="517">
        <f t="shared" si="55"/>
        <v>0</v>
      </c>
      <c r="O147" s="517">
        <f t="shared" si="55"/>
        <v>0</v>
      </c>
      <c r="P147" s="517">
        <f t="shared" si="55"/>
        <v>0</v>
      </c>
      <c r="Q147" s="517">
        <f t="shared" si="55"/>
        <v>0</v>
      </c>
      <c r="R147" s="517">
        <f t="shared" si="55"/>
        <v>0</v>
      </c>
      <c r="S147" s="517">
        <f t="shared" si="55"/>
        <v>0</v>
      </c>
      <c r="T147" s="517">
        <f t="shared" si="55"/>
        <v>0</v>
      </c>
      <c r="U147" s="517">
        <f t="shared" si="55"/>
        <v>0</v>
      </c>
      <c r="V147" s="517">
        <f t="shared" si="55"/>
        <v>0</v>
      </c>
      <c r="W147" s="517">
        <f t="shared" si="55"/>
        <v>0</v>
      </c>
      <c r="X147" s="517">
        <f t="shared" si="55"/>
        <v>0</v>
      </c>
      <c r="Y147" s="517">
        <f t="shared" si="55"/>
        <v>0</v>
      </c>
      <c r="Z147" s="517">
        <f t="shared" si="55"/>
        <v>0</v>
      </c>
      <c r="AA147" s="517">
        <f t="shared" si="55"/>
        <v>0</v>
      </c>
      <c r="AB147" s="517">
        <f t="shared" si="55"/>
        <v>0</v>
      </c>
      <c r="AC147" s="517">
        <f t="shared" si="55"/>
        <v>0</v>
      </c>
      <c r="AD147" s="517">
        <f t="shared" si="55"/>
        <v>0</v>
      </c>
      <c r="AE147" s="517">
        <f t="shared" si="55"/>
        <v>0</v>
      </c>
      <c r="AF147" s="517">
        <f t="shared" si="55"/>
        <v>0</v>
      </c>
      <c r="AG147" s="517"/>
      <c r="AH147" s="517"/>
      <c r="AI147" s="517"/>
      <c r="AJ147" s="517"/>
      <c r="AK147" s="517">
        <f t="shared" ref="AK147:BX147" si="56">AK142+AK143+AK144+AK145+AK146</f>
        <v>0</v>
      </c>
      <c r="AL147" s="517">
        <f t="shared" si="56"/>
        <v>0</v>
      </c>
      <c r="AM147" s="517">
        <f t="shared" si="56"/>
        <v>0</v>
      </c>
      <c r="AN147" s="517">
        <f t="shared" si="56"/>
        <v>0</v>
      </c>
      <c r="AO147" s="517">
        <f t="shared" si="56"/>
        <v>0</v>
      </c>
      <c r="AP147" s="517">
        <f t="shared" si="56"/>
        <v>0</v>
      </c>
      <c r="AQ147" s="517">
        <f t="shared" si="56"/>
        <v>0</v>
      </c>
      <c r="AR147" s="517">
        <f t="shared" si="56"/>
        <v>0</v>
      </c>
      <c r="AS147" s="517">
        <f t="shared" si="56"/>
        <v>0</v>
      </c>
      <c r="AT147" s="517">
        <f t="shared" si="56"/>
        <v>0</v>
      </c>
      <c r="AU147" s="517">
        <f t="shared" si="56"/>
        <v>0</v>
      </c>
      <c r="AV147" s="517">
        <f t="shared" si="56"/>
        <v>0</v>
      </c>
      <c r="AW147" s="517">
        <f t="shared" si="56"/>
        <v>0</v>
      </c>
      <c r="AX147" s="517">
        <f t="shared" si="56"/>
        <v>0</v>
      </c>
      <c r="AY147" s="517">
        <f t="shared" si="56"/>
        <v>0</v>
      </c>
      <c r="AZ147" s="517">
        <f t="shared" si="56"/>
        <v>0</v>
      </c>
      <c r="BA147" s="517">
        <f t="shared" si="56"/>
        <v>0</v>
      </c>
      <c r="BB147" s="517">
        <f t="shared" si="56"/>
        <v>0</v>
      </c>
      <c r="BC147" s="517">
        <f t="shared" si="56"/>
        <v>0</v>
      </c>
      <c r="BD147" s="517">
        <f t="shared" si="56"/>
        <v>0</v>
      </c>
      <c r="BE147" s="517">
        <f t="shared" si="56"/>
        <v>0</v>
      </c>
      <c r="BF147" s="517">
        <f t="shared" si="56"/>
        <v>0</v>
      </c>
      <c r="BG147" s="517">
        <f t="shared" si="56"/>
        <v>0</v>
      </c>
      <c r="BH147" s="517">
        <f t="shared" si="56"/>
        <v>0</v>
      </c>
      <c r="BI147" s="517">
        <f t="shared" si="56"/>
        <v>0</v>
      </c>
      <c r="BJ147" s="517">
        <f t="shared" si="56"/>
        <v>0</v>
      </c>
      <c r="BK147" s="517">
        <f t="shared" si="56"/>
        <v>0</v>
      </c>
      <c r="BL147" s="517">
        <f t="shared" si="56"/>
        <v>0</v>
      </c>
      <c r="BM147" s="517">
        <f t="shared" si="56"/>
        <v>0</v>
      </c>
      <c r="BN147" s="517">
        <f t="shared" si="56"/>
        <v>0</v>
      </c>
      <c r="BO147" s="517">
        <f t="shared" si="56"/>
        <v>0</v>
      </c>
      <c r="BP147" s="517">
        <f t="shared" si="56"/>
        <v>0</v>
      </c>
      <c r="BQ147" s="517">
        <f t="shared" si="56"/>
        <v>0</v>
      </c>
      <c r="BR147" s="517">
        <f t="shared" si="56"/>
        <v>0</v>
      </c>
      <c r="BS147" s="517">
        <f t="shared" si="56"/>
        <v>0</v>
      </c>
      <c r="BT147" s="517">
        <f t="shared" si="56"/>
        <v>0</v>
      </c>
      <c r="BU147" s="517">
        <f t="shared" si="56"/>
        <v>0</v>
      </c>
      <c r="BV147" s="517">
        <f t="shared" si="56"/>
        <v>0</v>
      </c>
      <c r="BW147" s="517">
        <f t="shared" si="56"/>
        <v>0</v>
      </c>
      <c r="BX147" s="517" t="e">
        <f t="shared" si="56"/>
        <v>#NUM!</v>
      </c>
    </row>
    <row r="148" spans="3:76" hidden="1">
      <c r="C148" s="336"/>
      <c r="D148" s="518" t="s">
        <v>359</v>
      </c>
      <c r="E148" s="522">
        <f>E147</f>
        <v>0</v>
      </c>
      <c r="F148" s="522">
        <f t="shared" ref="F148:AF148" si="57">E148+F147</f>
        <v>0</v>
      </c>
      <c r="G148" s="522">
        <f t="shared" si="57"/>
        <v>0</v>
      </c>
      <c r="H148" s="522">
        <f t="shared" si="57"/>
        <v>0</v>
      </c>
      <c r="I148" s="522">
        <f t="shared" si="57"/>
        <v>0</v>
      </c>
      <c r="J148" s="522">
        <f t="shared" si="57"/>
        <v>0</v>
      </c>
      <c r="K148" s="522">
        <f t="shared" si="57"/>
        <v>0</v>
      </c>
      <c r="L148" s="522">
        <f t="shared" si="57"/>
        <v>0</v>
      </c>
      <c r="M148" s="522">
        <f t="shared" si="57"/>
        <v>0</v>
      </c>
      <c r="N148" s="522">
        <f t="shared" si="57"/>
        <v>0</v>
      </c>
      <c r="O148" s="522">
        <f t="shared" si="57"/>
        <v>0</v>
      </c>
      <c r="P148" s="522">
        <f t="shared" si="57"/>
        <v>0</v>
      </c>
      <c r="Q148" s="522">
        <f t="shared" si="57"/>
        <v>0</v>
      </c>
      <c r="R148" s="522">
        <f t="shared" si="57"/>
        <v>0</v>
      </c>
      <c r="S148" s="522">
        <f t="shared" si="57"/>
        <v>0</v>
      </c>
      <c r="T148" s="522">
        <f t="shared" si="57"/>
        <v>0</v>
      </c>
      <c r="U148" s="522">
        <f t="shared" si="57"/>
        <v>0</v>
      </c>
      <c r="V148" s="522">
        <f t="shared" si="57"/>
        <v>0</v>
      </c>
      <c r="W148" s="522">
        <f t="shared" si="57"/>
        <v>0</v>
      </c>
      <c r="X148" s="522">
        <f t="shared" si="57"/>
        <v>0</v>
      </c>
      <c r="Y148" s="522">
        <f t="shared" si="57"/>
        <v>0</v>
      </c>
      <c r="Z148" s="522">
        <f t="shared" si="57"/>
        <v>0</v>
      </c>
      <c r="AA148" s="522">
        <f t="shared" si="57"/>
        <v>0</v>
      </c>
      <c r="AB148" s="522">
        <f t="shared" si="57"/>
        <v>0</v>
      </c>
      <c r="AC148" s="522">
        <f t="shared" si="57"/>
        <v>0</v>
      </c>
      <c r="AD148" s="522">
        <f t="shared" si="57"/>
        <v>0</v>
      </c>
      <c r="AE148" s="522">
        <f t="shared" si="57"/>
        <v>0</v>
      </c>
      <c r="AF148" s="522">
        <f t="shared" si="57"/>
        <v>0</v>
      </c>
      <c r="AG148" s="522"/>
      <c r="AH148" s="522"/>
      <c r="AI148" s="522"/>
      <c r="AJ148" s="522"/>
      <c r="AK148" s="522">
        <f t="shared" ref="AK148:BX148" si="58">AJ148+AK147</f>
        <v>0</v>
      </c>
      <c r="AL148" s="522">
        <f t="shared" si="58"/>
        <v>0</v>
      </c>
      <c r="AM148" s="522">
        <f t="shared" si="58"/>
        <v>0</v>
      </c>
      <c r="AN148" s="522">
        <f t="shared" si="58"/>
        <v>0</v>
      </c>
      <c r="AO148" s="522">
        <f t="shared" si="58"/>
        <v>0</v>
      </c>
      <c r="AP148" s="522">
        <f t="shared" si="58"/>
        <v>0</v>
      </c>
      <c r="AQ148" s="522">
        <f t="shared" si="58"/>
        <v>0</v>
      </c>
      <c r="AR148" s="522">
        <f t="shared" si="58"/>
        <v>0</v>
      </c>
      <c r="AS148" s="522">
        <f t="shared" si="58"/>
        <v>0</v>
      </c>
      <c r="AT148" s="522">
        <f t="shared" si="58"/>
        <v>0</v>
      </c>
      <c r="AU148" s="522">
        <f t="shared" si="58"/>
        <v>0</v>
      </c>
      <c r="AV148" s="522">
        <f t="shared" si="58"/>
        <v>0</v>
      </c>
      <c r="AW148" s="522">
        <f t="shared" si="58"/>
        <v>0</v>
      </c>
      <c r="AX148" s="522">
        <f t="shared" si="58"/>
        <v>0</v>
      </c>
      <c r="AY148" s="522">
        <f t="shared" si="58"/>
        <v>0</v>
      </c>
      <c r="AZ148" s="522">
        <f t="shared" si="58"/>
        <v>0</v>
      </c>
      <c r="BA148" s="522">
        <f t="shared" si="58"/>
        <v>0</v>
      </c>
      <c r="BB148" s="522">
        <f t="shared" si="58"/>
        <v>0</v>
      </c>
      <c r="BC148" s="522">
        <f t="shared" si="58"/>
        <v>0</v>
      </c>
      <c r="BD148" s="522">
        <f t="shared" si="58"/>
        <v>0</v>
      </c>
      <c r="BE148" s="522">
        <f t="shared" si="58"/>
        <v>0</v>
      </c>
      <c r="BF148" s="522">
        <f t="shared" si="58"/>
        <v>0</v>
      </c>
      <c r="BG148" s="522">
        <f t="shared" si="58"/>
        <v>0</v>
      </c>
      <c r="BH148" s="522">
        <f t="shared" si="58"/>
        <v>0</v>
      </c>
      <c r="BI148" s="522">
        <f t="shared" si="58"/>
        <v>0</v>
      </c>
      <c r="BJ148" s="522">
        <f t="shared" si="58"/>
        <v>0</v>
      </c>
      <c r="BK148" s="522">
        <f t="shared" si="58"/>
        <v>0</v>
      </c>
      <c r="BL148" s="522">
        <f t="shared" si="58"/>
        <v>0</v>
      </c>
      <c r="BM148" s="522">
        <f t="shared" si="58"/>
        <v>0</v>
      </c>
      <c r="BN148" s="522">
        <f t="shared" si="58"/>
        <v>0</v>
      </c>
      <c r="BO148" s="522">
        <f t="shared" si="58"/>
        <v>0</v>
      </c>
      <c r="BP148" s="522">
        <f t="shared" si="58"/>
        <v>0</v>
      </c>
      <c r="BQ148" s="522">
        <f t="shared" si="58"/>
        <v>0</v>
      </c>
      <c r="BR148" s="522">
        <f t="shared" si="58"/>
        <v>0</v>
      </c>
      <c r="BS148" s="522">
        <f t="shared" si="58"/>
        <v>0</v>
      </c>
      <c r="BT148" s="522">
        <f t="shared" si="58"/>
        <v>0</v>
      </c>
      <c r="BU148" s="522">
        <f t="shared" si="58"/>
        <v>0</v>
      </c>
      <c r="BV148" s="522">
        <f t="shared" si="58"/>
        <v>0</v>
      </c>
      <c r="BW148" s="522">
        <f t="shared" si="58"/>
        <v>0</v>
      </c>
      <c r="BX148" s="522" t="e">
        <f t="shared" si="58"/>
        <v>#NUM!</v>
      </c>
    </row>
    <row r="149" spans="3:76" hidden="1">
      <c r="C149" s="513" t="s">
        <v>352</v>
      </c>
      <c r="D149" s="518" t="e">
        <f>IRR(P147:AC147)*12</f>
        <v>#NUM!</v>
      </c>
      <c r="E149" s="265"/>
      <c r="F149" s="265"/>
      <c r="G149" s="265"/>
      <c r="H149" s="265"/>
      <c r="I149" s="265"/>
      <c r="J149" s="265"/>
      <c r="K149" s="265"/>
      <c r="L149" s="265"/>
      <c r="M149" s="265"/>
      <c r="N149" s="265"/>
      <c r="O149" s="265"/>
      <c r="P149" s="265"/>
      <c r="Q149" s="265"/>
      <c r="R149" s="265"/>
      <c r="S149" s="265"/>
      <c r="T149" s="265"/>
      <c r="U149" s="265"/>
      <c r="V149" s="265"/>
      <c r="W149" s="265"/>
      <c r="X149" s="265"/>
      <c r="Y149" s="265"/>
      <c r="Z149" s="265"/>
      <c r="AA149" s="265"/>
      <c r="AB149" s="265"/>
      <c r="AC149" s="265"/>
      <c r="AD149" s="265"/>
      <c r="AE149" s="265"/>
      <c r="AF149" s="265"/>
      <c r="AG149" s="265"/>
      <c r="AH149" s="265"/>
      <c r="AI149" s="265"/>
      <c r="AJ149" s="265"/>
      <c r="AK149" s="265"/>
      <c r="AL149" s="265"/>
      <c r="AM149" s="265"/>
      <c r="AN149" s="265"/>
      <c r="AO149" s="265"/>
      <c r="AP149" s="265"/>
      <c r="AQ149" s="265"/>
      <c r="AR149" s="265"/>
      <c r="AS149" s="265"/>
      <c r="AT149" s="265"/>
      <c r="AU149" s="265"/>
      <c r="AV149" s="265"/>
      <c r="AW149" s="265"/>
      <c r="AX149" s="265"/>
      <c r="AY149" s="265"/>
      <c r="AZ149" s="265"/>
      <c r="BA149" s="265"/>
      <c r="BB149" s="265"/>
      <c r="BC149" s="265"/>
      <c r="BD149" s="265"/>
      <c r="BE149" s="265"/>
      <c r="BF149" s="265"/>
      <c r="BG149" s="265"/>
      <c r="BH149" s="265"/>
      <c r="BI149" s="265"/>
      <c r="BJ149" s="265"/>
      <c r="BK149" s="265"/>
      <c r="BL149" s="265"/>
      <c r="BM149" s="265"/>
      <c r="BN149" s="265"/>
      <c r="BO149" s="265"/>
      <c r="BP149" s="265"/>
      <c r="BQ149" s="265"/>
      <c r="BR149" s="265"/>
      <c r="BS149" s="265"/>
      <c r="BT149" s="265"/>
      <c r="BU149" s="265"/>
      <c r="BV149" s="265"/>
      <c r="BW149" s="265"/>
      <c r="BX149" s="265"/>
    </row>
    <row r="150" spans="3:76" hidden="1">
      <c r="C150" s="519" t="s">
        <v>353</v>
      </c>
      <c r="D150" s="520">
        <f>-MIN(M148:BL148)-D151</f>
        <v>0</v>
      </c>
      <c r="E150" s="265"/>
      <c r="F150" s="265"/>
      <c r="G150" s="265"/>
      <c r="H150" s="265"/>
      <c r="I150" s="265"/>
      <c r="J150" s="265"/>
      <c r="K150" s="265"/>
      <c r="L150" s="265"/>
      <c r="M150" s="265"/>
      <c r="N150" s="265"/>
      <c r="O150" s="265"/>
      <c r="P150" s="265"/>
      <c r="Q150" s="265"/>
      <c r="R150" s="265"/>
      <c r="S150" s="265"/>
      <c r="T150" s="265"/>
      <c r="U150" s="265"/>
      <c r="V150" s="265"/>
      <c r="W150" s="265"/>
      <c r="X150" s="265"/>
      <c r="Y150" s="265"/>
      <c r="Z150" s="265"/>
      <c r="AA150" s="265"/>
      <c r="AB150" s="265"/>
      <c r="AC150" s="265"/>
      <c r="AD150" s="265"/>
      <c r="AE150" s="265"/>
      <c r="AF150" s="265"/>
      <c r="AG150" s="265"/>
      <c r="AH150" s="265"/>
      <c r="AI150" s="265"/>
      <c r="AJ150" s="265"/>
      <c r="AK150" s="265"/>
      <c r="AL150" s="265"/>
      <c r="AM150" s="265"/>
      <c r="AN150" s="265"/>
      <c r="AO150" s="265"/>
      <c r="AP150" s="265"/>
      <c r="AQ150" s="265"/>
      <c r="AR150" s="265"/>
      <c r="AS150" s="265"/>
      <c r="AT150" s="265"/>
      <c r="AU150" s="265"/>
      <c r="AV150" s="265"/>
      <c r="AW150" s="265"/>
      <c r="AX150" s="265"/>
      <c r="AY150" s="265"/>
      <c r="AZ150" s="265"/>
      <c r="BA150" s="265"/>
      <c r="BB150" s="265"/>
      <c r="BC150" s="265"/>
      <c r="BD150" s="265"/>
      <c r="BE150" s="265"/>
      <c r="BF150" s="265"/>
      <c r="BG150" s="265"/>
      <c r="BH150" s="265"/>
      <c r="BI150" s="265"/>
      <c r="BJ150" s="265"/>
      <c r="BK150" s="265"/>
      <c r="BL150" s="265"/>
      <c r="BM150" s="265"/>
      <c r="BN150" s="265"/>
      <c r="BO150" s="265"/>
      <c r="BP150" s="265"/>
      <c r="BQ150" s="265"/>
      <c r="BR150" s="265"/>
      <c r="BS150" s="265"/>
      <c r="BT150" s="265"/>
      <c r="BU150" s="265"/>
      <c r="BV150" s="265"/>
      <c r="BW150" s="265"/>
      <c r="BX150" s="265"/>
    </row>
    <row r="151" spans="3:76" hidden="1">
      <c r="C151" s="519" t="s">
        <v>360</v>
      </c>
      <c r="D151" s="520">
        <f>-SUM(M146:BB146)</f>
        <v>0</v>
      </c>
      <c r="E151" s="265"/>
      <c r="F151" s="265"/>
      <c r="G151" s="265"/>
      <c r="H151" s="265"/>
      <c r="I151" s="265"/>
      <c r="J151" s="265"/>
      <c r="K151" s="265"/>
      <c r="L151" s="265"/>
      <c r="M151" s="265"/>
      <c r="N151" s="265"/>
      <c r="O151" s="265"/>
      <c r="P151" s="265"/>
      <c r="Q151" s="265"/>
      <c r="R151" s="265"/>
      <c r="S151" s="265"/>
      <c r="T151" s="265"/>
      <c r="U151" s="265"/>
      <c r="V151" s="265"/>
      <c r="W151" s="265"/>
      <c r="X151" s="265"/>
      <c r="Y151" s="265"/>
      <c r="Z151" s="265"/>
      <c r="AA151" s="265"/>
      <c r="AB151" s="265"/>
      <c r="AC151" s="265"/>
      <c r="AD151" s="265"/>
      <c r="AE151" s="265"/>
      <c r="AF151" s="265"/>
      <c r="AG151" s="265"/>
      <c r="AH151" s="265"/>
      <c r="AI151" s="265"/>
      <c r="AJ151" s="265"/>
      <c r="AK151" s="265"/>
      <c r="AL151" s="265"/>
      <c r="AM151" s="265"/>
      <c r="AN151" s="265"/>
      <c r="AO151" s="265"/>
      <c r="AP151" s="265"/>
      <c r="AQ151" s="265"/>
      <c r="AR151" s="265"/>
      <c r="AS151" s="265"/>
      <c r="AT151" s="265"/>
      <c r="AU151" s="265"/>
      <c r="AV151" s="265"/>
      <c r="AW151" s="265"/>
      <c r="AX151" s="265"/>
      <c r="AY151" s="265"/>
      <c r="AZ151" s="265"/>
      <c r="BA151" s="265"/>
      <c r="BB151" s="265"/>
      <c r="BC151" s="265"/>
      <c r="BD151" s="265"/>
      <c r="BE151" s="265"/>
      <c r="BF151" s="265"/>
      <c r="BG151" s="265"/>
      <c r="BH151" s="265"/>
      <c r="BI151" s="265"/>
      <c r="BJ151" s="265"/>
      <c r="BK151" s="265"/>
      <c r="BL151" s="265"/>
      <c r="BM151" s="265"/>
      <c r="BN151" s="265"/>
      <c r="BO151" s="265"/>
      <c r="BP151" s="265"/>
      <c r="BQ151" s="265"/>
      <c r="BR151" s="265"/>
      <c r="BS151" s="265"/>
      <c r="BT151" s="265"/>
      <c r="BU151" s="265"/>
      <c r="BV151" s="265"/>
      <c r="BW151" s="265"/>
      <c r="BX151" s="265"/>
    </row>
    <row r="152" spans="3:76" hidden="1">
      <c r="C152" s="513" t="s">
        <v>354</v>
      </c>
      <c r="D152" s="521">
        <f>D151+D150</f>
        <v>0</v>
      </c>
      <c r="E152" s="265"/>
      <c r="F152" s="265"/>
      <c r="G152" s="265"/>
      <c r="H152" s="265"/>
      <c r="I152" s="265"/>
      <c r="J152" s="265"/>
      <c r="K152" s="265"/>
      <c r="L152" s="265"/>
      <c r="M152" s="265"/>
      <c r="N152" s="265"/>
      <c r="O152" s="265"/>
      <c r="P152" s="265"/>
      <c r="Q152" s="265"/>
      <c r="R152" s="265"/>
      <c r="S152" s="265"/>
      <c r="T152" s="265"/>
      <c r="U152" s="265"/>
      <c r="V152" s="265"/>
      <c r="W152" s="265"/>
      <c r="X152" s="265"/>
      <c r="Y152" s="265"/>
      <c r="Z152" s="265"/>
      <c r="AA152" s="265"/>
      <c r="AB152" s="265"/>
      <c r="AC152" s="281" t="e">
        <f>AC144/AC142</f>
        <v>#DIV/0!</v>
      </c>
      <c r="AD152" s="265"/>
      <c r="AE152" s="265"/>
      <c r="AF152" s="265"/>
      <c r="AG152" s="265"/>
      <c r="AH152" s="265"/>
      <c r="AI152" s="265"/>
      <c r="AJ152" s="265"/>
      <c r="AK152" s="265"/>
      <c r="AL152" s="265"/>
      <c r="AM152" s="265"/>
      <c r="AN152" s="265"/>
      <c r="AO152" s="265"/>
      <c r="AP152" s="265"/>
      <c r="AQ152" s="265"/>
      <c r="AR152" s="265"/>
      <c r="AS152" s="265"/>
      <c r="AT152" s="265"/>
      <c r="AU152" s="265"/>
      <c r="AV152" s="265"/>
      <c r="AW152" s="265"/>
      <c r="AX152" s="265"/>
      <c r="AY152" s="265"/>
      <c r="AZ152" s="265"/>
      <c r="BA152" s="265"/>
      <c r="BB152" s="265"/>
      <c r="BC152" s="265"/>
      <c r="BD152" s="265"/>
      <c r="BE152" s="265"/>
      <c r="BF152" s="265"/>
      <c r="BG152" s="265"/>
      <c r="BH152" s="265"/>
      <c r="BI152" s="265"/>
      <c r="BJ152" s="265"/>
      <c r="BK152" s="265"/>
      <c r="BL152" s="265"/>
      <c r="BM152" s="265"/>
      <c r="BN152" s="265"/>
      <c r="BO152" s="265"/>
      <c r="BP152" s="265"/>
      <c r="BQ152" s="265"/>
      <c r="BR152" s="265"/>
      <c r="BS152" s="265"/>
      <c r="BT152" s="265"/>
      <c r="BU152" s="265"/>
      <c r="BV152" s="265"/>
      <c r="BW152" s="265"/>
      <c r="BX152" s="265"/>
    </row>
    <row r="153" spans="3:76" hidden="1">
      <c r="C153" s="513" t="s">
        <v>355</v>
      </c>
      <c r="D153" s="521">
        <f>AC145+AC144</f>
        <v>0</v>
      </c>
      <c r="E153" s="265"/>
      <c r="F153" s="265"/>
      <c r="G153" s="265"/>
      <c r="H153" s="265"/>
      <c r="I153" s="265"/>
      <c r="J153" s="265"/>
      <c r="K153" s="265"/>
      <c r="L153" s="265"/>
      <c r="M153" s="265"/>
      <c r="N153" s="265"/>
      <c r="O153" s="265"/>
      <c r="P153" s="265"/>
      <c r="Q153" s="265"/>
      <c r="R153" s="265"/>
      <c r="S153" s="265"/>
      <c r="T153" s="265"/>
      <c r="U153" s="265"/>
      <c r="V153" s="265"/>
      <c r="W153" s="265"/>
      <c r="X153" s="265"/>
      <c r="Y153" s="265"/>
      <c r="Z153" s="265"/>
      <c r="AA153" s="265"/>
      <c r="AB153" s="265"/>
      <c r="AC153" s="265"/>
      <c r="AD153" s="265"/>
      <c r="AE153" s="265"/>
      <c r="AF153" s="265"/>
      <c r="AG153" s="265"/>
      <c r="AH153" s="265"/>
      <c r="AI153" s="265"/>
      <c r="AJ153" s="265"/>
      <c r="AK153" s="265"/>
      <c r="AL153" s="265"/>
      <c r="AM153" s="265"/>
      <c r="AN153" s="265"/>
      <c r="AO153" s="265"/>
      <c r="AP153" s="265"/>
      <c r="AQ153" s="265"/>
      <c r="AR153" s="265"/>
      <c r="AS153" s="265"/>
      <c r="AT153" s="265"/>
      <c r="AU153" s="265"/>
      <c r="AV153" s="265"/>
      <c r="AW153" s="265"/>
      <c r="AX153" s="265"/>
      <c r="AY153" s="265"/>
      <c r="AZ153" s="265"/>
      <c r="BA153" s="265"/>
      <c r="BB153" s="265"/>
      <c r="BC153" s="265"/>
      <c r="BD153" s="265"/>
      <c r="BE153" s="265"/>
      <c r="BF153" s="265"/>
      <c r="BG153" s="265"/>
      <c r="BH153" s="265"/>
      <c r="BI153" s="265"/>
      <c r="BJ153" s="265"/>
      <c r="BK153" s="265"/>
      <c r="BL153" s="265"/>
      <c r="BM153" s="265"/>
      <c r="BN153" s="265"/>
      <c r="BO153" s="265"/>
      <c r="BP153" s="265"/>
      <c r="BQ153" s="265"/>
      <c r="BR153" s="265"/>
      <c r="BS153" s="265"/>
      <c r="BT153" s="265"/>
      <c r="BU153" s="265"/>
      <c r="BV153" s="265"/>
      <c r="BW153" s="265"/>
      <c r="BX153" s="265"/>
    </row>
    <row r="154" spans="3:76" hidden="1">
      <c r="C154" s="513" t="s">
        <v>356</v>
      </c>
      <c r="D154" s="518" t="e">
        <f>(D153-D151)/D152</f>
        <v>#DIV/0!</v>
      </c>
      <c r="E154" s="265"/>
      <c r="F154" s="265"/>
      <c r="G154" s="265"/>
      <c r="H154" s="265"/>
      <c r="I154" s="265"/>
      <c r="J154" s="265"/>
      <c r="K154" s="265"/>
      <c r="L154" s="265"/>
      <c r="M154" s="265"/>
      <c r="N154" s="265"/>
      <c r="O154" s="265"/>
      <c r="P154" s="265"/>
      <c r="Q154" s="265"/>
      <c r="R154" s="265"/>
      <c r="S154" s="265"/>
      <c r="T154" s="265"/>
      <c r="U154" s="265"/>
      <c r="V154" s="265"/>
      <c r="W154" s="265"/>
      <c r="X154" s="265"/>
      <c r="Y154" s="265"/>
      <c r="Z154" s="265"/>
      <c r="AA154" s="265"/>
      <c r="AB154" s="265"/>
      <c r="AC154" s="265"/>
      <c r="AD154" s="265"/>
      <c r="AE154" s="265"/>
      <c r="AF154" s="265"/>
      <c r="AG154" s="265"/>
      <c r="AH154" s="265"/>
      <c r="AI154" s="265"/>
      <c r="AJ154" s="265"/>
      <c r="AK154" s="265"/>
      <c r="AL154" s="265"/>
      <c r="AM154" s="265"/>
      <c r="AN154" s="265"/>
      <c r="AO154" s="265"/>
      <c r="AP154" s="265"/>
      <c r="AQ154" s="265"/>
      <c r="AR154" s="265"/>
      <c r="AS154" s="265"/>
      <c r="AT154" s="265"/>
      <c r="AU154" s="265"/>
      <c r="AV154" s="265"/>
      <c r="AW154" s="265"/>
      <c r="AX154" s="265"/>
      <c r="AY154" s="265"/>
      <c r="AZ154" s="265"/>
      <c r="BA154" s="265"/>
      <c r="BB154" s="265"/>
      <c r="BC154" s="265"/>
      <c r="BD154" s="265"/>
      <c r="BE154" s="265"/>
      <c r="BF154" s="265"/>
      <c r="BG154" s="265"/>
      <c r="BH154" s="265"/>
      <c r="BI154" s="265"/>
      <c r="BJ154" s="265"/>
      <c r="BK154" s="265"/>
      <c r="BL154" s="265"/>
      <c r="BM154" s="265"/>
      <c r="BN154" s="265"/>
      <c r="BO154" s="265"/>
      <c r="BP154" s="265"/>
      <c r="BQ154" s="265"/>
      <c r="BR154" s="265"/>
      <c r="BS154" s="265"/>
      <c r="BT154" s="265"/>
      <c r="BU154" s="265"/>
      <c r="BV154" s="265"/>
      <c r="BW154" s="265"/>
      <c r="BX154" s="265"/>
    </row>
    <row r="155" spans="3:76" hidden="1">
      <c r="E155" s="265"/>
      <c r="F155" s="265"/>
      <c r="G155" s="265"/>
      <c r="H155" s="265"/>
      <c r="I155" s="265"/>
      <c r="J155" s="265"/>
      <c r="K155" s="265"/>
      <c r="L155" s="265"/>
      <c r="M155" s="265"/>
      <c r="N155" s="265"/>
      <c r="O155" s="265"/>
      <c r="P155" s="265"/>
      <c r="Q155" s="265"/>
      <c r="R155" s="265"/>
      <c r="S155" s="265"/>
      <c r="T155" s="265"/>
      <c r="U155" s="265"/>
      <c r="V155" s="265"/>
      <c r="W155" s="265"/>
      <c r="X155" s="265"/>
      <c r="Y155" s="265"/>
      <c r="Z155" s="265"/>
      <c r="AA155" s="265"/>
      <c r="AB155" s="265"/>
      <c r="AC155" s="265"/>
      <c r="AD155" s="265"/>
      <c r="AE155" s="265"/>
      <c r="AF155" s="265"/>
      <c r="AG155" s="265"/>
      <c r="AH155" s="265"/>
      <c r="AI155" s="265"/>
      <c r="AJ155" s="265"/>
      <c r="AK155" s="265"/>
      <c r="AL155" s="265"/>
      <c r="AM155" s="265"/>
      <c r="AN155" s="265"/>
      <c r="AO155" s="265"/>
      <c r="AP155" s="265"/>
      <c r="AQ155" s="265"/>
      <c r="AR155" s="265"/>
      <c r="AS155" s="265"/>
      <c r="AT155" s="265"/>
      <c r="AU155" s="265"/>
      <c r="AV155" s="265"/>
      <c r="AW155" s="265"/>
      <c r="AX155" s="265"/>
      <c r="AY155" s="265"/>
      <c r="AZ155" s="265"/>
      <c r="BA155" s="265"/>
      <c r="BB155" s="265"/>
      <c r="BC155" s="265"/>
      <c r="BD155" s="265"/>
      <c r="BE155" s="265"/>
      <c r="BF155" s="265"/>
      <c r="BG155" s="265"/>
      <c r="BH155" s="265"/>
      <c r="BI155" s="265"/>
      <c r="BJ155" s="265"/>
      <c r="BK155" s="265"/>
      <c r="BL155" s="265"/>
      <c r="BM155" s="265"/>
      <c r="BN155" s="265"/>
      <c r="BO155" s="265"/>
      <c r="BP155" s="265"/>
      <c r="BQ155" s="265"/>
      <c r="BR155" s="265"/>
      <c r="BS155" s="265"/>
      <c r="BT155" s="265"/>
      <c r="BU155" s="265"/>
      <c r="BV155" s="265"/>
      <c r="BW155" s="265"/>
      <c r="BX155" s="265"/>
    </row>
    <row r="156" spans="3:76" hidden="1">
      <c r="E156" s="265"/>
      <c r="F156" s="265"/>
      <c r="G156" s="265"/>
      <c r="H156" s="265"/>
      <c r="I156" s="265"/>
      <c r="J156" s="265"/>
      <c r="K156" s="265"/>
      <c r="L156" s="265"/>
      <c r="M156" s="265"/>
      <c r="N156" s="265"/>
      <c r="O156" s="265"/>
      <c r="P156" s="265"/>
      <c r="Q156" s="265"/>
      <c r="R156" s="265"/>
      <c r="S156" s="265"/>
      <c r="T156" s="265"/>
      <c r="U156" s="265"/>
      <c r="V156" s="265"/>
      <c r="W156" s="265"/>
      <c r="X156" s="265"/>
      <c r="Y156" s="265"/>
      <c r="Z156" s="265"/>
      <c r="AA156" s="265"/>
      <c r="AB156" s="265"/>
      <c r="AC156" s="265"/>
      <c r="AD156" s="265"/>
      <c r="AE156" s="265"/>
      <c r="AF156" s="265"/>
      <c r="AG156" s="265"/>
      <c r="AH156" s="265"/>
      <c r="AI156" s="265"/>
      <c r="AJ156" s="265"/>
      <c r="AK156" s="265"/>
      <c r="AL156" s="265"/>
      <c r="AM156" s="265"/>
      <c r="AN156" s="265"/>
      <c r="AO156" s="265"/>
      <c r="AP156" s="265"/>
      <c r="AQ156" s="265"/>
      <c r="AR156" s="265"/>
      <c r="AS156" s="265"/>
      <c r="AT156" s="265"/>
      <c r="AU156" s="265"/>
      <c r="AV156" s="265"/>
      <c r="AW156" s="265"/>
      <c r="AX156" s="265"/>
      <c r="AY156" s="265"/>
      <c r="AZ156" s="265"/>
      <c r="BA156" s="265"/>
      <c r="BB156" s="265"/>
      <c r="BC156" s="265"/>
      <c r="BD156" s="265"/>
      <c r="BE156" s="265"/>
      <c r="BF156" s="265"/>
      <c r="BG156" s="265"/>
      <c r="BH156" s="265"/>
      <c r="BI156" s="265"/>
      <c r="BJ156" s="265"/>
      <c r="BK156" s="265"/>
      <c r="BL156" s="265"/>
      <c r="BM156" s="265"/>
      <c r="BN156" s="265"/>
      <c r="BO156" s="265"/>
      <c r="BP156" s="265"/>
      <c r="BQ156" s="265"/>
      <c r="BR156" s="265"/>
      <c r="BS156" s="265"/>
      <c r="BT156" s="265"/>
      <c r="BU156" s="265"/>
      <c r="BV156" s="265"/>
      <c r="BW156" s="265"/>
      <c r="BX156" s="265"/>
    </row>
    <row r="157" spans="3:76" hidden="1">
      <c r="E157" s="265"/>
      <c r="F157" s="265"/>
      <c r="G157" s="265"/>
      <c r="H157" s="265"/>
      <c r="I157" s="265"/>
      <c r="J157" s="265"/>
      <c r="K157" s="265"/>
      <c r="L157" s="265"/>
      <c r="M157" s="265"/>
      <c r="N157" s="265"/>
      <c r="O157" s="265"/>
      <c r="P157" s="265"/>
      <c r="Q157" s="265"/>
      <c r="R157" s="265"/>
      <c r="S157" s="265"/>
      <c r="T157" s="265"/>
      <c r="U157" s="265"/>
      <c r="V157" s="265"/>
      <c r="W157" s="265"/>
      <c r="X157" s="265"/>
      <c r="Y157" s="265"/>
      <c r="Z157" s="265"/>
      <c r="AA157" s="265"/>
      <c r="AB157" s="265"/>
      <c r="AC157" s="265"/>
      <c r="AD157" s="265"/>
      <c r="AE157" s="265"/>
      <c r="AF157" s="265"/>
      <c r="AG157" s="265"/>
      <c r="AH157" s="265"/>
      <c r="AI157" s="265"/>
      <c r="AJ157" s="265"/>
      <c r="AK157" s="265"/>
      <c r="AL157" s="265"/>
      <c r="AM157" s="265"/>
      <c r="AN157" s="265"/>
      <c r="AO157" s="265"/>
      <c r="AP157" s="265"/>
      <c r="AQ157" s="265"/>
      <c r="AR157" s="265"/>
      <c r="AS157" s="265"/>
      <c r="AT157" s="265"/>
      <c r="AU157" s="265"/>
      <c r="AV157" s="265"/>
      <c r="AW157" s="265"/>
      <c r="AX157" s="265"/>
      <c r="AY157" s="265"/>
      <c r="AZ157" s="265"/>
      <c r="BA157" s="265"/>
      <c r="BB157" s="265"/>
      <c r="BC157" s="265"/>
      <c r="BD157" s="265"/>
      <c r="BE157" s="265"/>
      <c r="BF157" s="265"/>
      <c r="BG157" s="265"/>
      <c r="BH157" s="265"/>
      <c r="BI157" s="265"/>
      <c r="BJ157" s="265"/>
      <c r="BK157" s="265"/>
      <c r="BL157" s="265"/>
      <c r="BM157" s="265"/>
      <c r="BN157" s="265"/>
      <c r="BO157" s="265"/>
      <c r="BP157" s="265"/>
      <c r="BQ157" s="265"/>
      <c r="BR157" s="265"/>
      <c r="BS157" s="265"/>
      <c r="BT157" s="265"/>
      <c r="BU157" s="265"/>
      <c r="BV157" s="265"/>
      <c r="BW157" s="265"/>
      <c r="BX157" s="265"/>
    </row>
    <row r="158" spans="3:76" hidden="1">
      <c r="E158" s="265"/>
      <c r="F158" s="265"/>
      <c r="G158" s="265"/>
      <c r="H158" s="265"/>
      <c r="I158" s="265"/>
      <c r="J158" s="265"/>
      <c r="K158" s="265"/>
      <c r="L158" s="265"/>
      <c r="M158" s="265"/>
      <c r="N158" s="265"/>
      <c r="O158" s="265"/>
      <c r="P158" s="265"/>
      <c r="Q158" s="265"/>
      <c r="R158" s="265"/>
      <c r="S158" s="265"/>
      <c r="T158" s="265"/>
      <c r="U158" s="265"/>
      <c r="V158" s="265"/>
      <c r="W158" s="265"/>
      <c r="X158" s="265"/>
      <c r="Y158" s="265"/>
      <c r="Z158" s="265"/>
      <c r="AA158" s="265"/>
      <c r="AB158" s="265"/>
      <c r="AC158" s="265"/>
      <c r="AD158" s="265"/>
      <c r="AE158" s="265"/>
      <c r="AF158" s="265"/>
      <c r="AG158" s="265"/>
      <c r="AH158" s="265"/>
      <c r="AI158" s="265"/>
      <c r="AJ158" s="265"/>
      <c r="AK158" s="265"/>
      <c r="AL158" s="265"/>
      <c r="AM158" s="265"/>
      <c r="AN158" s="265"/>
      <c r="AO158" s="265"/>
      <c r="AP158" s="265"/>
      <c r="AQ158" s="265"/>
      <c r="AR158" s="265"/>
      <c r="AS158" s="265"/>
      <c r="AT158" s="265"/>
      <c r="AU158" s="265"/>
      <c r="AV158" s="265"/>
      <c r="AW158" s="265"/>
      <c r="AX158" s="265"/>
      <c r="AY158" s="265"/>
      <c r="AZ158" s="265"/>
      <c r="BA158" s="265"/>
      <c r="BB158" s="265"/>
      <c r="BC158" s="265"/>
      <c r="BD158" s="265"/>
      <c r="BE158" s="265"/>
      <c r="BF158" s="265"/>
      <c r="BG158" s="265"/>
      <c r="BH158" s="265"/>
      <c r="BI158" s="265"/>
      <c r="BJ158" s="265"/>
      <c r="BK158" s="265"/>
      <c r="BL158" s="265"/>
      <c r="BM158" s="265"/>
      <c r="BN158" s="265"/>
      <c r="BO158" s="265"/>
      <c r="BP158" s="265"/>
      <c r="BQ158" s="265"/>
      <c r="BR158" s="265"/>
      <c r="BS158" s="265"/>
      <c r="BT158" s="265"/>
      <c r="BU158" s="265"/>
      <c r="BV158" s="265"/>
      <c r="BW158" s="265"/>
      <c r="BX158" s="265"/>
    </row>
    <row r="159" spans="3:76" hidden="1">
      <c r="C159" s="335" t="s">
        <v>362</v>
      </c>
      <c r="D159" s="511"/>
      <c r="E159" s="512">
        <f t="shared" ref="E159:AF159" si="59">-(E8+E93)</f>
        <v>0</v>
      </c>
      <c r="F159" s="512">
        <f t="shared" si="59"/>
        <v>0</v>
      </c>
      <c r="G159" s="512">
        <f t="shared" si="59"/>
        <v>0</v>
      </c>
      <c r="H159" s="512">
        <f t="shared" si="59"/>
        <v>0</v>
      </c>
      <c r="I159" s="512">
        <f t="shared" si="59"/>
        <v>0</v>
      </c>
      <c r="J159" s="512">
        <f t="shared" si="59"/>
        <v>0</v>
      </c>
      <c r="K159" s="512">
        <f t="shared" si="59"/>
        <v>0</v>
      </c>
      <c r="L159" s="512">
        <f t="shared" si="59"/>
        <v>0</v>
      </c>
      <c r="M159" s="512">
        <f t="shared" si="59"/>
        <v>0</v>
      </c>
      <c r="N159" s="512">
        <f t="shared" si="59"/>
        <v>0</v>
      </c>
      <c r="O159" s="512">
        <f t="shared" si="59"/>
        <v>0</v>
      </c>
      <c r="P159" s="512">
        <f t="shared" si="59"/>
        <v>0</v>
      </c>
      <c r="Q159" s="512">
        <f t="shared" si="59"/>
        <v>0</v>
      </c>
      <c r="R159" s="512">
        <f t="shared" si="59"/>
        <v>0</v>
      </c>
      <c r="S159" s="512">
        <f t="shared" si="59"/>
        <v>0</v>
      </c>
      <c r="T159" s="512">
        <f t="shared" si="59"/>
        <v>0</v>
      </c>
      <c r="U159" s="512">
        <f t="shared" si="59"/>
        <v>0</v>
      </c>
      <c r="V159" s="512">
        <f t="shared" si="59"/>
        <v>0</v>
      </c>
      <c r="W159" s="512">
        <f t="shared" si="59"/>
        <v>0</v>
      </c>
      <c r="X159" s="512">
        <f t="shared" si="59"/>
        <v>0</v>
      </c>
      <c r="Y159" s="512">
        <f t="shared" si="59"/>
        <v>0</v>
      </c>
      <c r="Z159" s="512">
        <f t="shared" si="59"/>
        <v>0</v>
      </c>
      <c r="AA159" s="512">
        <f t="shared" si="59"/>
        <v>0</v>
      </c>
      <c r="AB159" s="512">
        <f t="shared" si="59"/>
        <v>0</v>
      </c>
      <c r="AC159" s="512">
        <f t="shared" si="59"/>
        <v>0</v>
      </c>
      <c r="AD159" s="512">
        <f t="shared" si="59"/>
        <v>0</v>
      </c>
      <c r="AE159" s="512">
        <f t="shared" si="59"/>
        <v>0</v>
      </c>
      <c r="AF159" s="512">
        <f t="shared" si="59"/>
        <v>0</v>
      </c>
      <c r="AG159" s="512"/>
      <c r="AH159" s="512"/>
      <c r="AI159" s="512"/>
      <c r="AJ159" s="512"/>
      <c r="AK159" s="512">
        <f t="shared" ref="AK159:BX159" si="60">-(AK8+AK93)</f>
        <v>0</v>
      </c>
      <c r="AL159" s="512">
        <f t="shared" si="60"/>
        <v>0</v>
      </c>
      <c r="AM159" s="512">
        <f t="shared" si="60"/>
        <v>0</v>
      </c>
      <c r="AN159" s="512">
        <f t="shared" si="60"/>
        <v>0</v>
      </c>
      <c r="AO159" s="512">
        <f t="shared" si="60"/>
        <v>0</v>
      </c>
      <c r="AP159" s="512">
        <f t="shared" si="60"/>
        <v>0</v>
      </c>
      <c r="AQ159" s="512">
        <f t="shared" si="60"/>
        <v>0</v>
      </c>
      <c r="AR159" s="512">
        <f t="shared" si="60"/>
        <v>0</v>
      </c>
      <c r="AS159" s="512">
        <f t="shared" si="60"/>
        <v>0</v>
      </c>
      <c r="AT159" s="512">
        <f t="shared" si="60"/>
        <v>0</v>
      </c>
      <c r="AU159" s="512">
        <f t="shared" si="60"/>
        <v>0</v>
      </c>
      <c r="AV159" s="512">
        <f t="shared" si="60"/>
        <v>0</v>
      </c>
      <c r="AW159" s="512">
        <f t="shared" si="60"/>
        <v>0</v>
      </c>
      <c r="AX159" s="512">
        <f t="shared" si="60"/>
        <v>0</v>
      </c>
      <c r="AY159" s="512">
        <f t="shared" si="60"/>
        <v>0</v>
      </c>
      <c r="AZ159" s="512">
        <f t="shared" si="60"/>
        <v>0</v>
      </c>
      <c r="BA159" s="512">
        <f t="shared" si="60"/>
        <v>0</v>
      </c>
      <c r="BB159" s="512">
        <f t="shared" si="60"/>
        <v>0</v>
      </c>
      <c r="BC159" s="512">
        <f t="shared" si="60"/>
        <v>0</v>
      </c>
      <c r="BD159" s="512">
        <f t="shared" si="60"/>
        <v>0</v>
      </c>
      <c r="BE159" s="512">
        <f t="shared" si="60"/>
        <v>0</v>
      </c>
      <c r="BF159" s="512">
        <f t="shared" si="60"/>
        <v>0</v>
      </c>
      <c r="BG159" s="512">
        <f t="shared" si="60"/>
        <v>0</v>
      </c>
      <c r="BH159" s="512">
        <f t="shared" si="60"/>
        <v>0</v>
      </c>
      <c r="BI159" s="512">
        <f t="shared" si="60"/>
        <v>0</v>
      </c>
      <c r="BJ159" s="512">
        <f t="shared" si="60"/>
        <v>0</v>
      </c>
      <c r="BK159" s="512">
        <f t="shared" si="60"/>
        <v>0</v>
      </c>
      <c r="BL159" s="512">
        <f t="shared" si="60"/>
        <v>0</v>
      </c>
      <c r="BM159" s="512">
        <f t="shared" si="60"/>
        <v>0</v>
      </c>
      <c r="BN159" s="512">
        <f t="shared" si="60"/>
        <v>0</v>
      </c>
      <c r="BO159" s="512">
        <f t="shared" si="60"/>
        <v>0</v>
      </c>
      <c r="BP159" s="512">
        <f t="shared" si="60"/>
        <v>0</v>
      </c>
      <c r="BQ159" s="512">
        <f t="shared" si="60"/>
        <v>0</v>
      </c>
      <c r="BR159" s="512">
        <f t="shared" si="60"/>
        <v>0</v>
      </c>
      <c r="BS159" s="512">
        <f t="shared" si="60"/>
        <v>0</v>
      </c>
      <c r="BT159" s="512">
        <f t="shared" si="60"/>
        <v>0</v>
      </c>
      <c r="BU159" s="512">
        <f t="shared" si="60"/>
        <v>0</v>
      </c>
      <c r="BV159" s="512">
        <f t="shared" si="60"/>
        <v>0</v>
      </c>
      <c r="BW159" s="512">
        <f t="shared" si="60"/>
        <v>0</v>
      </c>
      <c r="BX159" s="512">
        <f t="shared" si="60"/>
        <v>0</v>
      </c>
    </row>
    <row r="160" spans="3:76" hidden="1">
      <c r="C160" s="335" t="s">
        <v>358</v>
      </c>
      <c r="D160" s="516"/>
      <c r="E160" s="511"/>
      <c r="F160" s="511"/>
      <c r="G160" s="511"/>
      <c r="H160" s="511"/>
      <c r="I160" s="511"/>
      <c r="J160" s="511"/>
      <c r="K160" s="511"/>
      <c r="L160" s="511"/>
      <c r="M160" s="511"/>
      <c r="N160" s="511"/>
      <c r="O160" s="511"/>
      <c r="P160" s="511"/>
      <c r="Q160" s="511"/>
      <c r="R160" s="511"/>
      <c r="S160" s="511"/>
      <c r="T160" s="511"/>
      <c r="U160" s="511"/>
      <c r="V160" s="511"/>
      <c r="W160" s="511"/>
      <c r="X160" s="511"/>
      <c r="Y160" s="511"/>
      <c r="Z160" s="511"/>
      <c r="AA160" s="511"/>
      <c r="AB160" s="511"/>
      <c r="AC160" s="511"/>
      <c r="AD160" s="511"/>
      <c r="AE160" s="511"/>
      <c r="AF160" s="511"/>
      <c r="AG160" s="511"/>
      <c r="AH160" s="511"/>
      <c r="AI160" s="511"/>
      <c r="AJ160" s="511"/>
      <c r="AK160" s="511"/>
      <c r="AL160" s="511"/>
      <c r="AM160" s="511"/>
      <c r="AN160" s="511"/>
      <c r="AO160" s="511"/>
      <c r="AP160" s="511"/>
      <c r="AQ160" s="511"/>
      <c r="AR160" s="511"/>
      <c r="AS160" s="511"/>
      <c r="AT160" s="511"/>
      <c r="AU160" s="511"/>
      <c r="AV160" s="511"/>
      <c r="AW160" s="511"/>
      <c r="AX160" s="511"/>
      <c r="AY160" s="511"/>
      <c r="AZ160" s="511"/>
      <c r="BA160" s="511"/>
      <c r="BB160" s="511"/>
      <c r="BC160" s="512"/>
      <c r="BD160" s="511"/>
      <c r="BE160" s="511"/>
      <c r="BF160" s="511"/>
      <c r="BG160" s="511"/>
      <c r="BH160" s="511"/>
      <c r="BI160" s="511"/>
      <c r="BJ160" s="511"/>
      <c r="BK160" s="511"/>
      <c r="BL160" s="511"/>
      <c r="BM160" s="511"/>
      <c r="BN160" s="511"/>
      <c r="BO160" s="511"/>
      <c r="BP160" s="511"/>
      <c r="BQ160" s="511"/>
      <c r="BR160" s="511"/>
      <c r="BS160" s="511"/>
      <c r="BT160" s="511"/>
      <c r="BU160" s="511"/>
      <c r="BV160" s="511"/>
      <c r="BW160" s="511"/>
      <c r="BX160" s="511"/>
    </row>
    <row r="161" spans="3:76" hidden="1">
      <c r="C161" s="335" t="s">
        <v>348</v>
      </c>
      <c r="D161" s="516"/>
      <c r="E161" s="511">
        <f t="shared" ref="E161:AF161" si="61">-E58</f>
        <v>0</v>
      </c>
      <c r="F161" s="511">
        <f t="shared" si="61"/>
        <v>0</v>
      </c>
      <c r="G161" s="511">
        <f t="shared" si="61"/>
        <v>0</v>
      </c>
      <c r="H161" s="511">
        <f t="shared" si="61"/>
        <v>0</v>
      </c>
      <c r="I161" s="511">
        <f t="shared" si="61"/>
        <v>0</v>
      </c>
      <c r="J161" s="511">
        <f t="shared" si="61"/>
        <v>0</v>
      </c>
      <c r="K161" s="511">
        <f t="shared" si="61"/>
        <v>0</v>
      </c>
      <c r="L161" s="511">
        <f t="shared" si="61"/>
        <v>0</v>
      </c>
      <c r="M161" s="511">
        <f t="shared" si="61"/>
        <v>0</v>
      </c>
      <c r="N161" s="511">
        <f t="shared" si="61"/>
        <v>0</v>
      </c>
      <c r="O161" s="511">
        <f t="shared" si="61"/>
        <v>0</v>
      </c>
      <c r="P161" s="511">
        <f t="shared" si="61"/>
        <v>0</v>
      </c>
      <c r="Q161" s="511">
        <f t="shared" si="61"/>
        <v>0</v>
      </c>
      <c r="R161" s="511">
        <f t="shared" si="61"/>
        <v>0</v>
      </c>
      <c r="S161" s="511">
        <f t="shared" si="61"/>
        <v>0</v>
      </c>
      <c r="T161" s="511">
        <f t="shared" si="61"/>
        <v>0</v>
      </c>
      <c r="U161" s="511">
        <f t="shared" si="61"/>
        <v>0</v>
      </c>
      <c r="V161" s="511">
        <f t="shared" si="61"/>
        <v>0</v>
      </c>
      <c r="W161" s="511">
        <f t="shared" si="61"/>
        <v>0</v>
      </c>
      <c r="X161" s="511">
        <f t="shared" si="61"/>
        <v>0</v>
      </c>
      <c r="Y161" s="511">
        <f t="shared" si="61"/>
        <v>0</v>
      </c>
      <c r="Z161" s="511">
        <f t="shared" si="61"/>
        <v>0</v>
      </c>
      <c r="AA161" s="511">
        <f t="shared" si="61"/>
        <v>0</v>
      </c>
      <c r="AB161" s="511">
        <f t="shared" si="61"/>
        <v>0</v>
      </c>
      <c r="AC161" s="511">
        <f t="shared" si="61"/>
        <v>0</v>
      </c>
      <c r="AD161" s="511">
        <f t="shared" si="61"/>
        <v>0</v>
      </c>
      <c r="AE161" s="511">
        <f t="shared" si="61"/>
        <v>0</v>
      </c>
      <c r="AF161" s="511">
        <f t="shared" si="61"/>
        <v>0</v>
      </c>
      <c r="AG161" s="511"/>
      <c r="AH161" s="511"/>
      <c r="AI161" s="511"/>
      <c r="AJ161" s="511"/>
      <c r="AK161" s="511">
        <f t="shared" ref="AK161:BX161" si="62">-AK58</f>
        <v>0</v>
      </c>
      <c r="AL161" s="511">
        <f t="shared" si="62"/>
        <v>0</v>
      </c>
      <c r="AM161" s="511">
        <f t="shared" si="62"/>
        <v>0</v>
      </c>
      <c r="AN161" s="511">
        <f t="shared" si="62"/>
        <v>0</v>
      </c>
      <c r="AO161" s="511">
        <f t="shared" si="62"/>
        <v>0</v>
      </c>
      <c r="AP161" s="511">
        <f t="shared" si="62"/>
        <v>0</v>
      </c>
      <c r="AQ161" s="511">
        <f t="shared" si="62"/>
        <v>0</v>
      </c>
      <c r="AR161" s="511">
        <f t="shared" si="62"/>
        <v>0</v>
      </c>
      <c r="AS161" s="511">
        <f t="shared" si="62"/>
        <v>0</v>
      </c>
      <c r="AT161" s="511">
        <f t="shared" si="62"/>
        <v>0</v>
      </c>
      <c r="AU161" s="511">
        <f t="shared" si="62"/>
        <v>0</v>
      </c>
      <c r="AV161" s="511">
        <f t="shared" si="62"/>
        <v>0</v>
      </c>
      <c r="AW161" s="511">
        <f t="shared" si="62"/>
        <v>0</v>
      </c>
      <c r="AX161" s="511">
        <f t="shared" si="62"/>
        <v>0</v>
      </c>
      <c r="AY161" s="511">
        <f t="shared" si="62"/>
        <v>0</v>
      </c>
      <c r="AZ161" s="511">
        <f t="shared" si="62"/>
        <v>0</v>
      </c>
      <c r="BA161" s="511">
        <f t="shared" si="62"/>
        <v>0</v>
      </c>
      <c r="BB161" s="511">
        <f t="shared" si="62"/>
        <v>0</v>
      </c>
      <c r="BC161" s="511">
        <f t="shared" si="62"/>
        <v>0</v>
      </c>
      <c r="BD161" s="511">
        <f t="shared" si="62"/>
        <v>0</v>
      </c>
      <c r="BE161" s="511">
        <f t="shared" si="62"/>
        <v>0</v>
      </c>
      <c r="BF161" s="511">
        <f t="shared" si="62"/>
        <v>0</v>
      </c>
      <c r="BG161" s="511">
        <f t="shared" si="62"/>
        <v>0</v>
      </c>
      <c r="BH161" s="511">
        <f t="shared" si="62"/>
        <v>0</v>
      </c>
      <c r="BI161" s="511">
        <f t="shared" si="62"/>
        <v>0</v>
      </c>
      <c r="BJ161" s="511">
        <f t="shared" si="62"/>
        <v>0</v>
      </c>
      <c r="BK161" s="511">
        <f t="shared" si="62"/>
        <v>0</v>
      </c>
      <c r="BL161" s="511">
        <f t="shared" si="62"/>
        <v>0</v>
      </c>
      <c r="BM161" s="511">
        <f t="shared" si="62"/>
        <v>0</v>
      </c>
      <c r="BN161" s="511">
        <f t="shared" si="62"/>
        <v>0</v>
      </c>
      <c r="BO161" s="511">
        <f t="shared" si="62"/>
        <v>0</v>
      </c>
      <c r="BP161" s="511">
        <f t="shared" si="62"/>
        <v>0</v>
      </c>
      <c r="BQ161" s="511">
        <f t="shared" si="62"/>
        <v>0</v>
      </c>
      <c r="BR161" s="511">
        <f t="shared" si="62"/>
        <v>0</v>
      </c>
      <c r="BS161" s="511">
        <f t="shared" si="62"/>
        <v>0</v>
      </c>
      <c r="BT161" s="511">
        <f t="shared" si="62"/>
        <v>0</v>
      </c>
      <c r="BU161" s="511">
        <f t="shared" si="62"/>
        <v>0</v>
      </c>
      <c r="BV161" s="511">
        <f t="shared" si="62"/>
        <v>0</v>
      </c>
      <c r="BW161" s="511">
        <f t="shared" si="62"/>
        <v>0</v>
      </c>
      <c r="BX161" s="511">
        <f t="shared" si="62"/>
        <v>0</v>
      </c>
    </row>
    <row r="162" spans="3:76" hidden="1">
      <c r="C162" s="335" t="s">
        <v>349</v>
      </c>
      <c r="D162" s="516"/>
      <c r="E162" s="511"/>
      <c r="F162" s="511"/>
      <c r="G162" s="511"/>
      <c r="H162" s="511"/>
      <c r="I162" s="511"/>
      <c r="J162" s="511"/>
      <c r="K162" s="511"/>
      <c r="L162" s="511"/>
      <c r="M162" s="511"/>
      <c r="N162" s="511"/>
      <c r="O162" s="511"/>
      <c r="P162" s="511"/>
      <c r="Q162" s="511"/>
      <c r="R162" s="511"/>
      <c r="S162" s="511"/>
      <c r="T162" s="511"/>
      <c r="U162" s="511"/>
      <c r="V162" s="511"/>
      <c r="W162" s="511"/>
      <c r="X162" s="511"/>
      <c r="Y162" s="511"/>
      <c r="Z162" s="511"/>
      <c r="AA162" s="511"/>
      <c r="AB162" s="511"/>
      <c r="AC162" s="511"/>
      <c r="AD162" s="511"/>
      <c r="AE162" s="511"/>
      <c r="AF162" s="511"/>
      <c r="AG162" s="511"/>
      <c r="AH162" s="511"/>
      <c r="AI162" s="511"/>
      <c r="AJ162" s="511"/>
      <c r="AK162" s="511"/>
      <c r="AL162" s="511"/>
      <c r="AM162" s="511"/>
      <c r="AN162" s="511"/>
      <c r="AO162" s="511"/>
      <c r="AP162" s="511"/>
      <c r="AQ162" s="511"/>
      <c r="AR162" s="511"/>
      <c r="AS162" s="511"/>
      <c r="AT162" s="511"/>
      <c r="AU162" s="511"/>
      <c r="AV162" s="511"/>
      <c r="AW162" s="511"/>
      <c r="AX162" s="511"/>
      <c r="AY162" s="511"/>
      <c r="AZ162" s="511"/>
      <c r="BA162" s="511"/>
      <c r="BB162" s="511"/>
      <c r="BC162" s="512"/>
      <c r="BD162" s="511"/>
      <c r="BE162" s="511"/>
      <c r="BF162" s="511"/>
      <c r="BG162" s="511"/>
      <c r="BH162" s="511"/>
      <c r="BI162" s="511"/>
      <c r="BJ162" s="511"/>
      <c r="BK162" s="511"/>
      <c r="BL162" s="511"/>
      <c r="BM162" s="511"/>
      <c r="BN162" s="511"/>
      <c r="BO162" s="511"/>
      <c r="BP162" s="511"/>
      <c r="BQ162" s="511"/>
      <c r="BR162" s="511"/>
      <c r="BS162" s="511"/>
      <c r="BT162" s="511"/>
      <c r="BU162" s="511"/>
      <c r="BV162" s="511"/>
      <c r="BW162" s="511"/>
      <c r="BX162" s="511" t="e">
        <f>IF(D104&gt;0.25,(BX99-BX107)*D163,BX99*D163)</f>
        <v>#NUM!</v>
      </c>
    </row>
    <row r="163" spans="3:76" hidden="1">
      <c r="C163" s="513" t="s">
        <v>350</v>
      </c>
      <c r="D163" s="516">
        <v>0</v>
      </c>
      <c r="E163" s="511"/>
      <c r="F163" s="511"/>
      <c r="G163" s="511"/>
      <c r="H163" s="511"/>
      <c r="I163" s="511"/>
      <c r="J163" s="511"/>
      <c r="K163" s="511"/>
      <c r="L163" s="511"/>
      <c r="M163" s="511"/>
      <c r="N163" s="511"/>
      <c r="O163" s="511"/>
      <c r="P163" s="511"/>
      <c r="Q163" s="511"/>
      <c r="R163" s="511"/>
      <c r="S163" s="511"/>
      <c r="T163" s="511"/>
      <c r="U163" s="511"/>
      <c r="V163" s="511"/>
      <c r="W163" s="511"/>
      <c r="X163" s="511"/>
      <c r="Y163" s="511"/>
      <c r="Z163" s="511"/>
      <c r="AA163" s="511"/>
      <c r="AB163" s="511"/>
      <c r="AC163" s="511"/>
      <c r="AD163" s="511"/>
      <c r="AE163" s="511"/>
      <c r="AF163" s="511"/>
      <c r="AG163" s="511"/>
      <c r="AH163" s="511"/>
      <c r="AI163" s="511"/>
      <c r="AJ163" s="511"/>
      <c r="AK163" s="511"/>
      <c r="AL163" s="511"/>
      <c r="AM163" s="511"/>
      <c r="AN163" s="511"/>
      <c r="AO163" s="511"/>
      <c r="AP163" s="511"/>
      <c r="AQ163" s="511"/>
      <c r="AR163" s="511"/>
      <c r="AS163" s="511"/>
      <c r="AT163" s="511"/>
      <c r="AU163" s="511"/>
      <c r="AV163" s="511"/>
      <c r="AW163" s="511"/>
      <c r="AX163" s="511"/>
      <c r="AY163" s="511"/>
      <c r="AZ163" s="511"/>
      <c r="BA163" s="511"/>
      <c r="BB163" s="511"/>
      <c r="BC163" s="512"/>
      <c r="BD163" s="511"/>
      <c r="BE163" s="511"/>
      <c r="BF163" s="511"/>
      <c r="BG163" s="511"/>
      <c r="BH163" s="511"/>
      <c r="BI163" s="511"/>
      <c r="BJ163" s="511"/>
      <c r="BK163" s="511"/>
      <c r="BL163" s="511"/>
      <c r="BM163" s="511"/>
      <c r="BN163" s="511"/>
      <c r="BO163" s="511"/>
      <c r="BP163" s="511"/>
      <c r="BQ163" s="511"/>
      <c r="BR163" s="511"/>
      <c r="BS163" s="511"/>
      <c r="BT163" s="511"/>
      <c r="BU163" s="511"/>
      <c r="BV163" s="511"/>
      <c r="BW163" s="511"/>
      <c r="BX163" s="511"/>
    </row>
    <row r="164" spans="3:76" hidden="1">
      <c r="C164" s="335" t="s">
        <v>351</v>
      </c>
      <c r="D164" s="511"/>
      <c r="E164" s="517">
        <f t="shared" ref="E164:AF164" si="63">E159+E160+E161+E162+E163</f>
        <v>0</v>
      </c>
      <c r="F164" s="517">
        <f t="shared" si="63"/>
        <v>0</v>
      </c>
      <c r="G164" s="517">
        <f t="shared" si="63"/>
        <v>0</v>
      </c>
      <c r="H164" s="517">
        <f t="shared" si="63"/>
        <v>0</v>
      </c>
      <c r="I164" s="517">
        <f t="shared" si="63"/>
        <v>0</v>
      </c>
      <c r="J164" s="517">
        <f t="shared" si="63"/>
        <v>0</v>
      </c>
      <c r="K164" s="517">
        <f t="shared" si="63"/>
        <v>0</v>
      </c>
      <c r="L164" s="517">
        <f t="shared" si="63"/>
        <v>0</v>
      </c>
      <c r="M164" s="517">
        <f t="shared" si="63"/>
        <v>0</v>
      </c>
      <c r="N164" s="517">
        <f t="shared" si="63"/>
        <v>0</v>
      </c>
      <c r="O164" s="517">
        <f t="shared" si="63"/>
        <v>0</v>
      </c>
      <c r="P164" s="517">
        <f t="shared" si="63"/>
        <v>0</v>
      </c>
      <c r="Q164" s="517">
        <f t="shared" si="63"/>
        <v>0</v>
      </c>
      <c r="R164" s="517">
        <f t="shared" si="63"/>
        <v>0</v>
      </c>
      <c r="S164" s="517">
        <f t="shared" si="63"/>
        <v>0</v>
      </c>
      <c r="T164" s="517">
        <f t="shared" si="63"/>
        <v>0</v>
      </c>
      <c r="U164" s="517">
        <f t="shared" si="63"/>
        <v>0</v>
      </c>
      <c r="V164" s="517">
        <f t="shared" si="63"/>
        <v>0</v>
      </c>
      <c r="W164" s="517">
        <f t="shared" si="63"/>
        <v>0</v>
      </c>
      <c r="X164" s="517">
        <f t="shared" si="63"/>
        <v>0</v>
      </c>
      <c r="Y164" s="517">
        <f t="shared" si="63"/>
        <v>0</v>
      </c>
      <c r="Z164" s="517">
        <f t="shared" si="63"/>
        <v>0</v>
      </c>
      <c r="AA164" s="517">
        <f t="shared" si="63"/>
        <v>0</v>
      </c>
      <c r="AB164" s="517">
        <f t="shared" si="63"/>
        <v>0</v>
      </c>
      <c r="AC164" s="517">
        <f t="shared" si="63"/>
        <v>0</v>
      </c>
      <c r="AD164" s="517">
        <f t="shared" si="63"/>
        <v>0</v>
      </c>
      <c r="AE164" s="517">
        <f t="shared" si="63"/>
        <v>0</v>
      </c>
      <c r="AF164" s="517">
        <f t="shared" si="63"/>
        <v>0</v>
      </c>
      <c r="AG164" s="517"/>
      <c r="AH164" s="517"/>
      <c r="AI164" s="517"/>
      <c r="AJ164" s="517"/>
      <c r="AK164" s="517">
        <f t="shared" ref="AK164:BX164" si="64">AK159+AK160+AK161+AK162+AK163</f>
        <v>0</v>
      </c>
      <c r="AL164" s="517">
        <f t="shared" si="64"/>
        <v>0</v>
      </c>
      <c r="AM164" s="517">
        <f t="shared" si="64"/>
        <v>0</v>
      </c>
      <c r="AN164" s="517">
        <f t="shared" si="64"/>
        <v>0</v>
      </c>
      <c r="AO164" s="517">
        <f t="shared" si="64"/>
        <v>0</v>
      </c>
      <c r="AP164" s="517">
        <f t="shared" si="64"/>
        <v>0</v>
      </c>
      <c r="AQ164" s="517">
        <f t="shared" si="64"/>
        <v>0</v>
      </c>
      <c r="AR164" s="517">
        <f t="shared" si="64"/>
        <v>0</v>
      </c>
      <c r="AS164" s="517">
        <f t="shared" si="64"/>
        <v>0</v>
      </c>
      <c r="AT164" s="517">
        <f t="shared" si="64"/>
        <v>0</v>
      </c>
      <c r="AU164" s="517">
        <f t="shared" si="64"/>
        <v>0</v>
      </c>
      <c r="AV164" s="517">
        <f t="shared" si="64"/>
        <v>0</v>
      </c>
      <c r="AW164" s="517">
        <f t="shared" si="64"/>
        <v>0</v>
      </c>
      <c r="AX164" s="517">
        <f t="shared" si="64"/>
        <v>0</v>
      </c>
      <c r="AY164" s="517">
        <f t="shared" si="64"/>
        <v>0</v>
      </c>
      <c r="AZ164" s="517">
        <f t="shared" si="64"/>
        <v>0</v>
      </c>
      <c r="BA164" s="517">
        <f t="shared" si="64"/>
        <v>0</v>
      </c>
      <c r="BB164" s="517">
        <f t="shared" si="64"/>
        <v>0</v>
      </c>
      <c r="BC164" s="517">
        <f t="shared" si="64"/>
        <v>0</v>
      </c>
      <c r="BD164" s="517">
        <f t="shared" si="64"/>
        <v>0</v>
      </c>
      <c r="BE164" s="517">
        <f t="shared" si="64"/>
        <v>0</v>
      </c>
      <c r="BF164" s="517">
        <f t="shared" si="64"/>
        <v>0</v>
      </c>
      <c r="BG164" s="517">
        <f t="shared" si="64"/>
        <v>0</v>
      </c>
      <c r="BH164" s="517">
        <f t="shared" si="64"/>
        <v>0</v>
      </c>
      <c r="BI164" s="517">
        <f t="shared" si="64"/>
        <v>0</v>
      </c>
      <c r="BJ164" s="517">
        <f t="shared" si="64"/>
        <v>0</v>
      </c>
      <c r="BK164" s="517">
        <f t="shared" si="64"/>
        <v>0</v>
      </c>
      <c r="BL164" s="517">
        <f t="shared" si="64"/>
        <v>0</v>
      </c>
      <c r="BM164" s="517">
        <f t="shared" si="64"/>
        <v>0</v>
      </c>
      <c r="BN164" s="517">
        <f t="shared" si="64"/>
        <v>0</v>
      </c>
      <c r="BO164" s="517">
        <f t="shared" si="64"/>
        <v>0</v>
      </c>
      <c r="BP164" s="517">
        <f t="shared" si="64"/>
        <v>0</v>
      </c>
      <c r="BQ164" s="517">
        <f t="shared" si="64"/>
        <v>0</v>
      </c>
      <c r="BR164" s="517">
        <f t="shared" si="64"/>
        <v>0</v>
      </c>
      <c r="BS164" s="517">
        <f t="shared" si="64"/>
        <v>0</v>
      </c>
      <c r="BT164" s="517">
        <f t="shared" si="64"/>
        <v>0</v>
      </c>
      <c r="BU164" s="517">
        <f t="shared" si="64"/>
        <v>0</v>
      </c>
      <c r="BV164" s="517">
        <f t="shared" si="64"/>
        <v>0</v>
      </c>
      <c r="BW164" s="517">
        <f t="shared" si="64"/>
        <v>0</v>
      </c>
      <c r="BX164" s="517" t="e">
        <f t="shared" si="64"/>
        <v>#NUM!</v>
      </c>
    </row>
    <row r="165" spans="3:76" hidden="1">
      <c r="C165" s="336"/>
      <c r="D165" s="518" t="s">
        <v>359</v>
      </c>
      <c r="E165" s="522">
        <f>E164</f>
        <v>0</v>
      </c>
      <c r="F165" s="522">
        <f t="shared" ref="F165:AF165" si="65">E165+F164</f>
        <v>0</v>
      </c>
      <c r="G165" s="522">
        <f t="shared" si="65"/>
        <v>0</v>
      </c>
      <c r="H165" s="522">
        <f t="shared" si="65"/>
        <v>0</v>
      </c>
      <c r="I165" s="522">
        <f t="shared" si="65"/>
        <v>0</v>
      </c>
      <c r="J165" s="522">
        <f t="shared" si="65"/>
        <v>0</v>
      </c>
      <c r="K165" s="522">
        <f t="shared" si="65"/>
        <v>0</v>
      </c>
      <c r="L165" s="522">
        <f t="shared" si="65"/>
        <v>0</v>
      </c>
      <c r="M165" s="522">
        <f t="shared" si="65"/>
        <v>0</v>
      </c>
      <c r="N165" s="522">
        <f t="shared" si="65"/>
        <v>0</v>
      </c>
      <c r="O165" s="522">
        <f t="shared" si="65"/>
        <v>0</v>
      </c>
      <c r="P165" s="522">
        <f t="shared" si="65"/>
        <v>0</v>
      </c>
      <c r="Q165" s="522">
        <f t="shared" si="65"/>
        <v>0</v>
      </c>
      <c r="R165" s="522">
        <f t="shared" si="65"/>
        <v>0</v>
      </c>
      <c r="S165" s="522">
        <f t="shared" si="65"/>
        <v>0</v>
      </c>
      <c r="T165" s="522">
        <f t="shared" si="65"/>
        <v>0</v>
      </c>
      <c r="U165" s="522">
        <f t="shared" si="65"/>
        <v>0</v>
      </c>
      <c r="V165" s="523">
        <f t="shared" si="65"/>
        <v>0</v>
      </c>
      <c r="W165" s="523">
        <f t="shared" si="65"/>
        <v>0</v>
      </c>
      <c r="X165" s="523">
        <f t="shared" si="65"/>
        <v>0</v>
      </c>
      <c r="Y165" s="523">
        <f t="shared" si="65"/>
        <v>0</v>
      </c>
      <c r="Z165" s="523">
        <f t="shared" si="65"/>
        <v>0</v>
      </c>
      <c r="AA165" s="523">
        <f t="shared" si="65"/>
        <v>0</v>
      </c>
      <c r="AB165" s="523">
        <f t="shared" si="65"/>
        <v>0</v>
      </c>
      <c r="AC165" s="523">
        <f t="shared" si="65"/>
        <v>0</v>
      </c>
      <c r="AD165" s="523">
        <f t="shared" si="65"/>
        <v>0</v>
      </c>
      <c r="AE165" s="523">
        <f t="shared" si="65"/>
        <v>0</v>
      </c>
      <c r="AF165" s="523">
        <f t="shared" si="65"/>
        <v>0</v>
      </c>
      <c r="AG165" s="523"/>
      <c r="AH165" s="523"/>
      <c r="AI165" s="523"/>
      <c r="AJ165" s="523"/>
      <c r="AK165" s="523">
        <f t="shared" ref="AK165:BX165" si="66">AJ165+AK164</f>
        <v>0</v>
      </c>
      <c r="AL165" s="523">
        <f t="shared" si="66"/>
        <v>0</v>
      </c>
      <c r="AM165" s="523">
        <f t="shared" si="66"/>
        <v>0</v>
      </c>
      <c r="AN165" s="523">
        <f t="shared" si="66"/>
        <v>0</v>
      </c>
      <c r="AO165" s="523">
        <f t="shared" si="66"/>
        <v>0</v>
      </c>
      <c r="AP165" s="523">
        <f t="shared" si="66"/>
        <v>0</v>
      </c>
      <c r="AQ165" s="523">
        <f t="shared" si="66"/>
        <v>0</v>
      </c>
      <c r="AR165" s="523">
        <f t="shared" si="66"/>
        <v>0</v>
      </c>
      <c r="AS165" s="523">
        <f t="shared" si="66"/>
        <v>0</v>
      </c>
      <c r="AT165" s="523">
        <f t="shared" si="66"/>
        <v>0</v>
      </c>
      <c r="AU165" s="523">
        <f t="shared" si="66"/>
        <v>0</v>
      </c>
      <c r="AV165" s="523">
        <f t="shared" si="66"/>
        <v>0</v>
      </c>
      <c r="AW165" s="523">
        <f t="shared" si="66"/>
        <v>0</v>
      </c>
      <c r="AX165" s="523">
        <f t="shared" si="66"/>
        <v>0</v>
      </c>
      <c r="AY165" s="523">
        <f t="shared" si="66"/>
        <v>0</v>
      </c>
      <c r="AZ165" s="523">
        <f t="shared" si="66"/>
        <v>0</v>
      </c>
      <c r="BA165" s="523">
        <f t="shared" si="66"/>
        <v>0</v>
      </c>
      <c r="BB165" s="523">
        <f t="shared" si="66"/>
        <v>0</v>
      </c>
      <c r="BC165" s="522">
        <f t="shared" si="66"/>
        <v>0</v>
      </c>
      <c r="BD165" s="522">
        <f t="shared" si="66"/>
        <v>0</v>
      </c>
      <c r="BE165" s="522">
        <f t="shared" si="66"/>
        <v>0</v>
      </c>
      <c r="BF165" s="522">
        <f t="shared" si="66"/>
        <v>0</v>
      </c>
      <c r="BG165" s="522">
        <f t="shared" si="66"/>
        <v>0</v>
      </c>
      <c r="BH165" s="522">
        <f t="shared" si="66"/>
        <v>0</v>
      </c>
      <c r="BI165" s="522">
        <f t="shared" si="66"/>
        <v>0</v>
      </c>
      <c r="BJ165" s="522">
        <f t="shared" si="66"/>
        <v>0</v>
      </c>
      <c r="BK165" s="522">
        <f t="shared" si="66"/>
        <v>0</v>
      </c>
      <c r="BL165" s="522">
        <f t="shared" si="66"/>
        <v>0</v>
      </c>
      <c r="BM165" s="522">
        <f t="shared" si="66"/>
        <v>0</v>
      </c>
      <c r="BN165" s="522">
        <f t="shared" si="66"/>
        <v>0</v>
      </c>
      <c r="BO165" s="522">
        <f t="shared" si="66"/>
        <v>0</v>
      </c>
      <c r="BP165" s="522">
        <f t="shared" si="66"/>
        <v>0</v>
      </c>
      <c r="BQ165" s="522">
        <f t="shared" si="66"/>
        <v>0</v>
      </c>
      <c r="BR165" s="522">
        <f t="shared" si="66"/>
        <v>0</v>
      </c>
      <c r="BS165" s="522">
        <f t="shared" si="66"/>
        <v>0</v>
      </c>
      <c r="BT165" s="522">
        <f t="shared" si="66"/>
        <v>0</v>
      </c>
      <c r="BU165" s="522">
        <f t="shared" si="66"/>
        <v>0</v>
      </c>
      <c r="BV165" s="522">
        <f t="shared" si="66"/>
        <v>0</v>
      </c>
      <c r="BW165" s="522">
        <f t="shared" si="66"/>
        <v>0</v>
      </c>
      <c r="BX165" s="522" t="e">
        <f t="shared" si="66"/>
        <v>#NUM!</v>
      </c>
    </row>
    <row r="166" spans="3:76" hidden="1">
      <c r="C166" s="513" t="s">
        <v>352</v>
      </c>
      <c r="D166" s="518" t="e">
        <f>IRR(E164:BX164)*12</f>
        <v>#VALUE!</v>
      </c>
      <c r="E166" s="265"/>
      <c r="F166" s="265"/>
      <c r="G166" s="265"/>
      <c r="H166" s="265"/>
      <c r="I166" s="265"/>
      <c r="J166" s="265"/>
      <c r="K166" s="265"/>
      <c r="L166" s="265"/>
      <c r="M166" s="265"/>
      <c r="N166" s="265"/>
      <c r="O166" s="265"/>
      <c r="P166" s="265"/>
      <c r="Q166" s="265"/>
      <c r="R166" s="265"/>
      <c r="S166" s="265"/>
      <c r="T166" s="265"/>
      <c r="U166" s="265"/>
      <c r="V166" s="265"/>
      <c r="W166" s="265"/>
      <c r="X166" s="265"/>
      <c r="Y166" s="265"/>
      <c r="Z166" s="265"/>
      <c r="AA166" s="265"/>
      <c r="AB166" s="265"/>
      <c r="AC166" s="265"/>
      <c r="AD166" s="265"/>
      <c r="AE166" s="265"/>
      <c r="AF166" s="265"/>
      <c r="AG166" s="265"/>
      <c r="AH166" s="265"/>
      <c r="AI166" s="265"/>
      <c r="AJ166" s="265"/>
      <c r="AK166" s="265"/>
      <c r="AL166" s="265"/>
      <c r="AM166" s="265"/>
      <c r="AN166" s="265"/>
      <c r="AO166" s="265"/>
      <c r="AP166" s="265"/>
      <c r="AQ166" s="265"/>
      <c r="AR166" s="265"/>
      <c r="AS166" s="265"/>
      <c r="AT166" s="265"/>
      <c r="AU166" s="265"/>
      <c r="AV166" s="265"/>
      <c r="AW166" s="265"/>
      <c r="AX166" s="265"/>
      <c r="AY166" s="265"/>
      <c r="AZ166" s="265"/>
      <c r="BA166" s="265"/>
      <c r="BB166" s="265"/>
      <c r="BC166" s="265"/>
      <c r="BD166" s="265"/>
      <c r="BE166" s="265"/>
      <c r="BF166" s="265"/>
      <c r="BG166" s="265"/>
      <c r="BH166" s="265"/>
      <c r="BI166" s="265"/>
      <c r="BJ166" s="265"/>
      <c r="BK166" s="265"/>
      <c r="BL166" s="265"/>
      <c r="BM166" s="265"/>
      <c r="BN166" s="265"/>
      <c r="BO166" s="265"/>
      <c r="BP166" s="265"/>
      <c r="BQ166" s="265"/>
      <c r="BR166" s="265"/>
      <c r="BS166" s="265"/>
      <c r="BT166" s="265"/>
      <c r="BU166" s="265"/>
      <c r="BV166" s="265"/>
      <c r="BW166" s="265"/>
      <c r="BX166" s="265"/>
    </row>
    <row r="167" spans="3:76" hidden="1">
      <c r="C167" s="519" t="s">
        <v>353</v>
      </c>
      <c r="D167" s="520">
        <f>-MIN(M165:BL165)-D168</f>
        <v>0</v>
      </c>
      <c r="E167" s="265"/>
      <c r="F167" s="265"/>
      <c r="G167" s="265"/>
      <c r="H167" s="265"/>
      <c r="I167" s="265"/>
      <c r="J167" s="265"/>
      <c r="K167" s="265"/>
      <c r="L167" s="265"/>
      <c r="M167" s="265"/>
      <c r="N167" s="265"/>
      <c r="O167" s="265"/>
      <c r="P167" s="265"/>
      <c r="Q167" s="265"/>
      <c r="R167" s="265"/>
      <c r="S167" s="265"/>
      <c r="T167" s="265"/>
      <c r="U167" s="265"/>
      <c r="V167" s="265"/>
      <c r="W167" s="265"/>
      <c r="X167" s="265"/>
      <c r="Y167" s="265"/>
      <c r="Z167" s="265"/>
      <c r="AA167" s="265"/>
      <c r="AB167" s="265"/>
      <c r="AC167" s="265"/>
      <c r="AD167" s="265"/>
      <c r="AE167" s="265"/>
      <c r="AF167" s="265"/>
      <c r="AG167" s="265"/>
      <c r="AH167" s="265"/>
      <c r="AI167" s="265"/>
      <c r="AJ167" s="265"/>
      <c r="AK167" s="265"/>
      <c r="AL167" s="265"/>
      <c r="AM167" s="265"/>
      <c r="AN167" s="265"/>
      <c r="AO167" s="265"/>
      <c r="AP167" s="265"/>
      <c r="AQ167" s="265"/>
      <c r="AR167" s="265"/>
      <c r="AS167" s="265"/>
      <c r="AT167" s="265"/>
      <c r="AU167" s="265"/>
      <c r="AV167" s="265"/>
      <c r="AW167" s="265"/>
      <c r="AX167" s="265"/>
      <c r="AY167" s="265"/>
      <c r="AZ167" s="265"/>
      <c r="BA167" s="265"/>
      <c r="BB167" s="265"/>
      <c r="BC167" s="265"/>
      <c r="BD167" s="265"/>
      <c r="BE167" s="265"/>
      <c r="BF167" s="265"/>
      <c r="BG167" s="265"/>
      <c r="BH167" s="265"/>
      <c r="BI167" s="265"/>
      <c r="BJ167" s="265"/>
      <c r="BK167" s="265"/>
      <c r="BL167" s="265"/>
      <c r="BM167" s="265"/>
      <c r="BN167" s="265"/>
      <c r="BO167" s="265"/>
      <c r="BP167" s="265"/>
      <c r="BQ167" s="265"/>
      <c r="BR167" s="265"/>
      <c r="BS167" s="265"/>
      <c r="BT167" s="265"/>
      <c r="BU167" s="265"/>
      <c r="BV167" s="265"/>
      <c r="BW167" s="265"/>
      <c r="BX167" s="265"/>
    </row>
    <row r="168" spans="3:76" hidden="1">
      <c r="C168" s="519" t="s">
        <v>360</v>
      </c>
      <c r="D168" s="520">
        <f>-SUM(M163:BB163)</f>
        <v>0</v>
      </c>
      <c r="E168" s="265"/>
      <c r="F168" s="265"/>
      <c r="G168" s="265"/>
      <c r="H168" s="265"/>
      <c r="I168" s="265"/>
      <c r="J168" s="265"/>
      <c r="K168" s="265"/>
      <c r="L168" s="265"/>
      <c r="M168" s="265"/>
      <c r="N168" s="265"/>
      <c r="O168" s="265"/>
      <c r="P168" s="265"/>
      <c r="Q168" s="265"/>
      <c r="R168" s="265"/>
      <c r="S168" s="265"/>
      <c r="T168" s="265"/>
      <c r="U168" s="265"/>
      <c r="V168" s="265"/>
      <c r="W168" s="265"/>
      <c r="X168" s="265"/>
      <c r="Y168" s="265"/>
      <c r="Z168" s="265"/>
      <c r="AA168" s="265"/>
      <c r="AB168" s="265"/>
      <c r="AC168" s="265"/>
      <c r="AD168" s="265"/>
      <c r="AE168" s="265"/>
      <c r="AF168" s="265"/>
      <c r="AG168" s="265"/>
      <c r="AH168" s="265"/>
      <c r="AI168" s="265"/>
      <c r="AJ168" s="265"/>
      <c r="AK168" s="265"/>
      <c r="AL168" s="265"/>
      <c r="AM168" s="265"/>
      <c r="AN168" s="265"/>
      <c r="AO168" s="265"/>
      <c r="AP168" s="265"/>
      <c r="AQ168" s="265"/>
      <c r="AR168" s="265"/>
      <c r="AS168" s="265"/>
      <c r="AT168" s="265"/>
      <c r="AU168" s="265"/>
      <c r="AV168" s="265"/>
      <c r="AW168" s="265"/>
      <c r="AX168" s="265"/>
      <c r="AY168" s="265"/>
      <c r="AZ168" s="265"/>
      <c r="BA168" s="265"/>
      <c r="BB168" s="265"/>
      <c r="BC168" s="265"/>
      <c r="BD168" s="265"/>
      <c r="BE168" s="265"/>
      <c r="BF168" s="265"/>
      <c r="BG168" s="265"/>
      <c r="BH168" s="265"/>
      <c r="BI168" s="265"/>
      <c r="BJ168" s="265"/>
      <c r="BK168" s="265"/>
      <c r="BL168" s="265"/>
      <c r="BM168" s="265"/>
      <c r="BN168" s="265"/>
      <c r="BO168" s="265"/>
      <c r="BP168" s="265"/>
      <c r="BQ168" s="265"/>
      <c r="BR168" s="265"/>
      <c r="BS168" s="265"/>
      <c r="BT168" s="265"/>
      <c r="BU168" s="265"/>
      <c r="BV168" s="265"/>
      <c r="BW168" s="265"/>
      <c r="BX168" s="265"/>
    </row>
    <row r="169" spans="3:76" hidden="1">
      <c r="C169" s="513" t="s">
        <v>354</v>
      </c>
      <c r="D169" s="521">
        <f>D168+D167</f>
        <v>0</v>
      </c>
      <c r="E169" s="265"/>
      <c r="F169" s="265"/>
      <c r="G169" s="265"/>
      <c r="H169" s="265"/>
      <c r="I169" s="265"/>
      <c r="J169" s="265"/>
      <c r="K169" s="265"/>
      <c r="L169" s="265"/>
      <c r="M169" s="265"/>
      <c r="N169" s="265"/>
      <c r="O169" s="265"/>
      <c r="P169" s="265"/>
      <c r="Q169" s="265"/>
      <c r="R169" s="265"/>
      <c r="S169" s="265"/>
      <c r="T169" s="265"/>
      <c r="U169" s="265"/>
      <c r="V169" s="265"/>
      <c r="W169" s="265"/>
      <c r="X169" s="265"/>
      <c r="Y169" s="265"/>
      <c r="Z169" s="265"/>
      <c r="AA169" s="265"/>
      <c r="AB169" s="265"/>
      <c r="AC169" s="265"/>
      <c r="AD169" s="265"/>
      <c r="AE169" s="265"/>
      <c r="AF169" s="265"/>
      <c r="AG169" s="265"/>
      <c r="AH169" s="265"/>
      <c r="AI169" s="265"/>
      <c r="AJ169" s="265"/>
      <c r="AK169" s="265"/>
      <c r="AL169" s="265"/>
      <c r="AM169" s="265"/>
      <c r="AN169" s="265"/>
      <c r="AO169" s="265"/>
      <c r="AP169" s="265"/>
      <c r="AQ169" s="265"/>
      <c r="AR169" s="265"/>
      <c r="AS169" s="265"/>
      <c r="AT169" s="265"/>
      <c r="AU169" s="265"/>
      <c r="AV169" s="265"/>
      <c r="AW169" s="265"/>
      <c r="AX169" s="265"/>
      <c r="AY169" s="265"/>
      <c r="AZ169" s="265"/>
      <c r="BA169" s="265"/>
      <c r="BB169" s="265"/>
      <c r="BC169" s="265"/>
      <c r="BD169" s="265"/>
      <c r="BE169" s="265"/>
      <c r="BF169" s="265"/>
      <c r="BG169" s="265"/>
      <c r="BH169" s="265"/>
      <c r="BI169" s="265"/>
      <c r="BJ169" s="265"/>
      <c r="BK169" s="265"/>
      <c r="BL169" s="265"/>
      <c r="BM169" s="265"/>
      <c r="BN169" s="265"/>
      <c r="BO169" s="265"/>
      <c r="BP169" s="265"/>
      <c r="BQ169" s="265"/>
      <c r="BR169" s="265"/>
      <c r="BS169" s="265"/>
      <c r="BT169" s="265"/>
      <c r="BU169" s="265"/>
      <c r="BV169" s="265"/>
      <c r="BW169" s="265"/>
      <c r="BX169" s="265"/>
    </row>
    <row r="170" spans="3:76" hidden="1">
      <c r="C170" s="513" t="s">
        <v>355</v>
      </c>
      <c r="D170" s="521" t="e">
        <f>BX161+BX162</f>
        <v>#NUM!</v>
      </c>
      <c r="E170" s="265"/>
      <c r="F170" s="265"/>
      <c r="G170" s="265"/>
      <c r="H170" s="265"/>
      <c r="I170" s="265"/>
      <c r="J170" s="265"/>
      <c r="K170" s="265"/>
      <c r="L170" s="265"/>
      <c r="M170" s="265"/>
      <c r="N170" s="265"/>
      <c r="O170" s="265"/>
      <c r="P170" s="265"/>
      <c r="Q170" s="265"/>
      <c r="R170" s="265"/>
      <c r="S170" s="265"/>
      <c r="T170" s="265"/>
      <c r="U170" s="265"/>
      <c r="V170" s="265"/>
      <c r="W170" s="265"/>
      <c r="X170" s="265"/>
      <c r="Y170" s="265"/>
      <c r="Z170" s="265"/>
      <c r="AA170" s="265"/>
      <c r="AB170" s="265"/>
      <c r="AC170" s="265"/>
      <c r="AD170" s="265"/>
      <c r="AE170" s="265"/>
      <c r="AF170" s="265"/>
      <c r="AG170" s="265"/>
      <c r="AH170" s="265"/>
      <c r="AI170" s="265"/>
      <c r="AJ170" s="265"/>
      <c r="AK170" s="265"/>
      <c r="AL170" s="265"/>
      <c r="AM170" s="265"/>
      <c r="AN170" s="265"/>
      <c r="AO170" s="265"/>
      <c r="AP170" s="265"/>
      <c r="AQ170" s="265"/>
      <c r="AR170" s="265"/>
      <c r="AS170" s="265"/>
      <c r="AT170" s="265"/>
      <c r="AU170" s="265"/>
      <c r="AV170" s="265"/>
      <c r="AW170" s="265"/>
      <c r="AX170" s="265"/>
      <c r="AY170" s="265"/>
      <c r="AZ170" s="265"/>
      <c r="BA170" s="265"/>
      <c r="BB170" s="265"/>
      <c r="BC170" s="265"/>
      <c r="BD170" s="265"/>
      <c r="BE170" s="265"/>
      <c r="BF170" s="265"/>
      <c r="BG170" s="265"/>
      <c r="BH170" s="265"/>
      <c r="BI170" s="265"/>
      <c r="BJ170" s="265"/>
      <c r="BK170" s="265"/>
      <c r="BL170" s="265"/>
      <c r="BM170" s="265"/>
      <c r="BN170" s="265"/>
      <c r="BO170" s="265"/>
      <c r="BP170" s="265"/>
      <c r="BQ170" s="265"/>
      <c r="BR170" s="265"/>
      <c r="BS170" s="265"/>
      <c r="BT170" s="265"/>
      <c r="BU170" s="265"/>
      <c r="BV170" s="265"/>
      <c r="BW170" s="265"/>
      <c r="BX170" s="265"/>
    </row>
    <row r="171" spans="3:76" hidden="1">
      <c r="C171" s="513" t="s">
        <v>356</v>
      </c>
      <c r="D171" s="518" t="e">
        <f>(D170-D168)/D169</f>
        <v>#NUM!</v>
      </c>
      <c r="E171" s="265"/>
      <c r="F171" s="265"/>
      <c r="G171" s="265"/>
      <c r="H171" s="265"/>
      <c r="I171" s="265"/>
      <c r="J171" s="265"/>
      <c r="K171" s="265"/>
      <c r="L171" s="265"/>
      <c r="M171" s="265"/>
      <c r="N171" s="265"/>
      <c r="O171" s="265"/>
      <c r="P171" s="265"/>
      <c r="Q171" s="265"/>
      <c r="R171" s="265"/>
      <c r="S171" s="265"/>
      <c r="T171" s="265"/>
      <c r="U171" s="265"/>
      <c r="V171" s="265"/>
      <c r="W171" s="265"/>
      <c r="X171" s="265"/>
      <c r="Y171" s="265"/>
      <c r="Z171" s="265"/>
      <c r="AA171" s="265"/>
      <c r="AB171" s="265"/>
      <c r="AC171" s="265"/>
      <c r="AD171" s="265"/>
      <c r="AE171" s="265"/>
      <c r="AF171" s="265"/>
      <c r="AG171" s="265"/>
      <c r="AH171" s="265"/>
      <c r="AI171" s="265"/>
      <c r="AJ171" s="265"/>
      <c r="AK171" s="265"/>
      <c r="AL171" s="265"/>
      <c r="AM171" s="265"/>
      <c r="AN171" s="265"/>
      <c r="AO171" s="265"/>
      <c r="AP171" s="265"/>
      <c r="AQ171" s="265"/>
      <c r="AR171" s="265"/>
      <c r="AS171" s="265"/>
      <c r="AT171" s="265"/>
      <c r="AU171" s="265"/>
      <c r="AV171" s="265"/>
      <c r="AW171" s="265"/>
      <c r="AX171" s="265"/>
      <c r="AY171" s="265"/>
      <c r="AZ171" s="265"/>
      <c r="BA171" s="265"/>
      <c r="BB171" s="265"/>
      <c r="BC171" s="265"/>
      <c r="BD171" s="265"/>
      <c r="BE171" s="265"/>
      <c r="BF171" s="265"/>
      <c r="BG171" s="265"/>
      <c r="BH171" s="265"/>
      <c r="BI171" s="265"/>
      <c r="BJ171" s="265"/>
      <c r="BK171" s="265"/>
      <c r="BL171" s="265"/>
      <c r="BM171" s="265"/>
      <c r="BN171" s="265"/>
      <c r="BO171" s="265"/>
      <c r="BP171" s="265"/>
      <c r="BQ171" s="265"/>
      <c r="BR171" s="265"/>
      <c r="BS171" s="265"/>
      <c r="BT171" s="265"/>
      <c r="BU171" s="265"/>
      <c r="BV171" s="265"/>
      <c r="BW171" s="265"/>
      <c r="BX171" s="265"/>
    </row>
  </sheetData>
  <mergeCells count="32">
    <mergeCell ref="BY2:BZ4"/>
    <mergeCell ref="BZ12:BZ16"/>
    <mergeCell ref="BY89:BZ89"/>
    <mergeCell ref="BZ90:BZ96"/>
    <mergeCell ref="E2:P2"/>
    <mergeCell ref="Q2:AB2"/>
    <mergeCell ref="AC2:AN2"/>
    <mergeCell ref="AO2:AZ2"/>
    <mergeCell ref="BA2:BL2"/>
    <mergeCell ref="BY97:BZ97"/>
    <mergeCell ref="BY98:BZ98"/>
    <mergeCell ref="BZ18:BZ88"/>
    <mergeCell ref="CC18:CC88"/>
    <mergeCell ref="BZ5:BZ8"/>
    <mergeCell ref="CC5:CC8"/>
    <mergeCell ref="BZ9:BZ11"/>
    <mergeCell ref="CC9:CC11"/>
    <mergeCell ref="CC12:CC16"/>
    <mergeCell ref="BY17:BZ17"/>
    <mergeCell ref="CB17:CC17"/>
    <mergeCell ref="B98:C98"/>
    <mergeCell ref="B99:C99"/>
    <mergeCell ref="D104:E104"/>
    <mergeCell ref="D107:BW107"/>
    <mergeCell ref="B2:C4"/>
    <mergeCell ref="B5:B8"/>
    <mergeCell ref="B9:B11"/>
    <mergeCell ref="B12:B16"/>
    <mergeCell ref="B17:C17"/>
    <mergeCell ref="B97:C97"/>
    <mergeCell ref="B18:B96"/>
    <mergeCell ref="BM2:BX2"/>
  </mergeCells>
  <conditionalFormatting sqref="E18:BX18 E25:BX25 E28:BX28 E36:BX36 E39:BX39 E48:BX48 E54:BX54 E62:BX62 E86:BX86 E89:BX89">
    <cfRule type="cellIs" dxfId="7" priority="1" operator="equal">
      <formula>0</formula>
    </cfRule>
  </conditionalFormatting>
  <conditionalFormatting sqref="F112:BS115 E113 BT113:BX113 E115 BT115:BX115 E126 F126:BX129 E128 E142 M142:BX142 F142:L145 E144 M144:BX144 E161:BX161">
    <cfRule type="cellIs" dxfId="6" priority="2" operator="equal">
      <formula>0</formula>
    </cfRule>
  </conditionalFormatting>
  <dataValidations disablePrompts="1" count="1">
    <dataValidation type="list" allowBlank="1" showErrorMessage="1" sqref="CB4" xr:uid="{00000000-0002-0000-0600-000000000000}">
      <formula1>$D$3:$BX$3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B1:CD171"/>
  <sheetViews>
    <sheetView workbookViewId="0">
      <pane xSplit="3" ySplit="4" topLeftCell="V19" activePane="bottomRight" state="frozen"/>
      <selection activeCell="B2" sqref="B2:C4"/>
      <selection pane="topRight" activeCell="B2" sqref="B2:C4"/>
      <selection pane="bottomLeft" activeCell="B2" sqref="B2:C4"/>
      <selection pane="bottomRight" activeCell="B2" sqref="B2:C4"/>
    </sheetView>
  </sheetViews>
  <sheetFormatPr baseColWidth="10" defaultColWidth="12.6640625" defaultRowHeight="15" customHeight="1" outlineLevelRow="1" outlineLevelCol="2"/>
  <cols>
    <col min="1" max="1" width="2.33203125" customWidth="1"/>
    <col min="3" max="3" width="40.1640625" customWidth="1"/>
    <col min="4" max="4" width="12.6640625" outlineLevel="1"/>
    <col min="5" max="5" width="6.5" customWidth="1" outlineLevel="1"/>
    <col min="6" max="13" width="6.5" customWidth="1" outlineLevel="2"/>
    <col min="14" max="14" width="7.83203125" customWidth="1" outlineLevel="2"/>
    <col min="15" max="15" width="10.5" customWidth="1" outlineLevel="2"/>
    <col min="16" max="16" width="8.1640625" customWidth="1" outlineLevel="2"/>
    <col min="17" max="17" width="7.1640625" customWidth="1" outlineLevel="1"/>
    <col min="18" max="18" width="6.5" customWidth="1" outlineLevel="2"/>
    <col min="19" max="28" width="10.1640625" customWidth="1" outlineLevel="2"/>
    <col min="29" max="29" width="11.1640625" customWidth="1" outlineLevel="1"/>
    <col min="30" max="32" width="10.1640625" customWidth="1" outlineLevel="2"/>
    <col min="33" max="40" width="6.5" customWidth="1" outlineLevel="2"/>
    <col min="41" max="41" width="6.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2.6640625" collapsed="1"/>
    <col min="80" max="82" width="12.6640625" hidden="1" outlineLevel="1"/>
  </cols>
  <sheetData>
    <row r="1" spans="2:81">
      <c r="B1" s="266" t="s">
        <v>243</v>
      </c>
      <c r="C1" s="267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8"/>
      <c r="AD1" s="268"/>
      <c r="AE1" s="268"/>
      <c r="AF1" s="268"/>
      <c r="AG1" s="268"/>
      <c r="AH1" s="268"/>
      <c r="AI1" s="268"/>
      <c r="AJ1" s="268"/>
      <c r="AK1" s="268"/>
      <c r="AL1" s="268"/>
      <c r="AM1" s="268"/>
      <c r="AN1" s="268"/>
      <c r="AO1" s="268"/>
      <c r="AP1" s="268"/>
      <c r="AQ1" s="268"/>
      <c r="AR1" s="268"/>
      <c r="AS1" s="268"/>
      <c r="AT1" s="268"/>
      <c r="AU1" s="268"/>
      <c r="AV1" s="268"/>
      <c r="AW1" s="268"/>
      <c r="AX1" s="268"/>
      <c r="AY1" s="268"/>
      <c r="AZ1" s="268"/>
      <c r="BA1" s="268"/>
      <c r="BB1" s="268"/>
      <c r="BC1" s="268"/>
      <c r="BD1" s="268"/>
      <c r="BE1" s="268"/>
      <c r="BF1" s="268"/>
      <c r="BG1" s="268"/>
      <c r="BH1" s="268"/>
      <c r="BI1" s="268"/>
      <c r="BJ1" s="268"/>
      <c r="BK1" s="268"/>
      <c r="BL1" s="268"/>
      <c r="BM1" s="268"/>
      <c r="BN1" s="268"/>
      <c r="BO1" s="268"/>
      <c r="BP1" s="268"/>
      <c r="BQ1" s="268"/>
      <c r="BR1" s="268"/>
      <c r="BS1" s="268"/>
      <c r="BT1" s="268"/>
      <c r="BU1" s="268"/>
      <c r="BV1" s="268"/>
      <c r="BW1" s="268"/>
      <c r="BX1" s="268"/>
      <c r="BY1" s="268"/>
      <c r="BZ1" s="268"/>
      <c r="CA1" s="265"/>
      <c r="CB1" s="265"/>
      <c r="CC1" s="265"/>
    </row>
    <row r="2" spans="2:81">
      <c r="B2" s="639" t="s">
        <v>245</v>
      </c>
      <c r="C2" s="631"/>
      <c r="D2" s="470"/>
      <c r="E2" s="642">
        <v>45292</v>
      </c>
      <c r="F2" s="623"/>
      <c r="G2" s="623"/>
      <c r="H2" s="623"/>
      <c r="I2" s="623"/>
      <c r="J2" s="623"/>
      <c r="K2" s="623"/>
      <c r="L2" s="623"/>
      <c r="M2" s="623"/>
      <c r="N2" s="623"/>
      <c r="O2" s="623"/>
      <c r="P2" s="624"/>
      <c r="Q2" s="643">
        <v>2025</v>
      </c>
      <c r="R2" s="623"/>
      <c r="S2" s="623"/>
      <c r="T2" s="623"/>
      <c r="U2" s="623"/>
      <c r="V2" s="623"/>
      <c r="W2" s="623"/>
      <c r="X2" s="623"/>
      <c r="Y2" s="623"/>
      <c r="Z2" s="623"/>
      <c r="AA2" s="623"/>
      <c r="AB2" s="624"/>
      <c r="AC2" s="643">
        <v>2026</v>
      </c>
      <c r="AD2" s="623"/>
      <c r="AE2" s="623"/>
      <c r="AF2" s="623"/>
      <c r="AG2" s="623"/>
      <c r="AH2" s="623"/>
      <c r="AI2" s="623"/>
      <c r="AJ2" s="623"/>
      <c r="AK2" s="623"/>
      <c r="AL2" s="623"/>
      <c r="AM2" s="623"/>
      <c r="AN2" s="624"/>
      <c r="AO2" s="642">
        <v>46388</v>
      </c>
      <c r="AP2" s="623"/>
      <c r="AQ2" s="623"/>
      <c r="AR2" s="623"/>
      <c r="AS2" s="623"/>
      <c r="AT2" s="623"/>
      <c r="AU2" s="623"/>
      <c r="AV2" s="623"/>
      <c r="AW2" s="623"/>
      <c r="AX2" s="623"/>
      <c r="AY2" s="623"/>
      <c r="AZ2" s="624"/>
      <c r="BA2" s="642">
        <v>46753</v>
      </c>
      <c r="BB2" s="623"/>
      <c r="BC2" s="623"/>
      <c r="BD2" s="623"/>
      <c r="BE2" s="623"/>
      <c r="BF2" s="623"/>
      <c r="BG2" s="623"/>
      <c r="BH2" s="623"/>
      <c r="BI2" s="623"/>
      <c r="BJ2" s="623"/>
      <c r="BK2" s="623"/>
      <c r="BL2" s="624"/>
      <c r="BM2" s="642">
        <v>47119</v>
      </c>
      <c r="BN2" s="623"/>
      <c r="BO2" s="623"/>
      <c r="BP2" s="623"/>
      <c r="BQ2" s="623"/>
      <c r="BR2" s="623"/>
      <c r="BS2" s="623"/>
      <c r="BT2" s="623"/>
      <c r="BU2" s="623"/>
      <c r="BV2" s="623"/>
      <c r="BW2" s="623"/>
      <c r="BX2" s="624"/>
      <c r="BY2" s="644" t="s">
        <v>246</v>
      </c>
      <c r="BZ2" s="631"/>
      <c r="CA2" s="265"/>
      <c r="CB2" s="265"/>
      <c r="CC2" s="265"/>
    </row>
    <row r="3" spans="2:81">
      <c r="B3" s="640"/>
      <c r="C3" s="631"/>
      <c r="D3" s="470"/>
      <c r="E3" s="269" t="str">
        <f>IFERROR(VLOOKUP(TEXT(E4,"mm.yyyy"),HMG!$B$2:$C$1001, 2, FALSE),"")</f>
        <v>zapis KS</v>
      </c>
      <c r="F3" s="269" t="str">
        <f>IFERROR(VLOOKUP(TEXT(F4,"mm.yyyy"),HMG!$B$2:$C$1001, 2, FALSE),"")</f>
        <v/>
      </c>
      <c r="G3" s="269" t="str">
        <f>IFERROR(VLOOKUP(TEXT(G4,"mm.yyyy"),HMG!$B$2:$C$1001, 2, FALSE),"")</f>
        <v/>
      </c>
      <c r="H3" s="269" t="str">
        <f>IFERROR(VLOOKUP(TEXT(H4,"mm.yyyy"),HMG!$B$2:$C$1001, 2, FALSE),"")</f>
        <v/>
      </c>
      <c r="I3" s="269" t="str">
        <f>IFERROR(VLOOKUP(TEXT(I4,"mm.yyyy"),HMG!$B$2:$C$1001, 2, FALSE),"")</f>
        <v/>
      </c>
      <c r="J3" s="269" t="str">
        <f>IFERROR(VLOOKUP(TEXT(J4,"mm.yyyy"),HMG!$B$2:$C$1001, 2, FALSE),"")</f>
        <v/>
      </c>
      <c r="K3" s="269" t="str">
        <f>IFERROR(VLOOKUP(TEXT(K4,"mm.yyyy"),HMG!$B$2:$C$1001, 2, FALSE),"")</f>
        <v/>
      </c>
      <c r="L3" s="269" t="str">
        <f>IFERROR(VLOOKUP(TEXT(L4,"mm.yyyy"),HMG!$B$2:$C$1001, 2, FALSE),"")</f>
        <v/>
      </c>
      <c r="M3" s="269" t="str">
        <f>IFERROR(VLOOKUP(TEXT(M4,"mm.yyyy"),HMG!$B$2:$C$1001, 2, FALSE),"")</f>
        <v/>
      </c>
      <c r="N3" s="269" t="str">
        <f>IFERROR(VLOOKUP(TEXT(N4,"mm.yyyy"),HMG!$B$2:$C$1001, 2, FALSE),"")</f>
        <v/>
      </c>
      <c r="O3" s="269" t="str">
        <f>IFERROR(VLOOKUP(TEXT(O4,"mm.yyyy"),HMG!$B$2:$C$1001, 2, FALSE),"")</f>
        <v/>
      </c>
      <c r="P3" s="269" t="str">
        <f>IFERROR(VLOOKUP(TEXT(P4,"mm.yyyy"),HMG!$B$2:$C$1001, 2, FALSE),"")</f>
        <v/>
      </c>
      <c r="Q3" s="269" t="str">
        <f>IFERROR(VLOOKUP(TEXT(Q4,"mm.yyyy"),HMG!$B$2:$C$1001, 2, FALSE),"")</f>
        <v>zapis KS</v>
      </c>
      <c r="R3" s="269" t="str">
        <f>IFERROR(VLOOKUP(TEXT(R4,"mm.yyyy"),HMG!$B$2:$C$1001, 2, FALSE),"")</f>
        <v/>
      </c>
      <c r="S3" s="269" t="str">
        <f>IFERROR(VLOOKUP(TEXT(S4,"mm.yyyy"),HMG!$B$2:$C$1001, 2, FALSE),"")</f>
        <v/>
      </c>
      <c r="T3" s="269" t="str">
        <f>IFERROR(VLOOKUP(TEXT(T4,"mm.yyyy"),HMG!$B$2:$C$1001, 2, FALSE),"")</f>
        <v/>
      </c>
      <c r="U3" s="269" t="str">
        <f>IFERROR(VLOOKUP(TEXT(U4,"mm.yyyy"),HMG!$B$2:$C$1001, 2, FALSE),"")</f>
        <v/>
      </c>
      <c r="V3" s="269" t="str">
        <f>IFERROR(VLOOKUP(TEXT(V4,"mm.yyyy"),HMG!$B$2:$C$1001, 2, FALSE),"")</f>
        <v/>
      </c>
      <c r="W3" s="269" t="str">
        <f>IFERROR(VLOOKUP(TEXT(W4,"mm.yyyy"),HMG!$B$2:$C$1001, 2, FALSE),"")</f>
        <v/>
      </c>
      <c r="X3" s="269" t="str">
        <f>IFERROR(VLOOKUP(TEXT(X4,"mm.yyyy"),HMG!$B$2:$C$1001, 2, FALSE),"")</f>
        <v/>
      </c>
      <c r="Y3" s="269" t="str">
        <f>IFERROR(VLOOKUP(TEXT(Y4,"mm.yyyy"),HMG!$B$2:$C$1001, 2, FALSE),"")</f>
        <v/>
      </c>
      <c r="Z3" s="269" t="str">
        <f>IFERROR(VLOOKUP(TEXT(Z4,"mm.yyyy"),HMG!$B$2:$C$1001, 2, FALSE),"")</f>
        <v/>
      </c>
      <c r="AA3" s="269" t="str">
        <f>IFERROR(VLOOKUP(TEXT(AA4,"mm.yyyy"),HMG!$B$2:$C$1001, 2, FALSE),"")</f>
        <v/>
      </c>
      <c r="AB3" s="269" t="str">
        <f>IFERROR(VLOOKUP(TEXT(AB4,"mm.yyyy"),HMG!$B$2:$C$1001, 2, FALSE),"")</f>
        <v/>
      </c>
      <c r="AC3" s="269" t="str">
        <f>IFERROR(VLOOKUP(TEXT(AC4,"mm.yyyy"),HMG!$B$2:$C$1001, 2, FALSE),"")</f>
        <v>zapis KS</v>
      </c>
      <c r="AD3" s="269" t="str">
        <f>IFERROR(VLOOKUP(TEXT(AD4,"mm.yyyy"),HMG!$B$2:$C$1001, 2, FALSE),"")</f>
        <v/>
      </c>
      <c r="AE3" s="269" t="str">
        <f>IFERROR(VLOOKUP(TEXT(AE4,"mm.yyyy"),HMG!$B$2:$C$1001, 2, FALSE),"")</f>
        <v/>
      </c>
      <c r="AF3" s="269" t="str">
        <f>IFERROR(VLOOKUP(TEXT(AF4,"mm.yyyy"),HMG!$B$2:$C$1001, 2, FALSE),"")</f>
        <v/>
      </c>
      <c r="AG3" s="269" t="str">
        <f>IFERROR(VLOOKUP(TEXT(AG4,"mm.yyyy"),HMG!$B$2:$C$1001, 2, FALSE),"")</f>
        <v/>
      </c>
      <c r="AH3" s="269" t="str">
        <f>IFERROR(VLOOKUP(TEXT(AH4,"mm.yyyy"),HMG!$B$2:$C$1001, 2, FALSE),"")</f>
        <v/>
      </c>
      <c r="AI3" s="269" t="str">
        <f>IFERROR(VLOOKUP(TEXT(AI4,"mm.yyyy"),HMG!$B$2:$C$1001, 2, FALSE),"")</f>
        <v/>
      </c>
      <c r="AJ3" s="269" t="str">
        <f>IFERROR(VLOOKUP(TEXT(AJ4,"mm.yyyy"),HMG!$B$2:$C$1001, 2, FALSE),"")</f>
        <v/>
      </c>
      <c r="AK3" s="269" t="str">
        <f>IFERROR(VLOOKUP(TEXT(AK4,"mm.yyyy"),HMG!$B$2:$C$1001, 2, FALSE),"")</f>
        <v/>
      </c>
      <c r="AL3" s="269" t="str">
        <f>IFERROR(VLOOKUP(TEXT(AL4,"mm.yyyy"),HMG!$B$2:$C$1001, 2, FALSE),"")</f>
        <v/>
      </c>
      <c r="AM3" s="269" t="str">
        <f>IFERROR(VLOOKUP(TEXT(AM4,"mm.yyyy"),HMG!$B$2:$C$1001, 2, FALSE),"")</f>
        <v/>
      </c>
      <c r="AN3" s="269" t="str">
        <f>IFERROR(VLOOKUP(TEXT(AN4,"mm.yyyy"),HMG!$B$2:$C$1001, 2, FALSE),"")</f>
        <v/>
      </c>
      <c r="AO3" s="269" t="str">
        <f>IFERROR(VLOOKUP(TEXT(AO4,"mm.yyyy"),HMG!$B$2:$C$1001, 2, FALSE),"")</f>
        <v>zapis KS</v>
      </c>
      <c r="AP3" s="269" t="str">
        <f>IFERROR(VLOOKUP(TEXT(AP4,"mm.yyyy"),HMG!$B$2:$C$1001, 2, FALSE),"")</f>
        <v/>
      </c>
      <c r="AQ3" s="269" t="str">
        <f>IFERROR(VLOOKUP(TEXT(AQ4,"mm.yyyy"),HMG!$B$2:$C$1001, 2, FALSE),"")</f>
        <v/>
      </c>
      <c r="AR3" s="269" t="str">
        <f>IFERROR(VLOOKUP(TEXT(AR4,"mm.yyyy"),HMG!$B$2:$C$1001, 2, FALSE),"")</f>
        <v/>
      </c>
      <c r="AS3" s="269" t="str">
        <f>IFERROR(VLOOKUP(TEXT(AS4,"mm.yyyy"),HMG!$B$2:$C$1001, 2, FALSE),"")</f>
        <v/>
      </c>
      <c r="AT3" s="269" t="str">
        <f>IFERROR(VLOOKUP(TEXT(AT4,"mm.yyyy"),HMG!$B$2:$C$1001, 2, FALSE),"")</f>
        <v/>
      </c>
      <c r="AU3" s="269" t="str">
        <f>IFERROR(VLOOKUP(TEXT(AU4,"mm.yyyy"),HMG!$B$2:$C$1001, 2, FALSE),"")</f>
        <v/>
      </c>
      <c r="AV3" s="269" t="str">
        <f>IFERROR(VLOOKUP(TEXT(AV4,"mm.yyyy"),HMG!$B$2:$C$1001, 2, FALSE),"")</f>
        <v/>
      </c>
      <c r="AW3" s="269" t="str">
        <f>IFERROR(VLOOKUP(TEXT(AW4,"mm.yyyy"),HMG!$B$2:$C$1001, 2, FALSE),"")</f>
        <v/>
      </c>
      <c r="AX3" s="269" t="str">
        <f>IFERROR(VLOOKUP(TEXT(AX4,"mm.yyyy"),HMG!$B$2:$C$1001, 2, FALSE),"")</f>
        <v/>
      </c>
      <c r="AY3" s="269" t="str">
        <f>IFERROR(VLOOKUP(TEXT(AY4,"mm.yyyy"),HMG!$B$2:$C$1001, 2, FALSE),"")</f>
        <v/>
      </c>
      <c r="AZ3" s="269" t="str">
        <f>IFERROR(VLOOKUP(TEXT(AZ4,"mm.yyyy"),HMG!$B$2:$C$1001, 2, FALSE),"")</f>
        <v/>
      </c>
      <c r="BA3" s="269" t="str">
        <f>IFERROR(VLOOKUP(TEXT(BA4,"mm.yyyy"),HMG!$B$2:$C$1001, 2, FALSE),"")</f>
        <v>zapis KS</v>
      </c>
      <c r="BB3" s="269" t="str">
        <f>IFERROR(VLOOKUP(TEXT(BB4,"mm.yyyy"),HMG!$B$2:$C$1001, 2, FALSE),"")</f>
        <v/>
      </c>
      <c r="BC3" s="269" t="str">
        <f>IFERROR(VLOOKUP(TEXT(BC4,"mm.yyyy"),HMG!$B$2:$C$1001, 2, FALSE),"")</f>
        <v/>
      </c>
      <c r="BD3" s="269" t="str">
        <f>IFERROR(VLOOKUP(TEXT(BD4,"mm.yyyy"),HMG!$B$2:$C$1001, 2, FALSE),"")</f>
        <v/>
      </c>
      <c r="BE3" s="269" t="str">
        <f>IFERROR(VLOOKUP(TEXT(BE4,"mm.yyyy"),HMG!$B$2:$C$1001, 2, FALSE),"")</f>
        <v/>
      </c>
      <c r="BF3" s="269" t="str">
        <f>IFERROR(VLOOKUP(TEXT(BF4,"mm.yyyy"),HMG!$B$2:$C$1001, 2, FALSE),"")</f>
        <v/>
      </c>
      <c r="BG3" s="269" t="str">
        <f>IFERROR(VLOOKUP(TEXT(BG4,"mm.yyyy"),HMG!$B$2:$C$1001, 2, FALSE),"")</f>
        <v/>
      </c>
      <c r="BH3" s="269" t="str">
        <f>IFERROR(VLOOKUP(TEXT(BH4,"mm.yyyy"),HMG!$B$2:$C$1001, 2, FALSE),"")</f>
        <v/>
      </c>
      <c r="BI3" s="269" t="str">
        <f>IFERROR(VLOOKUP(TEXT(BI4,"mm.yyyy"),HMG!$B$2:$C$1001, 2, FALSE),"")</f>
        <v/>
      </c>
      <c r="BJ3" s="269" t="str">
        <f>IFERROR(VLOOKUP(TEXT(BJ4,"mm.yyyy"),HMG!$B$2:$C$1001, 2, FALSE),"")</f>
        <v/>
      </c>
      <c r="BK3" s="269" t="str">
        <f>IFERROR(VLOOKUP(TEXT(BK4,"mm.yyyy"),HMG!$B$2:$C$1001, 2, FALSE),"")</f>
        <v/>
      </c>
      <c r="BL3" s="269" t="str">
        <f>IFERROR(VLOOKUP(TEXT(BL4,"mm.yyyy"),HMG!$B$2:$C$1001, 2, FALSE),"")</f>
        <v/>
      </c>
      <c r="BM3" s="269" t="str">
        <f>IFERROR(VLOOKUP(TEXT(BM4,"mm.yyyy"),HMG!$B$2:$C$1001, 2, FALSE),"")</f>
        <v>zapis KS</v>
      </c>
      <c r="BN3" s="269" t="str">
        <f>IFERROR(VLOOKUP(TEXT(BN4,"mm.yyyy"),HMG!$B$2:$C$1001, 2, FALSE),"")</f>
        <v/>
      </c>
      <c r="BO3" s="269" t="str">
        <f>IFERROR(VLOOKUP(TEXT(BO4,"mm.yyyy"),HMG!$B$2:$C$1001, 2, FALSE),"")</f>
        <v/>
      </c>
      <c r="BP3" s="269" t="str">
        <f>IFERROR(VLOOKUP(TEXT(BP4,"mm.yyyy"),HMG!$B$2:$C$1001, 2, FALSE),"")</f>
        <v/>
      </c>
      <c r="BQ3" s="269" t="str">
        <f>IFERROR(VLOOKUP(TEXT(BQ4,"mm.yyyy"),HMG!$B$2:$C$1001, 2, FALSE),"")</f>
        <v/>
      </c>
      <c r="BR3" s="269" t="str">
        <f>IFERROR(VLOOKUP(TEXT(BR4,"mm.yyyy"),HMG!$B$2:$C$1001, 2, FALSE),"")</f>
        <v/>
      </c>
      <c r="BS3" s="269" t="str">
        <f>IFERROR(VLOOKUP(TEXT(BS4,"mm.yyyy"),HMG!$B$2:$C$1001, 2, FALSE),"")</f>
        <v/>
      </c>
      <c r="BT3" s="269" t="str">
        <f>IFERROR(VLOOKUP(TEXT(BT4,"mm.yyyy"),HMG!$B$2:$C$1001, 2, FALSE),"")</f>
        <v/>
      </c>
      <c r="BU3" s="269" t="str">
        <f>IFERROR(VLOOKUP(TEXT(BU4,"mm.yyyy"),HMG!$B$2:$C$1001, 2, FALSE),"")</f>
        <v/>
      </c>
      <c r="BV3" s="269" t="str">
        <f>IFERROR(VLOOKUP(TEXT(BV4,"mm.yyyy"),HMG!$B$2:$C$1001, 2, FALSE),"")</f>
        <v/>
      </c>
      <c r="BW3" s="269" t="str">
        <f>IFERROR(VLOOKUP(TEXT(BW4,"mm.yyyy"),HMG!$B$2:$C$1001, 2, FALSE),"")</f>
        <v/>
      </c>
      <c r="BX3" s="269" t="str">
        <f>IFERROR(VLOOKUP(TEXT(BX4,"mm.yyyy"),HMG!$B$2:$C$1001, 2, FALSE),"")</f>
        <v/>
      </c>
      <c r="BY3" s="640"/>
      <c r="BZ3" s="631"/>
      <c r="CA3" s="265"/>
      <c r="CB3" s="265" t="s">
        <v>247</v>
      </c>
      <c r="CC3" s="265" t="s">
        <v>248</v>
      </c>
    </row>
    <row r="4" spans="2:81">
      <c r="B4" s="641"/>
      <c r="C4" s="618"/>
      <c r="D4" s="503"/>
      <c r="E4" s="270">
        <v>45292</v>
      </c>
      <c r="F4" s="270">
        <v>45323</v>
      </c>
      <c r="G4" s="270">
        <v>45352</v>
      </c>
      <c r="H4" s="270">
        <v>45383</v>
      </c>
      <c r="I4" s="270">
        <v>45413</v>
      </c>
      <c r="J4" s="270">
        <v>45444</v>
      </c>
      <c r="K4" s="270">
        <v>45474</v>
      </c>
      <c r="L4" s="270">
        <v>45505</v>
      </c>
      <c r="M4" s="270">
        <v>45536</v>
      </c>
      <c r="N4" s="270">
        <v>45566</v>
      </c>
      <c r="O4" s="270">
        <v>45597</v>
      </c>
      <c r="P4" s="270">
        <v>45627</v>
      </c>
      <c r="Q4" s="270">
        <v>45658</v>
      </c>
      <c r="R4" s="270">
        <v>45689</v>
      </c>
      <c r="S4" s="270">
        <v>45717</v>
      </c>
      <c r="T4" s="270">
        <v>45748</v>
      </c>
      <c r="U4" s="270">
        <v>45778</v>
      </c>
      <c r="V4" s="270">
        <v>45809</v>
      </c>
      <c r="W4" s="270">
        <v>45839</v>
      </c>
      <c r="X4" s="270">
        <v>45870</v>
      </c>
      <c r="Y4" s="270">
        <v>45901</v>
      </c>
      <c r="Z4" s="270">
        <v>45931</v>
      </c>
      <c r="AA4" s="270">
        <v>45962</v>
      </c>
      <c r="AB4" s="270">
        <v>45992</v>
      </c>
      <c r="AC4" s="270">
        <v>46023</v>
      </c>
      <c r="AD4" s="270">
        <v>46054</v>
      </c>
      <c r="AE4" s="270">
        <v>46082</v>
      </c>
      <c r="AF4" s="270">
        <v>46113</v>
      </c>
      <c r="AG4" s="270">
        <v>46143</v>
      </c>
      <c r="AH4" s="270">
        <v>46174</v>
      </c>
      <c r="AI4" s="270">
        <v>46204</v>
      </c>
      <c r="AJ4" s="270">
        <v>46235</v>
      </c>
      <c r="AK4" s="270">
        <v>46266</v>
      </c>
      <c r="AL4" s="270">
        <v>46296</v>
      </c>
      <c r="AM4" s="270">
        <v>46327</v>
      </c>
      <c r="AN4" s="270">
        <v>46357</v>
      </c>
      <c r="AO4" s="270">
        <v>46388</v>
      </c>
      <c r="AP4" s="270">
        <v>46419</v>
      </c>
      <c r="AQ4" s="270">
        <v>46447</v>
      </c>
      <c r="AR4" s="270">
        <v>46478</v>
      </c>
      <c r="AS4" s="270">
        <v>46508</v>
      </c>
      <c r="AT4" s="270">
        <v>46539</v>
      </c>
      <c r="AU4" s="270">
        <v>46569</v>
      </c>
      <c r="AV4" s="270">
        <v>46600</v>
      </c>
      <c r="AW4" s="270">
        <v>46631</v>
      </c>
      <c r="AX4" s="270">
        <v>46661</v>
      </c>
      <c r="AY4" s="270">
        <v>46692</v>
      </c>
      <c r="AZ4" s="270">
        <v>46722</v>
      </c>
      <c r="BA4" s="270">
        <v>46753</v>
      </c>
      <c r="BB4" s="270">
        <v>46784</v>
      </c>
      <c r="BC4" s="270">
        <v>46813</v>
      </c>
      <c r="BD4" s="270">
        <v>46844</v>
      </c>
      <c r="BE4" s="270">
        <v>46874</v>
      </c>
      <c r="BF4" s="270">
        <v>46905</v>
      </c>
      <c r="BG4" s="270">
        <v>46935</v>
      </c>
      <c r="BH4" s="270">
        <v>46966</v>
      </c>
      <c r="BI4" s="270">
        <v>46997</v>
      </c>
      <c r="BJ4" s="270">
        <v>47027</v>
      </c>
      <c r="BK4" s="270">
        <v>47058</v>
      </c>
      <c r="BL4" s="270">
        <v>47088</v>
      </c>
      <c r="BM4" s="270">
        <v>47119</v>
      </c>
      <c r="BN4" s="270">
        <v>47150</v>
      </c>
      <c r="BO4" s="270">
        <v>47178</v>
      </c>
      <c r="BP4" s="270">
        <v>47209</v>
      </c>
      <c r="BQ4" s="270">
        <v>47239</v>
      </c>
      <c r="BR4" s="270">
        <v>47270</v>
      </c>
      <c r="BS4" s="270">
        <v>47300</v>
      </c>
      <c r="BT4" s="270">
        <v>47331</v>
      </c>
      <c r="BU4" s="270">
        <v>47362</v>
      </c>
      <c r="BV4" s="270">
        <v>47392</v>
      </c>
      <c r="BW4" s="270">
        <v>47423</v>
      </c>
      <c r="BX4" s="270">
        <v>47453</v>
      </c>
      <c r="BY4" s="641"/>
      <c r="BZ4" s="618"/>
      <c r="CA4" s="265"/>
      <c r="CB4" s="265" t="s">
        <v>70</v>
      </c>
      <c r="CC4" s="265"/>
    </row>
    <row r="5" spans="2:81">
      <c r="B5" s="628" t="s">
        <v>249</v>
      </c>
      <c r="C5" s="271" t="s">
        <v>250</v>
      </c>
      <c r="D5" s="272" t="s">
        <v>251</v>
      </c>
      <c r="E5" s="273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4"/>
      <c r="Z5" s="274"/>
      <c r="AA5" s="274"/>
      <c r="AB5" s="274"/>
      <c r="AC5" s="274"/>
      <c r="AD5" s="274"/>
      <c r="AE5" s="274"/>
      <c r="AF5" s="274"/>
      <c r="AG5" s="274"/>
      <c r="AH5" s="274"/>
      <c r="AI5" s="274"/>
      <c r="AJ5" s="274"/>
      <c r="AK5" s="274"/>
      <c r="AL5" s="274"/>
      <c r="AM5" s="274"/>
      <c r="AN5" s="274"/>
      <c r="AO5" s="274"/>
      <c r="AP5" s="274"/>
      <c r="AQ5" s="274"/>
      <c r="AR5" s="274"/>
      <c r="AS5" s="274"/>
      <c r="AT5" s="274"/>
      <c r="AU5" s="274"/>
      <c r="AV5" s="274"/>
      <c r="AW5" s="274"/>
      <c r="AX5" s="274"/>
      <c r="AY5" s="274"/>
      <c r="AZ5" s="274"/>
      <c r="BA5" s="274"/>
      <c r="BB5" s="274"/>
      <c r="BC5" s="274"/>
      <c r="BD5" s="274"/>
      <c r="BE5" s="274"/>
      <c r="BF5" s="274"/>
      <c r="BG5" s="274"/>
      <c r="BH5" s="274"/>
      <c r="BI5" s="274"/>
      <c r="BJ5" s="274"/>
      <c r="BK5" s="274"/>
      <c r="BL5" s="274"/>
      <c r="BM5" s="274"/>
      <c r="BN5" s="274"/>
      <c r="BO5" s="274"/>
      <c r="BP5" s="274"/>
      <c r="BQ5" s="274"/>
      <c r="BR5" s="274"/>
      <c r="BS5" s="274"/>
      <c r="BT5" s="274"/>
      <c r="BU5" s="274"/>
      <c r="BV5" s="274"/>
      <c r="BW5" s="274"/>
      <c r="BX5" s="275"/>
      <c r="BY5" s="276">
        <f t="shared" ref="BY5:BY16" si="0">SUM(E5:BX5)</f>
        <v>0</v>
      </c>
      <c r="BZ5" s="630">
        <f>SUM(BY5:BY8)</f>
        <v>19900000</v>
      </c>
      <c r="CA5" s="265"/>
      <c r="CB5" s="276">
        <f t="shared" ref="CB5:CB14" si="1">SUM(H5:CA5)</f>
        <v>19900000</v>
      </c>
      <c r="CC5" s="630">
        <f>SUM(CB5:CB8)</f>
        <v>59700000</v>
      </c>
    </row>
    <row r="6" spans="2:81">
      <c r="B6" s="629"/>
      <c r="C6" s="504" t="s">
        <v>252</v>
      </c>
      <c r="D6" s="272" t="s">
        <v>251</v>
      </c>
      <c r="E6" s="274"/>
      <c r="F6" s="274"/>
      <c r="G6" s="274"/>
      <c r="H6" s="274"/>
      <c r="I6" s="274"/>
      <c r="J6" s="274"/>
      <c r="K6" s="274"/>
      <c r="L6" s="274"/>
      <c r="M6" s="274"/>
      <c r="N6" s="274"/>
      <c r="O6" s="274"/>
      <c r="P6" s="274"/>
      <c r="Q6" s="274"/>
      <c r="R6" s="274"/>
      <c r="S6" s="274">
        <v>1200000</v>
      </c>
      <c r="T6" s="274">
        <v>15000000</v>
      </c>
      <c r="U6" s="274">
        <v>3700000</v>
      </c>
      <c r="V6" s="274"/>
      <c r="W6" s="274"/>
      <c r="X6" s="274"/>
      <c r="Y6" s="274"/>
      <c r="Z6" s="274"/>
      <c r="AA6" s="274"/>
      <c r="AB6" s="274"/>
      <c r="AC6" s="274"/>
      <c r="AD6" s="274"/>
      <c r="AE6" s="274"/>
      <c r="AF6" s="274"/>
      <c r="AG6" s="274"/>
      <c r="AH6" s="274"/>
      <c r="AI6" s="274"/>
      <c r="AJ6" s="274"/>
      <c r="AK6" s="274"/>
      <c r="AL6" s="274"/>
      <c r="AM6" s="274"/>
      <c r="AN6" s="274"/>
      <c r="AO6" s="274"/>
      <c r="AP6" s="274"/>
      <c r="AQ6" s="274"/>
      <c r="AR6" s="274"/>
      <c r="AS6" s="274"/>
      <c r="AT6" s="274"/>
      <c r="AU6" s="274"/>
      <c r="AV6" s="274"/>
      <c r="AW6" s="274"/>
      <c r="AX6" s="274"/>
      <c r="AY6" s="274"/>
      <c r="AZ6" s="274"/>
      <c r="BA6" s="274"/>
      <c r="BB6" s="274"/>
      <c r="BC6" s="274"/>
      <c r="BD6" s="274"/>
      <c r="BE6" s="274"/>
      <c r="BF6" s="274"/>
      <c r="BG6" s="274"/>
      <c r="BH6" s="274"/>
      <c r="BI6" s="274"/>
      <c r="BJ6" s="274"/>
      <c r="BK6" s="274"/>
      <c r="BL6" s="274"/>
      <c r="BM6" s="274"/>
      <c r="BN6" s="274"/>
      <c r="BO6" s="274"/>
      <c r="BP6" s="274"/>
      <c r="BQ6" s="274"/>
      <c r="BR6" s="274"/>
      <c r="BS6" s="274"/>
      <c r="BT6" s="274"/>
      <c r="BU6" s="274"/>
      <c r="BV6" s="274"/>
      <c r="BW6" s="274"/>
      <c r="BX6" s="271"/>
      <c r="BY6" s="276">
        <f t="shared" si="0"/>
        <v>19900000</v>
      </c>
      <c r="BZ6" s="631"/>
      <c r="CA6" s="265"/>
      <c r="CB6" s="276">
        <f t="shared" si="1"/>
        <v>39800000</v>
      </c>
      <c r="CC6" s="631"/>
    </row>
    <row r="7" spans="2:81">
      <c r="B7" s="629"/>
      <c r="C7" s="504" t="s">
        <v>253</v>
      </c>
      <c r="D7" s="272" t="s">
        <v>251</v>
      </c>
      <c r="E7" s="274"/>
      <c r="F7" s="274"/>
      <c r="G7" s="274"/>
      <c r="H7" s="274"/>
      <c r="I7" s="274"/>
      <c r="J7" s="274"/>
      <c r="K7" s="274"/>
      <c r="L7" s="274"/>
      <c r="M7" s="274"/>
      <c r="N7" s="274"/>
      <c r="O7" s="274"/>
      <c r="P7" s="274"/>
      <c r="Q7" s="274"/>
      <c r="R7" s="274"/>
      <c r="S7" s="274"/>
      <c r="T7" s="274"/>
      <c r="U7" s="274"/>
      <c r="V7" s="274"/>
      <c r="W7" s="274"/>
      <c r="X7" s="274"/>
      <c r="Y7" s="274"/>
      <c r="Z7" s="274"/>
      <c r="AA7" s="274"/>
      <c r="AB7" s="274"/>
      <c r="AC7" s="274"/>
      <c r="AD7" s="274"/>
      <c r="AE7" s="274"/>
      <c r="AF7" s="274"/>
      <c r="AG7" s="274"/>
      <c r="AH7" s="274"/>
      <c r="AI7" s="274"/>
      <c r="AJ7" s="274"/>
      <c r="AK7" s="274"/>
      <c r="AL7" s="274"/>
      <c r="AM7" s="274"/>
      <c r="AN7" s="274"/>
      <c r="AO7" s="274"/>
      <c r="AP7" s="274"/>
      <c r="AQ7" s="274"/>
      <c r="AR7" s="274"/>
      <c r="AS7" s="274"/>
      <c r="AT7" s="274"/>
      <c r="AU7" s="274"/>
      <c r="AV7" s="274"/>
      <c r="AW7" s="274"/>
      <c r="AX7" s="274"/>
      <c r="AY7" s="274"/>
      <c r="AZ7" s="274"/>
      <c r="BA7" s="274"/>
      <c r="BB7" s="274"/>
      <c r="BC7" s="274"/>
      <c r="BD7" s="274"/>
      <c r="BE7" s="274"/>
      <c r="BF7" s="274"/>
      <c r="BG7" s="274"/>
      <c r="BH7" s="274"/>
      <c r="BI7" s="274"/>
      <c r="BJ7" s="274"/>
      <c r="BK7" s="274"/>
      <c r="BL7" s="274"/>
      <c r="BM7" s="274"/>
      <c r="BN7" s="274"/>
      <c r="BO7" s="274"/>
      <c r="BP7" s="274"/>
      <c r="BQ7" s="274"/>
      <c r="BR7" s="274"/>
      <c r="BS7" s="274"/>
      <c r="BT7" s="274"/>
      <c r="BU7" s="274"/>
      <c r="BV7" s="274"/>
      <c r="BW7" s="274"/>
      <c r="BX7" s="271"/>
      <c r="BY7" s="276">
        <f t="shared" si="0"/>
        <v>0</v>
      </c>
      <c r="BZ7" s="631"/>
      <c r="CA7" s="265"/>
      <c r="CB7" s="276">
        <f t="shared" si="1"/>
        <v>0</v>
      </c>
      <c r="CC7" s="631"/>
    </row>
    <row r="8" spans="2:81">
      <c r="B8" s="627"/>
      <c r="C8" s="504" t="s">
        <v>254</v>
      </c>
      <c r="D8" s="505" t="s">
        <v>251</v>
      </c>
      <c r="E8" s="277"/>
      <c r="F8" s="277"/>
      <c r="G8" s="277"/>
      <c r="H8" s="277"/>
      <c r="I8" s="277"/>
      <c r="J8" s="277"/>
      <c r="K8" s="277"/>
      <c r="L8" s="277"/>
      <c r="M8" s="277"/>
      <c r="N8" s="277"/>
      <c r="O8" s="277"/>
      <c r="P8" s="277"/>
      <c r="Q8" s="277"/>
      <c r="R8" s="277"/>
      <c r="S8" s="277"/>
      <c r="T8" s="277"/>
      <c r="U8" s="277"/>
      <c r="V8" s="277"/>
      <c r="W8" s="277"/>
      <c r="X8" s="277"/>
      <c r="Y8" s="277"/>
      <c r="Z8" s="277"/>
      <c r="AA8" s="277"/>
      <c r="AB8" s="277"/>
      <c r="AC8" s="277"/>
      <c r="AD8" s="277"/>
      <c r="AE8" s="277"/>
      <c r="AF8" s="277"/>
      <c r="AG8" s="277"/>
      <c r="AH8" s="277"/>
      <c r="AI8" s="277"/>
      <c r="AJ8" s="277"/>
      <c r="AK8" s="277"/>
      <c r="AL8" s="277"/>
      <c r="AM8" s="277"/>
      <c r="AN8" s="277"/>
      <c r="AO8" s="277"/>
      <c r="AP8" s="277"/>
      <c r="AQ8" s="277"/>
      <c r="AR8" s="277"/>
      <c r="AS8" s="277"/>
      <c r="AT8" s="277"/>
      <c r="AU8" s="277"/>
      <c r="AV8" s="277"/>
      <c r="AW8" s="277"/>
      <c r="AX8" s="277"/>
      <c r="AY8" s="277"/>
      <c r="AZ8" s="277"/>
      <c r="BA8" s="277"/>
      <c r="BB8" s="277"/>
      <c r="BC8" s="277"/>
      <c r="BD8" s="277"/>
      <c r="BE8" s="277"/>
      <c r="BF8" s="277"/>
      <c r="BG8" s="277"/>
      <c r="BH8" s="277"/>
      <c r="BI8" s="277"/>
      <c r="BJ8" s="277"/>
      <c r="BK8" s="277"/>
      <c r="BL8" s="277"/>
      <c r="BM8" s="277"/>
      <c r="BN8" s="277"/>
      <c r="BO8" s="277"/>
      <c r="BP8" s="277"/>
      <c r="BQ8" s="277"/>
      <c r="BR8" s="277"/>
      <c r="BS8" s="277"/>
      <c r="BT8" s="277"/>
      <c r="BU8" s="277"/>
      <c r="BV8" s="277"/>
      <c r="BW8" s="277"/>
      <c r="BX8" s="504"/>
      <c r="BY8" s="506">
        <f t="shared" si="0"/>
        <v>0</v>
      </c>
      <c r="BZ8" s="618"/>
      <c r="CA8" s="265"/>
      <c r="CB8" s="506">
        <f t="shared" si="1"/>
        <v>0</v>
      </c>
      <c r="CC8" s="618"/>
    </row>
    <row r="9" spans="2:81">
      <c r="B9" s="628" t="s">
        <v>255</v>
      </c>
      <c r="C9" s="275" t="s">
        <v>256</v>
      </c>
      <c r="D9" s="272" t="s">
        <v>251</v>
      </c>
      <c r="E9" s="273"/>
      <c r="F9" s="273"/>
      <c r="G9" s="273"/>
      <c r="H9" s="273"/>
      <c r="I9" s="273"/>
      <c r="J9" s="273"/>
      <c r="K9" s="273"/>
      <c r="L9" s="273"/>
      <c r="M9" s="273"/>
      <c r="N9" s="273"/>
      <c r="O9" s="273"/>
      <c r="P9" s="273"/>
      <c r="Q9" s="273"/>
      <c r="R9" s="273"/>
      <c r="S9" s="273"/>
      <c r="T9" s="273"/>
      <c r="U9" s="273"/>
      <c r="V9" s="273"/>
      <c r="W9" s="273"/>
      <c r="X9" s="273"/>
      <c r="Y9" s="273"/>
      <c r="Z9" s="273"/>
      <c r="AA9" s="273"/>
      <c r="AB9" s="273"/>
      <c r="AC9" s="273"/>
      <c r="AD9" s="273"/>
      <c r="AE9" s="273"/>
      <c r="AF9" s="273"/>
      <c r="AG9" s="273"/>
      <c r="AH9" s="273"/>
      <c r="AI9" s="273"/>
      <c r="AJ9" s="273"/>
      <c r="AK9" s="273"/>
      <c r="AL9" s="273"/>
      <c r="AM9" s="273"/>
      <c r="AN9" s="273"/>
      <c r="AO9" s="273"/>
      <c r="AP9" s="273"/>
      <c r="AQ9" s="273"/>
      <c r="AR9" s="273"/>
      <c r="AS9" s="273"/>
      <c r="AT9" s="273"/>
      <c r="AU9" s="273"/>
      <c r="AV9" s="273"/>
      <c r="AW9" s="273"/>
      <c r="AX9" s="273"/>
      <c r="AY9" s="273"/>
      <c r="AZ9" s="273"/>
      <c r="BA9" s="273"/>
      <c r="BB9" s="273"/>
      <c r="BC9" s="273"/>
      <c r="BD9" s="273"/>
      <c r="BE9" s="273"/>
      <c r="BF9" s="273"/>
      <c r="BG9" s="273"/>
      <c r="BH9" s="273"/>
      <c r="BI9" s="273"/>
      <c r="BJ9" s="273"/>
      <c r="BK9" s="273"/>
      <c r="BL9" s="273"/>
      <c r="BM9" s="273"/>
      <c r="BN9" s="273"/>
      <c r="BO9" s="273"/>
      <c r="BP9" s="273"/>
      <c r="BQ9" s="273"/>
      <c r="BR9" s="273"/>
      <c r="BS9" s="273"/>
      <c r="BT9" s="273"/>
      <c r="BU9" s="273"/>
      <c r="BV9" s="273"/>
      <c r="BW9" s="273"/>
      <c r="BX9" s="275"/>
      <c r="BY9" s="276">
        <f t="shared" si="0"/>
        <v>0</v>
      </c>
      <c r="BZ9" s="630">
        <f>SUM(BY9:BY11)</f>
        <v>116951666.66666667</v>
      </c>
      <c r="CA9" s="265">
        <f>BZ5+BZ9</f>
        <v>136851666.66666669</v>
      </c>
      <c r="CB9" s="276">
        <f t="shared" si="1"/>
        <v>253803333.33333337</v>
      </c>
      <c r="CC9" s="630">
        <f>SUM(CB9:CB11)</f>
        <v>487706667.52125382</v>
      </c>
    </row>
    <row r="10" spans="2:81">
      <c r="B10" s="629"/>
      <c r="C10" s="275" t="s">
        <v>257</v>
      </c>
      <c r="D10" s="272" t="s">
        <v>251</v>
      </c>
      <c r="E10" s="274"/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4"/>
      <c r="U10" s="274">
        <f t="shared" ref="U10:AB10" si="2">-U61</f>
        <v>72916.666666666672</v>
      </c>
      <c r="V10" s="274">
        <f t="shared" si="2"/>
        <v>157500.00000000003</v>
      </c>
      <c r="W10" s="274">
        <f t="shared" si="2"/>
        <v>242083.33333333337</v>
      </c>
      <c r="X10" s="274">
        <f t="shared" si="2"/>
        <v>326666.66666666669</v>
      </c>
      <c r="Y10" s="274">
        <f t="shared" si="2"/>
        <v>411250.00000000006</v>
      </c>
      <c r="Z10" s="274">
        <f t="shared" si="2"/>
        <v>495833.33333333343</v>
      </c>
      <c r="AA10" s="274">
        <f t="shared" si="2"/>
        <v>580416.66666666674</v>
      </c>
      <c r="AB10" s="274">
        <f t="shared" si="2"/>
        <v>665000.00000000012</v>
      </c>
      <c r="AC10" s="274"/>
      <c r="AD10" s="274"/>
      <c r="AE10" s="274"/>
      <c r="AF10" s="274"/>
      <c r="AG10" s="274"/>
      <c r="AH10" s="274"/>
      <c r="AI10" s="274"/>
      <c r="AJ10" s="274"/>
      <c r="AK10" s="274"/>
      <c r="AL10" s="274"/>
      <c r="AM10" s="274"/>
      <c r="AN10" s="274"/>
      <c r="AO10" s="274"/>
      <c r="AP10" s="274"/>
      <c r="AQ10" s="274"/>
      <c r="AR10" s="274"/>
      <c r="AS10" s="274"/>
      <c r="AT10" s="274"/>
      <c r="AU10" s="274"/>
      <c r="AV10" s="274"/>
      <c r="AW10" s="274"/>
      <c r="AX10" s="274"/>
      <c r="AY10" s="274"/>
      <c r="AZ10" s="274"/>
      <c r="BA10" s="274"/>
      <c r="BB10" s="274"/>
      <c r="BC10" s="274"/>
      <c r="BD10" s="274"/>
      <c r="BE10" s="274"/>
      <c r="BF10" s="274"/>
      <c r="BG10" s="274"/>
      <c r="BH10" s="274"/>
      <c r="BI10" s="274"/>
      <c r="BJ10" s="274"/>
      <c r="BK10" s="274"/>
      <c r="BL10" s="274"/>
      <c r="BM10" s="274"/>
      <c r="BN10" s="274"/>
      <c r="BO10" s="274"/>
      <c r="BP10" s="274"/>
      <c r="BQ10" s="274"/>
      <c r="BR10" s="274"/>
      <c r="BS10" s="274"/>
      <c r="BT10" s="274"/>
      <c r="BU10" s="274"/>
      <c r="BV10" s="274"/>
      <c r="BW10" s="274"/>
      <c r="BX10" s="271"/>
      <c r="BY10" s="276">
        <f t="shared" si="0"/>
        <v>2951666.666666667</v>
      </c>
      <c r="BZ10" s="631"/>
      <c r="CA10" s="265"/>
      <c r="CB10" s="276">
        <f t="shared" si="1"/>
        <v>5903333.333333334</v>
      </c>
      <c r="CC10" s="631"/>
    </row>
    <row r="11" spans="2:81">
      <c r="B11" s="624"/>
      <c r="C11" s="504" t="s">
        <v>258</v>
      </c>
      <c r="D11" s="505" t="s">
        <v>251</v>
      </c>
      <c r="E11" s="277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P11" s="277"/>
      <c r="Q11" s="277"/>
      <c r="R11" s="277"/>
      <c r="S11" s="277"/>
      <c r="T11" s="277"/>
      <c r="U11" s="277">
        <v>12500000</v>
      </c>
      <c r="V11" s="277">
        <f t="shared" ref="V11:AB11" si="3">14500000</f>
        <v>14500000</v>
      </c>
      <c r="W11" s="277">
        <f t="shared" si="3"/>
        <v>14500000</v>
      </c>
      <c r="X11" s="277">
        <f t="shared" si="3"/>
        <v>14500000</v>
      </c>
      <c r="Y11" s="277">
        <f t="shared" si="3"/>
        <v>14500000</v>
      </c>
      <c r="Z11" s="277">
        <f t="shared" si="3"/>
        <v>14500000</v>
      </c>
      <c r="AA11" s="277">
        <f t="shared" si="3"/>
        <v>14500000</v>
      </c>
      <c r="AB11" s="277">
        <f t="shared" si="3"/>
        <v>14500000</v>
      </c>
      <c r="AC11" s="277"/>
      <c r="AD11" s="277"/>
      <c r="AE11" s="277"/>
      <c r="AF11" s="277"/>
      <c r="AG11" s="277"/>
      <c r="AH11" s="277"/>
      <c r="AI11" s="277"/>
      <c r="AJ11" s="277"/>
      <c r="AK11" s="277"/>
      <c r="AL11" s="277"/>
      <c r="AM11" s="277"/>
      <c r="AN11" s="277"/>
      <c r="AO11" s="279"/>
      <c r="AP11" s="277"/>
      <c r="AQ11" s="277"/>
      <c r="AR11" s="277"/>
      <c r="AS11" s="277"/>
      <c r="AT11" s="277"/>
      <c r="AU11" s="277"/>
      <c r="AV11" s="277"/>
      <c r="AW11" s="277"/>
      <c r="AX11" s="277"/>
      <c r="AY11" s="277"/>
      <c r="AZ11" s="277"/>
      <c r="BA11" s="277"/>
      <c r="BB11" s="277"/>
      <c r="BC11" s="277"/>
      <c r="BD11" s="277"/>
      <c r="BE11" s="277"/>
      <c r="BF11" s="277"/>
      <c r="BG11" s="277"/>
      <c r="BH11" s="277"/>
      <c r="BI11" s="277"/>
      <c r="BJ11" s="277"/>
      <c r="BK11" s="277"/>
      <c r="BL11" s="277"/>
      <c r="BM11" s="277"/>
      <c r="BN11" s="277"/>
      <c r="BO11" s="277"/>
      <c r="BP11" s="277"/>
      <c r="BQ11" s="277"/>
      <c r="BR11" s="277"/>
      <c r="BS11" s="277"/>
      <c r="BT11" s="277"/>
      <c r="BU11" s="277"/>
      <c r="BV11" s="277"/>
      <c r="BW11" s="277"/>
      <c r="BX11" s="504"/>
      <c r="BY11" s="506">
        <f t="shared" si="0"/>
        <v>114000000</v>
      </c>
      <c r="BZ11" s="632"/>
      <c r="CA11" s="280">
        <f>BZ9/CA9</f>
        <v>0.85458708333840772</v>
      </c>
      <c r="CB11" s="506">
        <f t="shared" si="1"/>
        <v>228000000.85458708</v>
      </c>
      <c r="CC11" s="632"/>
    </row>
    <row r="12" spans="2:81">
      <c r="B12" s="628" t="s">
        <v>259</v>
      </c>
      <c r="C12" s="271" t="s">
        <v>260</v>
      </c>
      <c r="D12" s="272" t="s">
        <v>251</v>
      </c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  <c r="U12" s="273"/>
      <c r="V12" s="273"/>
      <c r="W12" s="273"/>
      <c r="X12" s="273"/>
      <c r="Y12" s="273"/>
      <c r="Z12" s="273"/>
      <c r="AA12" s="273"/>
      <c r="AB12" s="273"/>
      <c r="AC12" s="273"/>
      <c r="AD12" s="273"/>
      <c r="AE12" s="273"/>
      <c r="AF12" s="273"/>
      <c r="AG12" s="273"/>
      <c r="AH12" s="273"/>
      <c r="AI12" s="273"/>
      <c r="AJ12" s="273"/>
      <c r="AK12" s="273"/>
      <c r="AL12" s="273"/>
      <c r="AM12" s="273"/>
      <c r="AN12" s="273"/>
      <c r="AO12" s="273"/>
      <c r="AP12" s="273"/>
      <c r="AQ12" s="273"/>
      <c r="AR12" s="273"/>
      <c r="AS12" s="273"/>
      <c r="AT12" s="273"/>
      <c r="AU12" s="273"/>
      <c r="AV12" s="273"/>
      <c r="AW12" s="273"/>
      <c r="AX12" s="273"/>
      <c r="AY12" s="273"/>
      <c r="AZ12" s="273"/>
      <c r="BA12" s="273"/>
      <c r="BB12" s="273"/>
      <c r="BC12" s="273"/>
      <c r="BD12" s="273"/>
      <c r="BE12" s="273"/>
      <c r="BF12" s="273"/>
      <c r="BG12" s="273"/>
      <c r="BH12" s="273"/>
      <c r="BI12" s="273"/>
      <c r="BJ12" s="273"/>
      <c r="BK12" s="273"/>
      <c r="BL12" s="273"/>
      <c r="BM12" s="273"/>
      <c r="BN12" s="273"/>
      <c r="BO12" s="273"/>
      <c r="BP12" s="273"/>
      <c r="BQ12" s="273"/>
      <c r="BR12" s="273"/>
      <c r="BS12" s="273"/>
      <c r="BT12" s="273"/>
      <c r="BU12" s="273"/>
      <c r="BV12" s="273"/>
      <c r="BW12" s="273"/>
      <c r="BX12" s="275"/>
      <c r="BY12" s="276">
        <f t="shared" si="0"/>
        <v>0</v>
      </c>
      <c r="BZ12" s="630" t="e">
        <f>SUM(BY12:BY16)</f>
        <v>#REF!</v>
      </c>
      <c r="CA12" s="265"/>
      <c r="CB12" s="276" t="e">
        <f t="shared" si="1"/>
        <v>#REF!</v>
      </c>
      <c r="CC12" s="630" t="e">
        <f>SUM(CB12:CB16)</f>
        <v>#REF!</v>
      </c>
    </row>
    <row r="13" spans="2:81">
      <c r="B13" s="629"/>
      <c r="C13" s="271" t="s">
        <v>261</v>
      </c>
      <c r="D13" s="272" t="s">
        <v>251</v>
      </c>
      <c r="E13" s="273"/>
      <c r="F13" s="273"/>
      <c r="G13" s="273"/>
      <c r="H13" s="273"/>
      <c r="I13" s="273"/>
      <c r="J13" s="273"/>
      <c r="K13" s="273"/>
      <c r="L13" s="273"/>
      <c r="M13" s="273"/>
      <c r="N13" s="273"/>
      <c r="O13" s="273"/>
      <c r="P13" s="273"/>
      <c r="Q13" s="273"/>
      <c r="R13" s="273"/>
      <c r="S13" s="273"/>
      <c r="T13" s="273"/>
      <c r="U13" s="273"/>
      <c r="V13" s="273"/>
      <c r="W13" s="273"/>
      <c r="X13" s="273"/>
      <c r="Y13" s="273"/>
      <c r="Z13" s="273"/>
      <c r="AA13" s="273"/>
      <c r="AB13" s="273"/>
      <c r="AC13" s="273"/>
      <c r="AD13" s="273"/>
      <c r="AE13" s="273">
        <f>Businessplan_prodej!$J$32</f>
        <v>195671268.99999997</v>
      </c>
      <c r="AF13" s="273"/>
      <c r="AG13" s="273"/>
      <c r="AH13" s="273"/>
      <c r="AI13" s="273"/>
      <c r="AJ13" s="273"/>
      <c r="AK13" s="273"/>
      <c r="AL13" s="273"/>
      <c r="AM13" s="273"/>
      <c r="AN13" s="273"/>
      <c r="AO13" s="273"/>
      <c r="AP13" s="273"/>
      <c r="AQ13" s="273"/>
      <c r="AR13" s="273"/>
      <c r="AS13" s="273"/>
      <c r="AT13" s="273"/>
      <c r="AU13" s="273"/>
      <c r="AV13" s="273"/>
      <c r="AW13" s="273"/>
      <c r="AX13" s="273"/>
      <c r="AY13" s="273"/>
      <c r="AZ13" s="273"/>
      <c r="BA13" s="273"/>
      <c r="BB13" s="273"/>
      <c r="BC13" s="273"/>
      <c r="BD13" s="273"/>
      <c r="BE13" s="273"/>
      <c r="BF13" s="273"/>
      <c r="BG13" s="273"/>
      <c r="BH13" s="273"/>
      <c r="BI13" s="273"/>
      <c r="BJ13" s="273"/>
      <c r="BK13" s="273"/>
      <c r="BL13" s="273"/>
      <c r="BM13" s="273"/>
      <c r="BN13" s="273"/>
      <c r="BO13" s="273"/>
      <c r="BP13" s="273"/>
      <c r="BQ13" s="273"/>
      <c r="BR13" s="273"/>
      <c r="BS13" s="273"/>
      <c r="BT13" s="273"/>
      <c r="BU13" s="273"/>
      <c r="BV13" s="273"/>
      <c r="BW13" s="273"/>
      <c r="BX13" s="275"/>
      <c r="BY13" s="276">
        <f t="shared" si="0"/>
        <v>195671268.99999997</v>
      </c>
      <c r="BZ13" s="631"/>
      <c r="CA13" s="265"/>
      <c r="CB13" s="276">
        <f t="shared" si="1"/>
        <v>391342537.99999994</v>
      </c>
      <c r="CC13" s="631"/>
    </row>
    <row r="14" spans="2:81">
      <c r="B14" s="629"/>
      <c r="C14" s="271" t="s">
        <v>10</v>
      </c>
      <c r="D14" s="272" t="s">
        <v>251</v>
      </c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4"/>
      <c r="P14" s="274"/>
      <c r="Q14" s="274"/>
      <c r="R14" s="274"/>
      <c r="S14" s="274"/>
      <c r="T14" s="274"/>
      <c r="U14" s="274" t="e">
        <f t="shared" ref="U14:AD14" si="4">-S15</f>
        <v>#REF!</v>
      </c>
      <c r="V14" s="274" t="e">
        <f t="shared" si="4"/>
        <v>#REF!</v>
      </c>
      <c r="W14" s="274" t="e">
        <f t="shared" si="4"/>
        <v>#REF!</v>
      </c>
      <c r="X14" s="274" t="e">
        <f t="shared" si="4"/>
        <v>#REF!</v>
      </c>
      <c r="Y14" s="274" t="e">
        <f t="shared" si="4"/>
        <v>#REF!</v>
      </c>
      <c r="Z14" s="274" t="e">
        <f t="shared" si="4"/>
        <v>#REF!</v>
      </c>
      <c r="AA14" s="274" t="e">
        <f t="shared" si="4"/>
        <v>#REF!</v>
      </c>
      <c r="AB14" s="274" t="e">
        <f t="shared" si="4"/>
        <v>#REF!</v>
      </c>
      <c r="AC14" s="274" t="e">
        <f t="shared" si="4"/>
        <v>#REF!</v>
      </c>
      <c r="AD14" s="274" t="e">
        <f t="shared" si="4"/>
        <v>#REF!</v>
      </c>
      <c r="AE14" s="274">
        <f>-AC15-AD15-AE15</f>
        <v>29552.827013181814</v>
      </c>
      <c r="AF14" s="274"/>
      <c r="AG14" s="274"/>
      <c r="AH14" s="274"/>
      <c r="AI14" s="274"/>
      <c r="AJ14" s="274"/>
      <c r="AK14" s="274"/>
      <c r="AL14" s="274"/>
      <c r="AM14" s="274"/>
      <c r="AN14" s="274"/>
      <c r="AO14" s="274"/>
      <c r="AP14" s="274"/>
      <c r="AQ14" s="274"/>
      <c r="AR14" s="274"/>
      <c r="AS14" s="274"/>
      <c r="AT14" s="274"/>
      <c r="AU14" s="274"/>
      <c r="AV14" s="274"/>
      <c r="AW14" s="274"/>
      <c r="AX14" s="274"/>
      <c r="AY14" s="274"/>
      <c r="AZ14" s="274"/>
      <c r="BA14" s="274"/>
      <c r="BB14" s="274"/>
      <c r="BC14" s="274"/>
      <c r="BD14" s="274"/>
      <c r="BE14" s="274"/>
      <c r="BF14" s="274"/>
      <c r="BG14" s="274"/>
      <c r="BH14" s="274"/>
      <c r="BI14" s="274"/>
      <c r="BJ14" s="274"/>
      <c r="BK14" s="274"/>
      <c r="BL14" s="274"/>
      <c r="BM14" s="274"/>
      <c r="BN14" s="274"/>
      <c r="BO14" s="274"/>
      <c r="BP14" s="274"/>
      <c r="BQ14" s="274"/>
      <c r="BR14" s="274"/>
      <c r="BS14" s="274"/>
      <c r="BT14" s="274"/>
      <c r="BU14" s="274"/>
      <c r="BV14" s="274"/>
      <c r="BW14" s="274"/>
      <c r="BX14" s="271"/>
      <c r="BY14" s="276" t="e">
        <f t="shared" si="0"/>
        <v>#REF!</v>
      </c>
      <c r="BZ14" s="631"/>
      <c r="CA14" s="265"/>
      <c r="CB14" s="276" t="e">
        <f t="shared" si="1"/>
        <v>#REF!</v>
      </c>
      <c r="CC14" s="631"/>
    </row>
    <row r="15" spans="2:81">
      <c r="B15" s="629"/>
      <c r="C15" s="271" t="s">
        <v>10</v>
      </c>
      <c r="D15" s="272" t="s">
        <v>262</v>
      </c>
      <c r="E15" s="274"/>
      <c r="F15" s="274"/>
      <c r="G15" s="274"/>
      <c r="H15" s="274"/>
      <c r="I15" s="274"/>
      <c r="J15" s="274"/>
      <c r="K15" s="274"/>
      <c r="L15" s="274"/>
      <c r="M15" s="274"/>
      <c r="N15" s="274"/>
      <c r="O15" s="274"/>
      <c r="P15" s="274"/>
      <c r="Q15" s="274"/>
      <c r="R15" s="274"/>
      <c r="S15" s="274" t="e">
        <f t="shared" ref="S15:AE15" si="5">SUM(S32,S38)*1.21-SUM(S32,S38)</f>
        <v>#REF!</v>
      </c>
      <c r="T15" s="274" t="e">
        <f t="shared" si="5"/>
        <v>#REF!</v>
      </c>
      <c r="U15" s="274" t="e">
        <f t="shared" si="5"/>
        <v>#REF!</v>
      </c>
      <c r="V15" s="274" t="e">
        <f t="shared" si="5"/>
        <v>#REF!</v>
      </c>
      <c r="W15" s="274" t="e">
        <f t="shared" si="5"/>
        <v>#REF!</v>
      </c>
      <c r="X15" s="274" t="e">
        <f t="shared" si="5"/>
        <v>#REF!</v>
      </c>
      <c r="Y15" s="274" t="e">
        <f t="shared" si="5"/>
        <v>#REF!</v>
      </c>
      <c r="Z15" s="274" t="e">
        <f t="shared" si="5"/>
        <v>#REF!</v>
      </c>
      <c r="AA15" s="274" t="e">
        <f t="shared" si="5"/>
        <v>#REF!</v>
      </c>
      <c r="AB15" s="274" t="e">
        <f t="shared" si="5"/>
        <v>#REF!</v>
      </c>
      <c r="AC15" s="274">
        <f t="shared" si="5"/>
        <v>-29552.827013181814</v>
      </c>
      <c r="AD15" s="274">
        <f t="shared" si="5"/>
        <v>0</v>
      </c>
      <c r="AE15" s="274">
        <f t="shared" si="5"/>
        <v>0</v>
      </c>
      <c r="AF15" s="274"/>
      <c r="AG15" s="274"/>
      <c r="AH15" s="274"/>
      <c r="AI15" s="274"/>
      <c r="AJ15" s="274"/>
      <c r="AK15" s="274"/>
      <c r="AL15" s="274"/>
      <c r="AM15" s="274"/>
      <c r="AN15" s="274"/>
      <c r="AO15" s="274"/>
      <c r="AP15" s="274"/>
      <c r="AQ15" s="274"/>
      <c r="AR15" s="274"/>
      <c r="AS15" s="274"/>
      <c r="AT15" s="274"/>
      <c r="AU15" s="274"/>
      <c r="AV15" s="274"/>
      <c r="AW15" s="274"/>
      <c r="AX15" s="274"/>
      <c r="AY15" s="274"/>
      <c r="AZ15" s="274"/>
      <c r="BA15" s="274"/>
      <c r="BB15" s="274"/>
      <c r="BC15" s="274"/>
      <c r="BD15" s="274"/>
      <c r="BE15" s="274"/>
      <c r="BF15" s="274"/>
      <c r="BG15" s="274"/>
      <c r="BH15" s="274"/>
      <c r="BI15" s="274"/>
      <c r="BJ15" s="274"/>
      <c r="BK15" s="274"/>
      <c r="BL15" s="274"/>
      <c r="BM15" s="274"/>
      <c r="BN15" s="274"/>
      <c r="BO15" s="274"/>
      <c r="BP15" s="274"/>
      <c r="BQ15" s="274"/>
      <c r="BR15" s="274"/>
      <c r="BS15" s="274"/>
      <c r="BT15" s="274"/>
      <c r="BU15" s="274"/>
      <c r="BV15" s="274"/>
      <c r="BW15" s="274"/>
      <c r="BX15" s="271"/>
      <c r="BY15" s="276" t="e">
        <f t="shared" si="0"/>
        <v>#REF!</v>
      </c>
      <c r="BZ15" s="631"/>
      <c r="CA15" s="265"/>
      <c r="CB15" s="282"/>
      <c r="CC15" s="631"/>
    </row>
    <row r="16" spans="2:81">
      <c r="B16" s="624"/>
      <c r="C16" s="504" t="s">
        <v>263</v>
      </c>
      <c r="D16" s="505" t="s">
        <v>264</v>
      </c>
      <c r="E16" s="277"/>
      <c r="F16" s="277"/>
      <c r="G16" s="277"/>
      <c r="H16" s="277"/>
      <c r="I16" s="277"/>
      <c r="J16" s="277"/>
      <c r="K16" s="277"/>
      <c r="L16" s="277"/>
      <c r="M16" s="277"/>
      <c r="N16" s="277"/>
      <c r="O16" s="277"/>
      <c r="P16" s="277"/>
      <c r="Q16" s="277"/>
      <c r="R16" s="277"/>
      <c r="S16" s="277"/>
      <c r="T16" s="277"/>
      <c r="U16" s="277"/>
      <c r="V16" s="277"/>
      <c r="W16" s="277"/>
      <c r="X16" s="277"/>
      <c r="Y16" s="277"/>
      <c r="Z16" s="277"/>
      <c r="AA16" s="277"/>
      <c r="AB16" s="277"/>
      <c r="AC16" s="277"/>
      <c r="AD16" s="277"/>
      <c r="AE16" s="277"/>
      <c r="AF16" s="277"/>
      <c r="AG16" s="277"/>
      <c r="AH16" s="277"/>
      <c r="AI16" s="277"/>
      <c r="AJ16" s="277"/>
      <c r="AK16" s="277"/>
      <c r="AL16" s="277"/>
      <c r="AM16" s="277"/>
      <c r="AN16" s="277"/>
      <c r="AO16" s="277"/>
      <c r="AP16" s="277"/>
      <c r="AQ16" s="277"/>
      <c r="AR16" s="277"/>
      <c r="AS16" s="277"/>
      <c r="AT16" s="277"/>
      <c r="AU16" s="277"/>
      <c r="AV16" s="277"/>
      <c r="AW16" s="277"/>
      <c r="AX16" s="277"/>
      <c r="AY16" s="277"/>
      <c r="AZ16" s="277"/>
      <c r="BA16" s="277"/>
      <c r="BB16" s="277"/>
      <c r="BC16" s="277"/>
      <c r="BD16" s="277"/>
      <c r="BE16" s="277"/>
      <c r="BF16" s="277"/>
      <c r="BG16" s="277"/>
      <c r="BH16" s="277"/>
      <c r="BI16" s="277"/>
      <c r="BJ16" s="277"/>
      <c r="BK16" s="277"/>
      <c r="BL16" s="277"/>
      <c r="BM16" s="277"/>
      <c r="BN16" s="277"/>
      <c r="BO16" s="277"/>
      <c r="BP16" s="277"/>
      <c r="BQ16" s="277"/>
      <c r="BR16" s="277"/>
      <c r="BS16" s="277"/>
      <c r="BT16" s="277"/>
      <c r="BU16" s="277"/>
      <c r="BV16" s="277"/>
      <c r="BW16" s="277"/>
      <c r="BX16" s="504"/>
      <c r="BY16" s="506">
        <f t="shared" si="0"/>
        <v>0</v>
      </c>
      <c r="BZ16" s="632"/>
      <c r="CA16" s="265"/>
      <c r="CB16" s="506">
        <f>SUM(H16:CA16)</f>
        <v>0</v>
      </c>
      <c r="CC16" s="632"/>
    </row>
    <row r="17" spans="2:81" ht="16">
      <c r="B17" s="633" t="s">
        <v>265</v>
      </c>
      <c r="C17" s="618"/>
      <c r="D17" s="283"/>
      <c r="E17" s="284">
        <f t="shared" ref="E17:BX17" si="6">SUM(E5:E16)</f>
        <v>0</v>
      </c>
      <c r="F17" s="284">
        <f t="shared" si="6"/>
        <v>0</v>
      </c>
      <c r="G17" s="284">
        <f t="shared" si="6"/>
        <v>0</v>
      </c>
      <c r="H17" s="284">
        <f t="shared" si="6"/>
        <v>0</v>
      </c>
      <c r="I17" s="284">
        <f t="shared" si="6"/>
        <v>0</v>
      </c>
      <c r="J17" s="284">
        <f t="shared" si="6"/>
        <v>0</v>
      </c>
      <c r="K17" s="284">
        <f t="shared" si="6"/>
        <v>0</v>
      </c>
      <c r="L17" s="284">
        <f t="shared" si="6"/>
        <v>0</v>
      </c>
      <c r="M17" s="284">
        <f t="shared" si="6"/>
        <v>0</v>
      </c>
      <c r="N17" s="284">
        <f t="shared" si="6"/>
        <v>0</v>
      </c>
      <c r="O17" s="284">
        <f t="shared" si="6"/>
        <v>0</v>
      </c>
      <c r="P17" s="284">
        <f t="shared" si="6"/>
        <v>0</v>
      </c>
      <c r="Q17" s="284">
        <f t="shared" si="6"/>
        <v>0</v>
      </c>
      <c r="R17" s="284">
        <f t="shared" si="6"/>
        <v>0</v>
      </c>
      <c r="S17" s="284" t="e">
        <f t="shared" si="6"/>
        <v>#REF!</v>
      </c>
      <c r="T17" s="284" t="e">
        <f t="shared" si="6"/>
        <v>#REF!</v>
      </c>
      <c r="U17" s="284" t="e">
        <f t="shared" si="6"/>
        <v>#REF!</v>
      </c>
      <c r="V17" s="284" t="e">
        <f t="shared" si="6"/>
        <v>#REF!</v>
      </c>
      <c r="W17" s="284" t="e">
        <f t="shared" si="6"/>
        <v>#REF!</v>
      </c>
      <c r="X17" s="284" t="e">
        <f t="shared" si="6"/>
        <v>#REF!</v>
      </c>
      <c r="Y17" s="284" t="e">
        <f t="shared" si="6"/>
        <v>#REF!</v>
      </c>
      <c r="Z17" s="284" t="e">
        <f t="shared" si="6"/>
        <v>#REF!</v>
      </c>
      <c r="AA17" s="284" t="e">
        <f t="shared" si="6"/>
        <v>#REF!</v>
      </c>
      <c r="AB17" s="284" t="e">
        <f t="shared" si="6"/>
        <v>#REF!</v>
      </c>
      <c r="AC17" s="284" t="e">
        <f t="shared" si="6"/>
        <v>#REF!</v>
      </c>
      <c r="AD17" s="284" t="e">
        <f t="shared" si="6"/>
        <v>#REF!</v>
      </c>
      <c r="AE17" s="284">
        <f t="shared" si="6"/>
        <v>195700821.82701316</v>
      </c>
      <c r="AF17" s="284">
        <f t="shared" si="6"/>
        <v>0</v>
      </c>
      <c r="AG17" s="284">
        <f t="shared" si="6"/>
        <v>0</v>
      </c>
      <c r="AH17" s="284">
        <f t="shared" si="6"/>
        <v>0</v>
      </c>
      <c r="AI17" s="284">
        <f t="shared" si="6"/>
        <v>0</v>
      </c>
      <c r="AJ17" s="284">
        <f t="shared" si="6"/>
        <v>0</v>
      </c>
      <c r="AK17" s="284">
        <f t="shared" si="6"/>
        <v>0</v>
      </c>
      <c r="AL17" s="284">
        <f t="shared" si="6"/>
        <v>0</v>
      </c>
      <c r="AM17" s="284">
        <f t="shared" si="6"/>
        <v>0</v>
      </c>
      <c r="AN17" s="284">
        <f t="shared" si="6"/>
        <v>0</v>
      </c>
      <c r="AO17" s="284">
        <f t="shared" si="6"/>
        <v>0</v>
      </c>
      <c r="AP17" s="284">
        <f t="shared" si="6"/>
        <v>0</v>
      </c>
      <c r="AQ17" s="284">
        <f t="shared" si="6"/>
        <v>0</v>
      </c>
      <c r="AR17" s="284">
        <f t="shared" si="6"/>
        <v>0</v>
      </c>
      <c r="AS17" s="284">
        <f t="shared" si="6"/>
        <v>0</v>
      </c>
      <c r="AT17" s="284">
        <f t="shared" si="6"/>
        <v>0</v>
      </c>
      <c r="AU17" s="284">
        <f t="shared" si="6"/>
        <v>0</v>
      </c>
      <c r="AV17" s="284">
        <f t="shared" si="6"/>
        <v>0</v>
      </c>
      <c r="AW17" s="284">
        <f t="shared" si="6"/>
        <v>0</v>
      </c>
      <c r="AX17" s="284">
        <f t="shared" si="6"/>
        <v>0</v>
      </c>
      <c r="AY17" s="284">
        <f t="shared" si="6"/>
        <v>0</v>
      </c>
      <c r="AZ17" s="284">
        <f t="shared" si="6"/>
        <v>0</v>
      </c>
      <c r="BA17" s="284">
        <f t="shared" si="6"/>
        <v>0</v>
      </c>
      <c r="BB17" s="284">
        <f t="shared" si="6"/>
        <v>0</v>
      </c>
      <c r="BC17" s="284">
        <f t="shared" si="6"/>
        <v>0</v>
      </c>
      <c r="BD17" s="284">
        <f t="shared" si="6"/>
        <v>0</v>
      </c>
      <c r="BE17" s="284">
        <f t="shared" si="6"/>
        <v>0</v>
      </c>
      <c r="BF17" s="284">
        <f t="shared" si="6"/>
        <v>0</v>
      </c>
      <c r="BG17" s="284">
        <f t="shared" si="6"/>
        <v>0</v>
      </c>
      <c r="BH17" s="284">
        <f t="shared" si="6"/>
        <v>0</v>
      </c>
      <c r="BI17" s="284">
        <f t="shared" si="6"/>
        <v>0</v>
      </c>
      <c r="BJ17" s="284">
        <f t="shared" si="6"/>
        <v>0</v>
      </c>
      <c r="BK17" s="284">
        <f t="shared" si="6"/>
        <v>0</v>
      </c>
      <c r="BL17" s="284">
        <f t="shared" si="6"/>
        <v>0</v>
      </c>
      <c r="BM17" s="284">
        <f t="shared" si="6"/>
        <v>0</v>
      </c>
      <c r="BN17" s="284">
        <f t="shared" si="6"/>
        <v>0</v>
      </c>
      <c r="BO17" s="284">
        <f t="shared" si="6"/>
        <v>0</v>
      </c>
      <c r="BP17" s="284">
        <f t="shared" si="6"/>
        <v>0</v>
      </c>
      <c r="BQ17" s="284">
        <f t="shared" si="6"/>
        <v>0</v>
      </c>
      <c r="BR17" s="284">
        <f t="shared" si="6"/>
        <v>0</v>
      </c>
      <c r="BS17" s="284">
        <f t="shared" si="6"/>
        <v>0</v>
      </c>
      <c r="BT17" s="284">
        <f t="shared" si="6"/>
        <v>0</v>
      </c>
      <c r="BU17" s="284">
        <f t="shared" si="6"/>
        <v>0</v>
      </c>
      <c r="BV17" s="284">
        <f t="shared" si="6"/>
        <v>0</v>
      </c>
      <c r="BW17" s="284">
        <f t="shared" si="6"/>
        <v>0</v>
      </c>
      <c r="BX17" s="284">
        <f t="shared" si="6"/>
        <v>0</v>
      </c>
      <c r="BY17" s="634" t="e">
        <f>BZ5+BZ9+BZ12</f>
        <v>#REF!</v>
      </c>
      <c r="BZ17" s="618"/>
      <c r="CA17" s="265"/>
      <c r="CB17" s="634" t="e">
        <f>CC5+CC9+CC12</f>
        <v>#REF!</v>
      </c>
      <c r="CC17" s="618"/>
    </row>
    <row r="18" spans="2:81" ht="16">
      <c r="B18" s="635" t="s">
        <v>266</v>
      </c>
      <c r="C18" s="285" t="s">
        <v>267</v>
      </c>
      <c r="D18" s="286"/>
      <c r="E18" s="287">
        <f t="shared" ref="E18:BY18" si="7">SUM(E19:E23)</f>
        <v>0</v>
      </c>
      <c r="F18" s="287">
        <f t="shared" si="7"/>
        <v>0</v>
      </c>
      <c r="G18" s="287">
        <f t="shared" si="7"/>
        <v>0</v>
      </c>
      <c r="H18" s="287">
        <f t="shared" si="7"/>
        <v>0</v>
      </c>
      <c r="I18" s="287">
        <f t="shared" si="7"/>
        <v>0</v>
      </c>
      <c r="J18" s="287">
        <f t="shared" si="7"/>
        <v>0</v>
      </c>
      <c r="K18" s="287">
        <f t="shared" si="7"/>
        <v>0</v>
      </c>
      <c r="L18" s="287">
        <f t="shared" si="7"/>
        <v>0</v>
      </c>
      <c r="M18" s="287">
        <f t="shared" si="7"/>
        <v>0</v>
      </c>
      <c r="N18" s="287">
        <f t="shared" si="7"/>
        <v>0</v>
      </c>
      <c r="O18" s="287">
        <f t="shared" si="7"/>
        <v>0</v>
      </c>
      <c r="P18" s="287">
        <f t="shared" si="7"/>
        <v>0</v>
      </c>
      <c r="Q18" s="287">
        <f t="shared" si="7"/>
        <v>0</v>
      </c>
      <c r="R18" s="287">
        <f t="shared" si="7"/>
        <v>0</v>
      </c>
      <c r="S18" s="287">
        <f t="shared" si="7"/>
        <v>0</v>
      </c>
      <c r="T18" s="287">
        <f t="shared" si="7"/>
        <v>0</v>
      </c>
      <c r="U18" s="287">
        <f t="shared" si="7"/>
        <v>0</v>
      </c>
      <c r="V18" s="287">
        <f t="shared" si="7"/>
        <v>0</v>
      </c>
      <c r="W18" s="287">
        <f t="shared" si="7"/>
        <v>0</v>
      </c>
      <c r="X18" s="287">
        <f t="shared" si="7"/>
        <v>0</v>
      </c>
      <c r="Y18" s="287">
        <f t="shared" si="7"/>
        <v>0</v>
      </c>
      <c r="Z18" s="287">
        <f t="shared" si="7"/>
        <v>0</v>
      </c>
      <c r="AA18" s="287">
        <f t="shared" si="7"/>
        <v>0</v>
      </c>
      <c r="AB18" s="287">
        <f t="shared" si="7"/>
        <v>0</v>
      </c>
      <c r="AC18" s="287">
        <f t="shared" si="7"/>
        <v>0</v>
      </c>
      <c r="AD18" s="287">
        <f t="shared" si="7"/>
        <v>0</v>
      </c>
      <c r="AE18" s="287">
        <f t="shared" si="7"/>
        <v>0</v>
      </c>
      <c r="AF18" s="287">
        <f t="shared" si="7"/>
        <v>0</v>
      </c>
      <c r="AG18" s="287">
        <f t="shared" si="7"/>
        <v>0</v>
      </c>
      <c r="AH18" s="287">
        <f t="shared" si="7"/>
        <v>0</v>
      </c>
      <c r="AI18" s="287">
        <f t="shared" si="7"/>
        <v>0</v>
      </c>
      <c r="AJ18" s="287">
        <f t="shared" si="7"/>
        <v>0</v>
      </c>
      <c r="AK18" s="287">
        <f t="shared" si="7"/>
        <v>0</v>
      </c>
      <c r="AL18" s="287">
        <f t="shared" si="7"/>
        <v>0</v>
      </c>
      <c r="AM18" s="287">
        <f t="shared" si="7"/>
        <v>0</v>
      </c>
      <c r="AN18" s="287">
        <f t="shared" si="7"/>
        <v>0</v>
      </c>
      <c r="AO18" s="287">
        <f t="shared" si="7"/>
        <v>0</v>
      </c>
      <c r="AP18" s="287">
        <f t="shared" si="7"/>
        <v>0</v>
      </c>
      <c r="AQ18" s="287">
        <f t="shared" si="7"/>
        <v>0</v>
      </c>
      <c r="AR18" s="287">
        <f t="shared" si="7"/>
        <v>0</v>
      </c>
      <c r="AS18" s="287">
        <f t="shared" si="7"/>
        <v>0</v>
      </c>
      <c r="AT18" s="287">
        <f t="shared" si="7"/>
        <v>0</v>
      </c>
      <c r="AU18" s="287">
        <f t="shared" si="7"/>
        <v>0</v>
      </c>
      <c r="AV18" s="287">
        <f t="shared" si="7"/>
        <v>0</v>
      </c>
      <c r="AW18" s="287">
        <f t="shared" si="7"/>
        <v>0</v>
      </c>
      <c r="AX18" s="287">
        <f t="shared" si="7"/>
        <v>0</v>
      </c>
      <c r="AY18" s="287">
        <f t="shared" si="7"/>
        <v>0</v>
      </c>
      <c r="AZ18" s="287">
        <f t="shared" si="7"/>
        <v>0</v>
      </c>
      <c r="BA18" s="287">
        <f t="shared" si="7"/>
        <v>0</v>
      </c>
      <c r="BB18" s="287">
        <f t="shared" si="7"/>
        <v>0</v>
      </c>
      <c r="BC18" s="287">
        <f t="shared" si="7"/>
        <v>0</v>
      </c>
      <c r="BD18" s="287">
        <f t="shared" si="7"/>
        <v>0</v>
      </c>
      <c r="BE18" s="287">
        <f t="shared" si="7"/>
        <v>0</v>
      </c>
      <c r="BF18" s="287">
        <f t="shared" si="7"/>
        <v>0</v>
      </c>
      <c r="BG18" s="287">
        <f t="shared" si="7"/>
        <v>0</v>
      </c>
      <c r="BH18" s="287">
        <f t="shared" si="7"/>
        <v>0</v>
      </c>
      <c r="BI18" s="287">
        <f t="shared" si="7"/>
        <v>0</v>
      </c>
      <c r="BJ18" s="287">
        <f t="shared" si="7"/>
        <v>0</v>
      </c>
      <c r="BK18" s="287">
        <f t="shared" si="7"/>
        <v>0</v>
      </c>
      <c r="BL18" s="287">
        <f t="shared" si="7"/>
        <v>0</v>
      </c>
      <c r="BM18" s="287">
        <f t="shared" si="7"/>
        <v>0</v>
      </c>
      <c r="BN18" s="287">
        <f t="shared" si="7"/>
        <v>0</v>
      </c>
      <c r="BO18" s="287">
        <f t="shared" si="7"/>
        <v>0</v>
      </c>
      <c r="BP18" s="287">
        <f t="shared" si="7"/>
        <v>0</v>
      </c>
      <c r="BQ18" s="287">
        <f t="shared" si="7"/>
        <v>0</v>
      </c>
      <c r="BR18" s="287">
        <f t="shared" si="7"/>
        <v>0</v>
      </c>
      <c r="BS18" s="287">
        <f t="shared" si="7"/>
        <v>0</v>
      </c>
      <c r="BT18" s="287">
        <f t="shared" si="7"/>
        <v>0</v>
      </c>
      <c r="BU18" s="287">
        <f t="shared" si="7"/>
        <v>0</v>
      </c>
      <c r="BV18" s="287">
        <f t="shared" si="7"/>
        <v>0</v>
      </c>
      <c r="BW18" s="287">
        <f t="shared" si="7"/>
        <v>0</v>
      </c>
      <c r="BX18" s="287">
        <f t="shared" si="7"/>
        <v>0</v>
      </c>
      <c r="BY18" s="288">
        <f t="shared" si="7"/>
        <v>0</v>
      </c>
      <c r="BZ18" s="636" t="e">
        <f>BY18+BY24+BY27+BY35+BY38+BY48+BY54+BY62+BY86</f>
        <v>#REF!</v>
      </c>
      <c r="CA18" s="265"/>
      <c r="CB18" s="289" t="e">
        <f t="array" ref="CB18">SUM(INDEX(E18:BX18, , 1):INDEX(E18:BX18, ,MATCH($CB$4, $E$3:$BX$3,0) ))</f>
        <v>#N/A</v>
      </c>
      <c r="CC18" s="636" t="e">
        <f>CB18+CB24+CB27+CB35+CB38+CB48+CB54+CB62+CB86</f>
        <v>#N/A</v>
      </c>
    </row>
    <row r="19" spans="2:81" ht="16" outlineLevel="1">
      <c r="B19" s="629"/>
      <c r="C19" s="290" t="s">
        <v>268</v>
      </c>
      <c r="D19" s="291" t="s">
        <v>262</v>
      </c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292"/>
      <c r="W19" s="292"/>
      <c r="X19" s="292"/>
      <c r="Y19" s="292"/>
      <c r="Z19" s="292"/>
      <c r="AA19" s="292"/>
      <c r="AB19" s="292"/>
      <c r="AC19" s="292"/>
      <c r="AD19" s="292"/>
      <c r="AE19" s="292"/>
      <c r="AF19" s="292"/>
      <c r="AG19" s="292"/>
      <c r="AH19" s="292"/>
      <c r="AI19" s="292"/>
      <c r="AJ19" s="292"/>
      <c r="AK19" s="292"/>
      <c r="AL19" s="292"/>
      <c r="AM19" s="292"/>
      <c r="AN19" s="292"/>
      <c r="AO19" s="292"/>
      <c r="AP19" s="292"/>
      <c r="AQ19" s="292"/>
      <c r="AR19" s="292"/>
      <c r="AS19" s="292"/>
      <c r="AT19" s="292"/>
      <c r="AU19" s="292"/>
      <c r="AV19" s="292"/>
      <c r="AW19" s="292"/>
      <c r="AX19" s="292"/>
      <c r="AY19" s="292"/>
      <c r="AZ19" s="292"/>
      <c r="BA19" s="292"/>
      <c r="BB19" s="292"/>
      <c r="BC19" s="292"/>
      <c r="BD19" s="292"/>
      <c r="BE19" s="292"/>
      <c r="BF19" s="292"/>
      <c r="BG19" s="292"/>
      <c r="BH19" s="292"/>
      <c r="BI19" s="292"/>
      <c r="BJ19" s="292"/>
      <c r="BK19" s="292"/>
      <c r="BL19" s="292"/>
      <c r="BM19" s="292"/>
      <c r="BN19" s="292"/>
      <c r="BO19" s="292"/>
      <c r="BP19" s="292"/>
      <c r="BQ19" s="292"/>
      <c r="BR19" s="292"/>
      <c r="BS19" s="292"/>
      <c r="BT19" s="292"/>
      <c r="BU19" s="292"/>
      <c r="BV19" s="292"/>
      <c r="BW19" s="292"/>
      <c r="BX19" s="292"/>
      <c r="BY19" s="293">
        <f t="shared" ref="BY19:BY23" si="8">SUM(E19:BX19)</f>
        <v>0</v>
      </c>
      <c r="BZ19" s="631"/>
      <c r="CA19" s="265"/>
      <c r="CB19" s="289" t="e">
        <f t="shared" ref="CB19:CB23" si="9">SUM(INDEX(AC19:BX19, , 1):INDEX(AC19:BX19, ,MATCH($CB$4, $E$3:$BX$3,0) ))</f>
        <v>#N/A</v>
      </c>
      <c r="CC19" s="631"/>
    </row>
    <row r="20" spans="2:81" ht="16" outlineLevel="1">
      <c r="B20" s="629"/>
      <c r="C20" s="290" t="s">
        <v>269</v>
      </c>
      <c r="D20" s="291" t="s">
        <v>262</v>
      </c>
      <c r="E20" s="292"/>
      <c r="F20" s="292"/>
      <c r="G20" s="292"/>
      <c r="H20" s="292"/>
      <c r="I20" s="292"/>
      <c r="J20" s="292"/>
      <c r="K20" s="292"/>
      <c r="L20" s="292"/>
      <c r="M20" s="292"/>
      <c r="N20" s="292"/>
      <c r="O20" s="292"/>
      <c r="P20" s="292"/>
      <c r="Q20" s="292"/>
      <c r="R20" s="292"/>
      <c r="S20" s="292"/>
      <c r="T20" s="292"/>
      <c r="U20" s="292"/>
      <c r="V20" s="292"/>
      <c r="W20" s="292"/>
      <c r="X20" s="292"/>
      <c r="Y20" s="292"/>
      <c r="Z20" s="292"/>
      <c r="AA20" s="292"/>
      <c r="AB20" s="292"/>
      <c r="AC20" s="292"/>
      <c r="AD20" s="292"/>
      <c r="AE20" s="292"/>
      <c r="AF20" s="292"/>
      <c r="AG20" s="292"/>
      <c r="AH20" s="292"/>
      <c r="AI20" s="292"/>
      <c r="AJ20" s="292"/>
      <c r="AK20" s="292"/>
      <c r="AL20" s="292"/>
      <c r="AM20" s="292"/>
      <c r="AN20" s="292"/>
      <c r="AO20" s="292"/>
      <c r="AP20" s="292"/>
      <c r="AQ20" s="292"/>
      <c r="AR20" s="292"/>
      <c r="AS20" s="292"/>
      <c r="AT20" s="292"/>
      <c r="AU20" s="292"/>
      <c r="AV20" s="292"/>
      <c r="AW20" s="292"/>
      <c r="AX20" s="292"/>
      <c r="AY20" s="292"/>
      <c r="AZ20" s="292"/>
      <c r="BA20" s="292"/>
      <c r="BB20" s="292"/>
      <c r="BC20" s="292"/>
      <c r="BD20" s="292"/>
      <c r="BE20" s="292"/>
      <c r="BF20" s="292"/>
      <c r="BG20" s="292"/>
      <c r="BH20" s="292"/>
      <c r="BI20" s="292"/>
      <c r="BJ20" s="292"/>
      <c r="BK20" s="292"/>
      <c r="BL20" s="292"/>
      <c r="BM20" s="292"/>
      <c r="BN20" s="292"/>
      <c r="BO20" s="292"/>
      <c r="BP20" s="292"/>
      <c r="BQ20" s="292"/>
      <c r="BR20" s="292"/>
      <c r="BS20" s="292"/>
      <c r="BT20" s="292"/>
      <c r="BU20" s="292"/>
      <c r="BV20" s="292"/>
      <c r="BW20" s="292"/>
      <c r="BX20" s="292"/>
      <c r="BY20" s="293">
        <f t="shared" si="8"/>
        <v>0</v>
      </c>
      <c r="BZ20" s="631"/>
      <c r="CA20" s="265"/>
      <c r="CB20" s="289" t="e">
        <f t="shared" si="9"/>
        <v>#N/A</v>
      </c>
      <c r="CC20" s="631"/>
    </row>
    <row r="21" spans="2:81" ht="16" outlineLevel="1">
      <c r="B21" s="629"/>
      <c r="C21" s="290" t="s">
        <v>270</v>
      </c>
      <c r="D21" s="291" t="s">
        <v>262</v>
      </c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/>
      <c r="X21" s="292"/>
      <c r="Y21" s="292"/>
      <c r="Z21" s="292"/>
      <c r="AA21" s="292"/>
      <c r="AB21" s="292"/>
      <c r="AC21" s="292"/>
      <c r="AD21" s="292"/>
      <c r="AE21" s="292"/>
      <c r="AF21" s="292"/>
      <c r="AG21" s="292"/>
      <c r="AH21" s="292"/>
      <c r="AI21" s="292"/>
      <c r="AJ21" s="292"/>
      <c r="AK21" s="292"/>
      <c r="AL21" s="292"/>
      <c r="AM21" s="292"/>
      <c r="AN21" s="292"/>
      <c r="AO21" s="292"/>
      <c r="AP21" s="292"/>
      <c r="AQ21" s="292"/>
      <c r="AR21" s="292"/>
      <c r="AS21" s="292"/>
      <c r="AT21" s="292"/>
      <c r="AU21" s="292"/>
      <c r="AV21" s="292"/>
      <c r="AW21" s="292"/>
      <c r="AX21" s="292"/>
      <c r="AY21" s="292"/>
      <c r="AZ21" s="292"/>
      <c r="BA21" s="292"/>
      <c r="BB21" s="292"/>
      <c r="BC21" s="292"/>
      <c r="BD21" s="292"/>
      <c r="BE21" s="292"/>
      <c r="BF21" s="292"/>
      <c r="BG21" s="292"/>
      <c r="BH21" s="292"/>
      <c r="BI21" s="292"/>
      <c r="BJ21" s="292"/>
      <c r="BK21" s="292"/>
      <c r="BL21" s="292"/>
      <c r="BM21" s="292"/>
      <c r="BN21" s="292"/>
      <c r="BO21" s="292"/>
      <c r="BP21" s="292"/>
      <c r="BQ21" s="292"/>
      <c r="BR21" s="292"/>
      <c r="BS21" s="292"/>
      <c r="BT21" s="292"/>
      <c r="BU21" s="292"/>
      <c r="BV21" s="292"/>
      <c r="BW21" s="292"/>
      <c r="BX21" s="292"/>
      <c r="BY21" s="293">
        <f t="shared" si="8"/>
        <v>0</v>
      </c>
      <c r="BZ21" s="631"/>
      <c r="CA21" s="265"/>
      <c r="CB21" s="289" t="e">
        <f t="shared" si="9"/>
        <v>#N/A</v>
      </c>
      <c r="CC21" s="631"/>
    </row>
    <row r="22" spans="2:81" ht="16" outlineLevel="1">
      <c r="B22" s="629"/>
      <c r="C22" s="290" t="s">
        <v>271</v>
      </c>
      <c r="D22" s="291" t="s">
        <v>262</v>
      </c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292"/>
      <c r="W22" s="292"/>
      <c r="X22" s="292"/>
      <c r="Y22" s="292"/>
      <c r="Z22" s="292"/>
      <c r="AA22" s="292"/>
      <c r="AB22" s="292"/>
      <c r="AC22" s="292"/>
      <c r="AD22" s="292"/>
      <c r="AE22" s="292"/>
      <c r="AF22" s="292"/>
      <c r="AG22" s="292"/>
      <c r="AH22" s="292"/>
      <c r="AI22" s="292"/>
      <c r="AJ22" s="292"/>
      <c r="AK22" s="292"/>
      <c r="AL22" s="292"/>
      <c r="AM22" s="292"/>
      <c r="AN22" s="292"/>
      <c r="AO22" s="292"/>
      <c r="AP22" s="292"/>
      <c r="AQ22" s="292"/>
      <c r="AR22" s="292"/>
      <c r="AS22" s="292"/>
      <c r="AT22" s="292"/>
      <c r="AU22" s="292"/>
      <c r="AV22" s="292"/>
      <c r="AW22" s="292"/>
      <c r="AX22" s="292"/>
      <c r="AY22" s="292"/>
      <c r="AZ22" s="292"/>
      <c r="BA22" s="292"/>
      <c r="BB22" s="292"/>
      <c r="BC22" s="292"/>
      <c r="BD22" s="292"/>
      <c r="BE22" s="292"/>
      <c r="BF22" s="292"/>
      <c r="BG22" s="292"/>
      <c r="BH22" s="292"/>
      <c r="BI22" s="292"/>
      <c r="BJ22" s="292"/>
      <c r="BK22" s="292"/>
      <c r="BL22" s="292"/>
      <c r="BM22" s="292"/>
      <c r="BN22" s="292"/>
      <c r="BO22" s="292"/>
      <c r="BP22" s="292"/>
      <c r="BQ22" s="292"/>
      <c r="BR22" s="292"/>
      <c r="BS22" s="292"/>
      <c r="BT22" s="292"/>
      <c r="BU22" s="292"/>
      <c r="BV22" s="292"/>
      <c r="BW22" s="292"/>
      <c r="BX22" s="292"/>
      <c r="BY22" s="293">
        <f t="shared" si="8"/>
        <v>0</v>
      </c>
      <c r="BZ22" s="631"/>
      <c r="CA22" s="265"/>
      <c r="CB22" s="289" t="e">
        <f t="shared" si="9"/>
        <v>#N/A</v>
      </c>
      <c r="CC22" s="631"/>
    </row>
    <row r="23" spans="2:81" ht="16" outlineLevel="1">
      <c r="B23" s="629"/>
      <c r="C23" s="290" t="s">
        <v>272</v>
      </c>
      <c r="D23" s="294" t="s">
        <v>262</v>
      </c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2"/>
      <c r="W23" s="292"/>
      <c r="X23" s="292"/>
      <c r="Y23" s="292"/>
      <c r="Z23" s="292"/>
      <c r="AA23" s="292"/>
      <c r="AB23" s="292"/>
      <c r="AC23" s="292"/>
      <c r="AD23" s="292"/>
      <c r="AE23" s="292"/>
      <c r="AF23" s="292"/>
      <c r="AG23" s="292"/>
      <c r="AH23" s="292"/>
      <c r="AI23" s="292"/>
      <c r="AJ23" s="292"/>
      <c r="AK23" s="292"/>
      <c r="AL23" s="292"/>
      <c r="AM23" s="292"/>
      <c r="AN23" s="292"/>
      <c r="AO23" s="292"/>
      <c r="AP23" s="292"/>
      <c r="AQ23" s="292"/>
      <c r="AR23" s="292"/>
      <c r="AS23" s="292"/>
      <c r="AT23" s="292"/>
      <c r="AU23" s="292"/>
      <c r="AV23" s="292"/>
      <c r="AW23" s="292"/>
      <c r="AX23" s="292"/>
      <c r="AY23" s="292"/>
      <c r="AZ23" s="292"/>
      <c r="BA23" s="292"/>
      <c r="BB23" s="292"/>
      <c r="BC23" s="292"/>
      <c r="BD23" s="292"/>
      <c r="BE23" s="292"/>
      <c r="BF23" s="292"/>
      <c r="BG23" s="292"/>
      <c r="BH23" s="292"/>
      <c r="BI23" s="292"/>
      <c r="BJ23" s="292"/>
      <c r="BK23" s="292"/>
      <c r="BL23" s="292"/>
      <c r="BM23" s="292"/>
      <c r="BN23" s="292"/>
      <c r="BO23" s="292"/>
      <c r="BP23" s="292"/>
      <c r="BQ23" s="292"/>
      <c r="BR23" s="292"/>
      <c r="BS23" s="292"/>
      <c r="BT23" s="292"/>
      <c r="BU23" s="292"/>
      <c r="BV23" s="292"/>
      <c r="BW23" s="292"/>
      <c r="BX23" s="292"/>
      <c r="BY23" s="293">
        <f t="shared" si="8"/>
        <v>0</v>
      </c>
      <c r="BZ23" s="631"/>
      <c r="CA23" s="265"/>
      <c r="CB23" s="289" t="e">
        <f t="shared" si="9"/>
        <v>#N/A</v>
      </c>
      <c r="CC23" s="631"/>
    </row>
    <row r="24" spans="2:81" ht="16">
      <c r="B24" s="629"/>
      <c r="C24" s="285" t="s">
        <v>274</v>
      </c>
      <c r="D24" s="286"/>
      <c r="E24" s="287">
        <f t="shared" ref="E24:BY24" si="10">SUM(E25:E26)</f>
        <v>0</v>
      </c>
      <c r="F24" s="287">
        <f t="shared" si="10"/>
        <v>0</v>
      </c>
      <c r="G24" s="287">
        <f t="shared" si="10"/>
        <v>0</v>
      </c>
      <c r="H24" s="287">
        <f t="shared" si="10"/>
        <v>0</v>
      </c>
      <c r="I24" s="287">
        <f t="shared" si="10"/>
        <v>0</v>
      </c>
      <c r="J24" s="287">
        <f t="shared" si="10"/>
        <v>0</v>
      </c>
      <c r="K24" s="287">
        <f t="shared" si="10"/>
        <v>0</v>
      </c>
      <c r="L24" s="287">
        <f t="shared" si="10"/>
        <v>0</v>
      </c>
      <c r="M24" s="287">
        <f t="shared" si="10"/>
        <v>0</v>
      </c>
      <c r="N24" s="287">
        <f t="shared" si="10"/>
        <v>0</v>
      </c>
      <c r="O24" s="287">
        <f t="shared" si="10"/>
        <v>0</v>
      </c>
      <c r="P24" s="287">
        <f t="shared" si="10"/>
        <v>0</v>
      </c>
      <c r="Q24" s="287">
        <f t="shared" si="10"/>
        <v>0</v>
      </c>
      <c r="R24" s="287">
        <f t="shared" si="10"/>
        <v>0</v>
      </c>
      <c r="S24" s="287">
        <f t="shared" si="10"/>
        <v>0</v>
      </c>
      <c r="T24" s="287">
        <f t="shared" si="10"/>
        <v>0</v>
      </c>
      <c r="U24" s="287">
        <f t="shared" si="10"/>
        <v>0</v>
      </c>
      <c r="V24" s="287">
        <f t="shared" si="10"/>
        <v>0</v>
      </c>
      <c r="W24" s="287">
        <f t="shared" si="10"/>
        <v>0</v>
      </c>
      <c r="X24" s="287">
        <f t="shared" si="10"/>
        <v>0</v>
      </c>
      <c r="Y24" s="287">
        <f t="shared" si="10"/>
        <v>0</v>
      </c>
      <c r="Z24" s="287">
        <f t="shared" si="10"/>
        <v>0</v>
      </c>
      <c r="AA24" s="287">
        <f t="shared" si="10"/>
        <v>0</v>
      </c>
      <c r="AB24" s="287">
        <f t="shared" si="10"/>
        <v>0</v>
      </c>
      <c r="AC24" s="287">
        <f t="shared" si="10"/>
        <v>0</v>
      </c>
      <c r="AD24" s="287">
        <f t="shared" si="10"/>
        <v>0</v>
      </c>
      <c r="AE24" s="287">
        <f t="shared" si="10"/>
        <v>0</v>
      </c>
      <c r="AF24" s="287">
        <f t="shared" si="10"/>
        <v>0</v>
      </c>
      <c r="AG24" s="287">
        <f t="shared" si="10"/>
        <v>0</v>
      </c>
      <c r="AH24" s="287">
        <f t="shared" si="10"/>
        <v>0</v>
      </c>
      <c r="AI24" s="287">
        <f t="shared" si="10"/>
        <v>0</v>
      </c>
      <c r="AJ24" s="287">
        <f t="shared" si="10"/>
        <v>0</v>
      </c>
      <c r="AK24" s="287">
        <f t="shared" si="10"/>
        <v>0</v>
      </c>
      <c r="AL24" s="287">
        <f t="shared" si="10"/>
        <v>0</v>
      </c>
      <c r="AM24" s="287">
        <f t="shared" si="10"/>
        <v>0</v>
      </c>
      <c r="AN24" s="287">
        <f t="shared" si="10"/>
        <v>0</v>
      </c>
      <c r="AO24" s="287">
        <f t="shared" si="10"/>
        <v>0</v>
      </c>
      <c r="AP24" s="287">
        <f t="shared" si="10"/>
        <v>0</v>
      </c>
      <c r="AQ24" s="287">
        <f t="shared" si="10"/>
        <v>0</v>
      </c>
      <c r="AR24" s="287">
        <f t="shared" si="10"/>
        <v>0</v>
      </c>
      <c r="AS24" s="287">
        <f t="shared" si="10"/>
        <v>0</v>
      </c>
      <c r="AT24" s="287">
        <f t="shared" si="10"/>
        <v>0</v>
      </c>
      <c r="AU24" s="287">
        <f t="shared" si="10"/>
        <v>0</v>
      </c>
      <c r="AV24" s="287">
        <f t="shared" si="10"/>
        <v>0</v>
      </c>
      <c r="AW24" s="287">
        <f t="shared" si="10"/>
        <v>0</v>
      </c>
      <c r="AX24" s="287">
        <f t="shared" si="10"/>
        <v>0</v>
      </c>
      <c r="AY24" s="287">
        <f t="shared" si="10"/>
        <v>0</v>
      </c>
      <c r="AZ24" s="287">
        <f t="shared" si="10"/>
        <v>0</v>
      </c>
      <c r="BA24" s="287">
        <f t="shared" si="10"/>
        <v>0</v>
      </c>
      <c r="BB24" s="287">
        <f t="shared" si="10"/>
        <v>0</v>
      </c>
      <c r="BC24" s="287">
        <f t="shared" si="10"/>
        <v>0</v>
      </c>
      <c r="BD24" s="287">
        <f t="shared" si="10"/>
        <v>0</v>
      </c>
      <c r="BE24" s="287">
        <f t="shared" si="10"/>
        <v>0</v>
      </c>
      <c r="BF24" s="287">
        <f t="shared" si="10"/>
        <v>0</v>
      </c>
      <c r="BG24" s="287">
        <f t="shared" si="10"/>
        <v>0</v>
      </c>
      <c r="BH24" s="287">
        <f t="shared" si="10"/>
        <v>0</v>
      </c>
      <c r="BI24" s="287">
        <f t="shared" si="10"/>
        <v>0</v>
      </c>
      <c r="BJ24" s="287">
        <f t="shared" si="10"/>
        <v>0</v>
      </c>
      <c r="BK24" s="287">
        <f t="shared" si="10"/>
        <v>0</v>
      </c>
      <c r="BL24" s="287">
        <f t="shared" si="10"/>
        <v>0</v>
      </c>
      <c r="BM24" s="287">
        <f t="shared" si="10"/>
        <v>0</v>
      </c>
      <c r="BN24" s="287">
        <f t="shared" si="10"/>
        <v>0</v>
      </c>
      <c r="BO24" s="287">
        <f t="shared" si="10"/>
        <v>0</v>
      </c>
      <c r="BP24" s="287">
        <f t="shared" si="10"/>
        <v>0</v>
      </c>
      <c r="BQ24" s="287">
        <f t="shared" si="10"/>
        <v>0</v>
      </c>
      <c r="BR24" s="287">
        <f t="shared" si="10"/>
        <v>0</v>
      </c>
      <c r="BS24" s="287">
        <f t="shared" si="10"/>
        <v>0</v>
      </c>
      <c r="BT24" s="287">
        <f t="shared" si="10"/>
        <v>0</v>
      </c>
      <c r="BU24" s="287">
        <f t="shared" si="10"/>
        <v>0</v>
      </c>
      <c r="BV24" s="287">
        <f t="shared" si="10"/>
        <v>0</v>
      </c>
      <c r="BW24" s="287">
        <f t="shared" si="10"/>
        <v>0</v>
      </c>
      <c r="BX24" s="287">
        <f t="shared" si="10"/>
        <v>0</v>
      </c>
      <c r="BY24" s="288">
        <f t="shared" si="10"/>
        <v>0</v>
      </c>
      <c r="BZ24" s="631"/>
      <c r="CA24" s="265"/>
      <c r="CB24" s="289" t="e">
        <f t="array" ref="CB24">SUM(INDEX(E24:BX24, , 1):INDEX(E24:BX24, ,MATCH($CB$4, $E$3:$BX$3,0) ))</f>
        <v>#N/A</v>
      </c>
      <c r="CC24" s="631"/>
    </row>
    <row r="25" spans="2:81" ht="16" outlineLevel="1">
      <c r="B25" s="629"/>
      <c r="C25" s="290" t="s">
        <v>275</v>
      </c>
      <c r="D25" s="294" t="s">
        <v>262</v>
      </c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5"/>
      <c r="S25" s="295"/>
      <c r="T25" s="295"/>
      <c r="U25" s="295"/>
      <c r="V25" s="295"/>
      <c r="W25" s="295"/>
      <c r="X25" s="295"/>
      <c r="Y25" s="295"/>
      <c r="Z25" s="295"/>
      <c r="AA25" s="295"/>
      <c r="AB25" s="295"/>
      <c r="AC25" s="295"/>
      <c r="AD25" s="295"/>
      <c r="AE25" s="295"/>
      <c r="AF25" s="295"/>
      <c r="AG25" s="295"/>
      <c r="AH25" s="295"/>
      <c r="AI25" s="295"/>
      <c r="AJ25" s="295"/>
      <c r="AK25" s="295"/>
      <c r="AL25" s="295"/>
      <c r="AM25" s="295"/>
      <c r="AN25" s="295"/>
      <c r="AO25" s="295"/>
      <c r="AP25" s="295"/>
      <c r="AQ25" s="295"/>
      <c r="AR25" s="295"/>
      <c r="AS25" s="295"/>
      <c r="AT25" s="295"/>
      <c r="AU25" s="295"/>
      <c r="AV25" s="295"/>
      <c r="AW25" s="295"/>
      <c r="AX25" s="295"/>
      <c r="AY25" s="295"/>
      <c r="AZ25" s="295"/>
      <c r="BA25" s="295"/>
      <c r="BB25" s="295"/>
      <c r="BC25" s="295"/>
      <c r="BD25" s="295"/>
      <c r="BE25" s="295"/>
      <c r="BF25" s="295"/>
      <c r="BG25" s="295"/>
      <c r="BH25" s="295"/>
      <c r="BI25" s="295"/>
      <c r="BJ25" s="295"/>
      <c r="BK25" s="295"/>
      <c r="BL25" s="295"/>
      <c r="BM25" s="295"/>
      <c r="BN25" s="295"/>
      <c r="BO25" s="295"/>
      <c r="BP25" s="295"/>
      <c r="BQ25" s="295"/>
      <c r="BR25" s="295"/>
      <c r="BS25" s="295"/>
      <c r="BT25" s="295"/>
      <c r="BU25" s="295"/>
      <c r="BV25" s="295"/>
      <c r="BW25" s="295"/>
      <c r="BX25" s="295"/>
      <c r="BY25" s="296">
        <f t="shared" ref="BY25:BY26" si="11">SUM(E25:BX25)</f>
        <v>0</v>
      </c>
      <c r="BZ25" s="631"/>
      <c r="CA25" s="265"/>
      <c r="CB25" s="289" t="e">
        <f t="shared" ref="CB25:CB26" si="12">SUM(INDEX(AC25:BX25, , 1):INDEX(AC25:BX25, ,MATCH(#REF!, $E$3:$BX$3,0) ))</f>
        <v>#REF!</v>
      </c>
      <c r="CC25" s="631"/>
    </row>
    <row r="26" spans="2:81" ht="16" outlineLevel="1">
      <c r="B26" s="629"/>
      <c r="C26" s="290" t="s">
        <v>276</v>
      </c>
      <c r="D26" s="294" t="s">
        <v>262</v>
      </c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  <c r="AA26" s="295"/>
      <c r="AB26" s="295"/>
      <c r="AC26" s="295"/>
      <c r="AD26" s="295"/>
      <c r="AE26" s="295"/>
      <c r="AF26" s="295"/>
      <c r="AG26" s="295"/>
      <c r="AH26" s="295"/>
      <c r="AI26" s="295"/>
      <c r="AJ26" s="295"/>
      <c r="AK26" s="295"/>
      <c r="AL26" s="295"/>
      <c r="AM26" s="295"/>
      <c r="AN26" s="295"/>
      <c r="AO26" s="295"/>
      <c r="AP26" s="295"/>
      <c r="AQ26" s="295"/>
      <c r="AR26" s="295"/>
      <c r="AS26" s="295"/>
      <c r="AT26" s="295"/>
      <c r="AU26" s="295"/>
      <c r="AV26" s="295"/>
      <c r="AW26" s="295"/>
      <c r="AX26" s="295"/>
      <c r="AY26" s="295"/>
      <c r="AZ26" s="295"/>
      <c r="BA26" s="295"/>
      <c r="BB26" s="295"/>
      <c r="BC26" s="295"/>
      <c r="BD26" s="295"/>
      <c r="BE26" s="295"/>
      <c r="BF26" s="295"/>
      <c r="BG26" s="295"/>
      <c r="BH26" s="295"/>
      <c r="BI26" s="295"/>
      <c r="BJ26" s="295"/>
      <c r="BK26" s="295"/>
      <c r="BL26" s="295"/>
      <c r="BM26" s="295"/>
      <c r="BN26" s="295"/>
      <c r="BO26" s="295"/>
      <c r="BP26" s="295"/>
      <c r="BQ26" s="295"/>
      <c r="BR26" s="295"/>
      <c r="BS26" s="295"/>
      <c r="BT26" s="295"/>
      <c r="BU26" s="295"/>
      <c r="BV26" s="295"/>
      <c r="BW26" s="295"/>
      <c r="BX26" s="295"/>
      <c r="BY26" s="296">
        <f t="shared" si="11"/>
        <v>0</v>
      </c>
      <c r="BZ26" s="631"/>
      <c r="CA26" s="265"/>
      <c r="CB26" s="289" t="e">
        <f t="shared" si="12"/>
        <v>#REF!</v>
      </c>
      <c r="CC26" s="631"/>
    </row>
    <row r="27" spans="2:81" ht="16">
      <c r="B27" s="629"/>
      <c r="C27" s="285" t="s">
        <v>277</v>
      </c>
      <c r="D27" s="286"/>
      <c r="E27" s="287">
        <f t="shared" ref="E27:BX27" si="13">SUM(E28:E34)</f>
        <v>0</v>
      </c>
      <c r="F27" s="287">
        <f t="shared" si="13"/>
        <v>0</v>
      </c>
      <c r="G27" s="287">
        <f t="shared" si="13"/>
        <v>0</v>
      </c>
      <c r="H27" s="287">
        <f t="shared" si="13"/>
        <v>0</v>
      </c>
      <c r="I27" s="287">
        <f t="shared" si="13"/>
        <v>0</v>
      </c>
      <c r="J27" s="287">
        <f t="shared" si="13"/>
        <v>0</v>
      </c>
      <c r="K27" s="287">
        <f t="shared" si="13"/>
        <v>0</v>
      </c>
      <c r="L27" s="287">
        <f t="shared" si="13"/>
        <v>0</v>
      </c>
      <c r="M27" s="287">
        <f t="shared" si="13"/>
        <v>0</v>
      </c>
      <c r="N27" s="287">
        <f t="shared" si="13"/>
        <v>0</v>
      </c>
      <c r="O27" s="287">
        <f t="shared" si="13"/>
        <v>0</v>
      </c>
      <c r="P27" s="287">
        <f t="shared" si="13"/>
        <v>0</v>
      </c>
      <c r="Q27" s="287">
        <f t="shared" si="13"/>
        <v>0</v>
      </c>
      <c r="R27" s="287">
        <f t="shared" si="13"/>
        <v>0</v>
      </c>
      <c r="S27" s="287">
        <f t="shared" si="13"/>
        <v>-60522</v>
      </c>
      <c r="T27" s="287">
        <f t="shared" si="13"/>
        <v>-625384.33333333337</v>
      </c>
      <c r="U27" s="287">
        <f t="shared" si="13"/>
        <v>-625384.33333333337</v>
      </c>
      <c r="V27" s="287">
        <f t="shared" si="13"/>
        <v>-11499828.777777778</v>
      </c>
      <c r="W27" s="287">
        <f t="shared" si="13"/>
        <v>-11499828.777777778</v>
      </c>
      <c r="X27" s="287">
        <f t="shared" si="13"/>
        <v>-11499828.777777778</v>
      </c>
      <c r="Y27" s="287">
        <f t="shared" si="13"/>
        <v>-11499828.777777778</v>
      </c>
      <c r="Z27" s="287">
        <f t="shared" si="13"/>
        <v>-11499828.777777778</v>
      </c>
      <c r="AA27" s="287">
        <f t="shared" si="13"/>
        <v>-11499828.777777778</v>
      </c>
      <c r="AB27" s="287">
        <f t="shared" si="13"/>
        <v>-11499828.777777778</v>
      </c>
      <c r="AC27" s="287">
        <f t="shared" si="13"/>
        <v>-10874444.444444444</v>
      </c>
      <c r="AD27" s="287">
        <f t="shared" si="13"/>
        <v>-10874444.444444444</v>
      </c>
      <c r="AE27" s="287">
        <f t="shared" si="13"/>
        <v>-10874444.444444444</v>
      </c>
      <c r="AF27" s="287">
        <f t="shared" si="13"/>
        <v>0</v>
      </c>
      <c r="AG27" s="287">
        <f t="shared" si="13"/>
        <v>0</v>
      </c>
      <c r="AH27" s="287">
        <f t="shared" si="13"/>
        <v>0</v>
      </c>
      <c r="AI27" s="287">
        <f t="shared" si="13"/>
        <v>0</v>
      </c>
      <c r="AJ27" s="287">
        <f t="shared" si="13"/>
        <v>0</v>
      </c>
      <c r="AK27" s="287">
        <f t="shared" si="13"/>
        <v>0</v>
      </c>
      <c r="AL27" s="287">
        <f t="shared" si="13"/>
        <v>0</v>
      </c>
      <c r="AM27" s="287">
        <f t="shared" si="13"/>
        <v>0</v>
      </c>
      <c r="AN27" s="287">
        <f t="shared" si="13"/>
        <v>0</v>
      </c>
      <c r="AO27" s="287">
        <f t="shared" si="13"/>
        <v>0</v>
      </c>
      <c r="AP27" s="287">
        <f t="shared" si="13"/>
        <v>0</v>
      </c>
      <c r="AQ27" s="287">
        <f t="shared" si="13"/>
        <v>0</v>
      </c>
      <c r="AR27" s="287">
        <f t="shared" si="13"/>
        <v>0</v>
      </c>
      <c r="AS27" s="287">
        <f t="shared" si="13"/>
        <v>0</v>
      </c>
      <c r="AT27" s="287">
        <f t="shared" si="13"/>
        <v>0</v>
      </c>
      <c r="AU27" s="287">
        <f t="shared" si="13"/>
        <v>0</v>
      </c>
      <c r="AV27" s="287">
        <f t="shared" si="13"/>
        <v>0</v>
      </c>
      <c r="AW27" s="287">
        <f t="shared" si="13"/>
        <v>0</v>
      </c>
      <c r="AX27" s="287">
        <f t="shared" si="13"/>
        <v>0</v>
      </c>
      <c r="AY27" s="287">
        <f t="shared" si="13"/>
        <v>0</v>
      </c>
      <c r="AZ27" s="287">
        <f t="shared" si="13"/>
        <v>0</v>
      </c>
      <c r="BA27" s="287">
        <f t="shared" si="13"/>
        <v>0</v>
      </c>
      <c r="BB27" s="287">
        <f t="shared" si="13"/>
        <v>0</v>
      </c>
      <c r="BC27" s="287">
        <f t="shared" si="13"/>
        <v>0</v>
      </c>
      <c r="BD27" s="287">
        <f t="shared" si="13"/>
        <v>0</v>
      </c>
      <c r="BE27" s="287">
        <f t="shared" si="13"/>
        <v>0</v>
      </c>
      <c r="BF27" s="287">
        <f t="shared" si="13"/>
        <v>0</v>
      </c>
      <c r="BG27" s="287">
        <f t="shared" si="13"/>
        <v>0</v>
      </c>
      <c r="BH27" s="287">
        <f t="shared" si="13"/>
        <v>0</v>
      </c>
      <c r="BI27" s="287">
        <f t="shared" si="13"/>
        <v>0</v>
      </c>
      <c r="BJ27" s="287">
        <f t="shared" si="13"/>
        <v>0</v>
      </c>
      <c r="BK27" s="287">
        <f t="shared" si="13"/>
        <v>0</v>
      </c>
      <c r="BL27" s="287">
        <f t="shared" si="13"/>
        <v>0</v>
      </c>
      <c r="BM27" s="287">
        <f t="shared" si="13"/>
        <v>0</v>
      </c>
      <c r="BN27" s="287">
        <f t="shared" si="13"/>
        <v>0</v>
      </c>
      <c r="BO27" s="287">
        <f t="shared" si="13"/>
        <v>0</v>
      </c>
      <c r="BP27" s="287">
        <f t="shared" si="13"/>
        <v>0</v>
      </c>
      <c r="BQ27" s="287">
        <f t="shared" si="13"/>
        <v>0</v>
      </c>
      <c r="BR27" s="287">
        <f t="shared" si="13"/>
        <v>0</v>
      </c>
      <c r="BS27" s="287">
        <f t="shared" si="13"/>
        <v>0</v>
      </c>
      <c r="BT27" s="287">
        <f t="shared" si="13"/>
        <v>0</v>
      </c>
      <c r="BU27" s="287">
        <f t="shared" si="13"/>
        <v>0</v>
      </c>
      <c r="BV27" s="287">
        <f t="shared" si="13"/>
        <v>0</v>
      </c>
      <c r="BW27" s="287">
        <f t="shared" si="13"/>
        <v>0</v>
      </c>
      <c r="BX27" s="287">
        <f t="shared" si="13"/>
        <v>0</v>
      </c>
      <c r="BY27" s="289">
        <f>SUM(BY28:BY34)</f>
        <v>-114433425.44444446</v>
      </c>
      <c r="BZ27" s="631"/>
      <c r="CA27" s="265"/>
      <c r="CB27" s="289" t="e">
        <f t="array" ref="CB27">SUM(INDEX(E27:BX27, , 1):INDEX(E27:BX27, ,MATCH($CB$4, $E$3:$BX$3,0) ))</f>
        <v>#N/A</v>
      </c>
      <c r="CC27" s="631"/>
    </row>
    <row r="28" spans="2:81" ht="16" outlineLevel="1">
      <c r="B28" s="629"/>
      <c r="C28" s="290" t="s">
        <v>278</v>
      </c>
      <c r="D28" s="291" t="s">
        <v>262</v>
      </c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/>
      <c r="R28" s="292"/>
      <c r="S28" s="292"/>
      <c r="T28" s="292"/>
      <c r="U28" s="292"/>
      <c r="V28" s="292">
        <f>-Businessplan_prodej!$F$30/9</f>
        <v>-10874444.444444444</v>
      </c>
      <c r="W28" s="292">
        <f>-Businessplan_prodej!$F$30/9</f>
        <v>-10874444.444444444</v>
      </c>
      <c r="X28" s="292">
        <f>-Businessplan_prodej!$F$30/9</f>
        <v>-10874444.444444444</v>
      </c>
      <c r="Y28" s="292">
        <f>-Businessplan_prodej!$F$30/9</f>
        <v>-10874444.444444444</v>
      </c>
      <c r="Z28" s="292">
        <f>-Businessplan_prodej!$F$30/9</f>
        <v>-10874444.444444444</v>
      </c>
      <c r="AA28" s="292">
        <f>-Businessplan_prodej!$F$30/9</f>
        <v>-10874444.444444444</v>
      </c>
      <c r="AB28" s="292">
        <f>-Businessplan_prodej!$F$30/9</f>
        <v>-10874444.444444444</v>
      </c>
      <c r="AC28" s="292">
        <f>-Businessplan_prodej!$F$30/9</f>
        <v>-10874444.444444444</v>
      </c>
      <c r="AD28" s="292">
        <f>-Businessplan_prodej!$F$30/9</f>
        <v>-10874444.444444444</v>
      </c>
      <c r="AE28" s="292">
        <f>-Businessplan_prodej!$F$30/9</f>
        <v>-10874444.444444444</v>
      </c>
      <c r="AF28" s="292"/>
      <c r="AG28" s="292"/>
      <c r="AH28" s="292"/>
      <c r="AI28" s="292"/>
      <c r="AJ28" s="292"/>
      <c r="AK28" s="292"/>
      <c r="AL28" s="292"/>
      <c r="AM28" s="292"/>
      <c r="AN28" s="292"/>
      <c r="AO28" s="292"/>
      <c r="AP28" s="292"/>
      <c r="AQ28" s="292"/>
      <c r="AR28" s="292"/>
      <c r="AS28" s="292"/>
      <c r="AT28" s="292"/>
      <c r="AU28" s="292"/>
      <c r="AV28" s="292"/>
      <c r="AW28" s="292"/>
      <c r="AX28" s="292"/>
      <c r="AY28" s="292"/>
      <c r="AZ28" s="292"/>
      <c r="BA28" s="292"/>
      <c r="BB28" s="292"/>
      <c r="BC28" s="292"/>
      <c r="BD28" s="292"/>
      <c r="BE28" s="292"/>
      <c r="BF28" s="292"/>
      <c r="BG28" s="292"/>
      <c r="BH28" s="292"/>
      <c r="BI28" s="292"/>
      <c r="BJ28" s="292"/>
      <c r="BK28" s="292"/>
      <c r="BL28" s="292"/>
      <c r="BM28" s="292"/>
      <c r="BN28" s="292"/>
      <c r="BO28" s="292"/>
      <c r="BP28" s="292"/>
      <c r="BQ28" s="292"/>
      <c r="BR28" s="292"/>
      <c r="BS28" s="292"/>
      <c r="BT28" s="292"/>
      <c r="BU28" s="292"/>
      <c r="BV28" s="292"/>
      <c r="BW28" s="292"/>
      <c r="BX28" s="297"/>
      <c r="BY28" s="298">
        <f t="shared" ref="BY28:BY34" si="14">SUM(E28:BX28)</f>
        <v>-108744444.44444446</v>
      </c>
      <c r="BZ28" s="631"/>
      <c r="CA28" s="265"/>
      <c r="CB28" s="289" t="e">
        <f t="shared" ref="CB28:CB34" si="15">SUM(INDEX(AC28:BX28, , 1):INDEX(AC28:BX28, ,MATCH(#REF!, $E$3:$BX$3,0) ))</f>
        <v>#REF!</v>
      </c>
      <c r="CC28" s="631"/>
    </row>
    <row r="29" spans="2:81" ht="16" outlineLevel="1">
      <c r="B29" s="629"/>
      <c r="C29" s="290" t="s">
        <v>363</v>
      </c>
      <c r="D29" s="291" t="s">
        <v>262</v>
      </c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2"/>
      <c r="P29" s="292"/>
      <c r="Q29" s="292"/>
      <c r="R29" s="292"/>
      <c r="S29" s="292"/>
      <c r="T29" s="292"/>
      <c r="U29" s="292"/>
      <c r="V29" s="292"/>
      <c r="W29" s="292"/>
      <c r="X29" s="292"/>
      <c r="Y29" s="292"/>
      <c r="Z29" s="292"/>
      <c r="AA29" s="292"/>
      <c r="AB29" s="292"/>
      <c r="AC29" s="292"/>
      <c r="AD29" s="292"/>
      <c r="AE29" s="292"/>
      <c r="AF29" s="292"/>
      <c r="AG29" s="292"/>
      <c r="AH29" s="292"/>
      <c r="AI29" s="292"/>
      <c r="AJ29" s="292"/>
      <c r="AK29" s="292"/>
      <c r="AL29" s="292"/>
      <c r="AM29" s="292"/>
      <c r="AN29" s="292"/>
      <c r="AO29" s="292"/>
      <c r="AP29" s="292"/>
      <c r="AQ29" s="292"/>
      <c r="AR29" s="292"/>
      <c r="AS29" s="292"/>
      <c r="AT29" s="292"/>
      <c r="AU29" s="292"/>
      <c r="AV29" s="292"/>
      <c r="AW29" s="292"/>
      <c r="AX29" s="292"/>
      <c r="AY29" s="292"/>
      <c r="AZ29" s="292"/>
      <c r="BA29" s="292"/>
      <c r="BB29" s="292"/>
      <c r="BC29" s="292"/>
      <c r="BD29" s="292"/>
      <c r="BE29" s="292"/>
      <c r="BF29" s="292"/>
      <c r="BG29" s="292"/>
      <c r="BH29" s="292"/>
      <c r="BI29" s="292"/>
      <c r="BJ29" s="292"/>
      <c r="BK29" s="292"/>
      <c r="BL29" s="292"/>
      <c r="BM29" s="292"/>
      <c r="BN29" s="292"/>
      <c r="BO29" s="292"/>
      <c r="BP29" s="292"/>
      <c r="BQ29" s="292"/>
      <c r="BR29" s="292"/>
      <c r="BS29" s="292"/>
      <c r="BT29" s="292"/>
      <c r="BU29" s="292"/>
      <c r="BV29" s="292"/>
      <c r="BW29" s="292"/>
      <c r="BX29" s="297"/>
      <c r="BY29" s="299">
        <f t="shared" si="14"/>
        <v>0</v>
      </c>
      <c r="BZ29" s="631"/>
      <c r="CA29" s="265"/>
      <c r="CB29" s="289" t="e">
        <f t="shared" si="15"/>
        <v>#REF!</v>
      </c>
      <c r="CC29" s="631"/>
    </row>
    <row r="30" spans="2:81" ht="16" outlineLevel="1">
      <c r="B30" s="629"/>
      <c r="C30" s="290" t="s">
        <v>279</v>
      </c>
      <c r="D30" s="291" t="s">
        <v>262</v>
      </c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/>
      <c r="R30" s="292"/>
      <c r="S30" s="292"/>
      <c r="T30" s="292"/>
      <c r="U30" s="292"/>
      <c r="V30" s="292"/>
      <c r="W30" s="292"/>
      <c r="X30" s="292"/>
      <c r="Y30" s="292"/>
      <c r="Z30" s="292"/>
      <c r="AA30" s="292"/>
      <c r="AB30" s="292"/>
      <c r="AC30" s="292"/>
      <c r="AD30" s="292"/>
      <c r="AE30" s="292"/>
      <c r="AF30" s="292"/>
      <c r="AG30" s="292"/>
      <c r="AH30" s="292"/>
      <c r="AI30" s="292"/>
      <c r="AJ30" s="292"/>
      <c r="AK30" s="292"/>
      <c r="AL30" s="292"/>
      <c r="AM30" s="292"/>
      <c r="AN30" s="292"/>
      <c r="AO30" s="292"/>
      <c r="AP30" s="292"/>
      <c r="AQ30" s="292"/>
      <c r="AR30" s="292"/>
      <c r="AS30" s="292"/>
      <c r="AT30" s="292"/>
      <c r="AU30" s="292"/>
      <c r="AV30" s="292"/>
      <c r="AW30" s="292"/>
      <c r="AX30" s="292"/>
      <c r="AY30" s="292"/>
      <c r="AZ30" s="292"/>
      <c r="BA30" s="292"/>
      <c r="BB30" s="292"/>
      <c r="BC30" s="292"/>
      <c r="BD30" s="292"/>
      <c r="BE30" s="292"/>
      <c r="BF30" s="292"/>
      <c r="BG30" s="292"/>
      <c r="BH30" s="292"/>
      <c r="BI30" s="292"/>
      <c r="BJ30" s="292"/>
      <c r="BK30" s="292"/>
      <c r="BL30" s="292"/>
      <c r="BM30" s="292"/>
      <c r="BN30" s="292"/>
      <c r="BO30" s="292"/>
      <c r="BP30" s="292"/>
      <c r="BQ30" s="292"/>
      <c r="BR30" s="292"/>
      <c r="BS30" s="292"/>
      <c r="BT30" s="292"/>
      <c r="BU30" s="292"/>
      <c r="BV30" s="292"/>
      <c r="BW30" s="292"/>
      <c r="BX30" s="297"/>
      <c r="BY30" s="299">
        <f t="shared" si="14"/>
        <v>0</v>
      </c>
      <c r="BZ30" s="631"/>
      <c r="CA30" s="265"/>
      <c r="CB30" s="289" t="e">
        <f t="shared" si="15"/>
        <v>#REF!</v>
      </c>
      <c r="CC30" s="631"/>
    </row>
    <row r="31" spans="2:81" ht="16" outlineLevel="1">
      <c r="B31" s="629"/>
      <c r="C31" s="290" t="s">
        <v>280</v>
      </c>
      <c r="D31" s="291" t="s">
        <v>262</v>
      </c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  <c r="V31" s="292"/>
      <c r="W31" s="292"/>
      <c r="X31" s="292"/>
      <c r="Y31" s="292"/>
      <c r="Z31" s="292"/>
      <c r="AA31" s="292"/>
      <c r="AB31" s="292"/>
      <c r="AC31" s="292"/>
      <c r="AD31" s="292"/>
      <c r="AE31" s="292"/>
      <c r="AF31" s="292"/>
      <c r="AG31" s="292"/>
      <c r="AH31" s="292"/>
      <c r="AI31" s="292"/>
      <c r="AJ31" s="292"/>
      <c r="AK31" s="292"/>
      <c r="AL31" s="292"/>
      <c r="AM31" s="292"/>
      <c r="AN31" s="292"/>
      <c r="AO31" s="292"/>
      <c r="AP31" s="292"/>
      <c r="AQ31" s="292"/>
      <c r="AR31" s="292"/>
      <c r="AS31" s="292"/>
      <c r="AT31" s="292"/>
      <c r="AU31" s="292"/>
      <c r="AV31" s="292"/>
      <c r="AW31" s="292"/>
      <c r="AX31" s="292"/>
      <c r="AY31" s="292"/>
      <c r="AZ31" s="292"/>
      <c r="BA31" s="292"/>
      <c r="BB31" s="292"/>
      <c r="BC31" s="292"/>
      <c r="BD31" s="292"/>
      <c r="BE31" s="292"/>
      <c r="BF31" s="292"/>
      <c r="BG31" s="292"/>
      <c r="BH31" s="292"/>
      <c r="BI31" s="292"/>
      <c r="BJ31" s="292"/>
      <c r="BK31" s="292"/>
      <c r="BL31" s="292"/>
      <c r="BM31" s="292"/>
      <c r="BN31" s="292"/>
      <c r="BO31" s="292"/>
      <c r="BP31" s="292"/>
      <c r="BQ31" s="292"/>
      <c r="BR31" s="292"/>
      <c r="BS31" s="292"/>
      <c r="BT31" s="292"/>
      <c r="BU31" s="292"/>
      <c r="BV31" s="292"/>
      <c r="BW31" s="292"/>
      <c r="BX31" s="297"/>
      <c r="BY31" s="299">
        <f t="shared" si="14"/>
        <v>0</v>
      </c>
      <c r="BZ31" s="631"/>
      <c r="CA31" s="265"/>
      <c r="CB31" s="289" t="e">
        <f t="shared" si="15"/>
        <v>#REF!</v>
      </c>
      <c r="CC31" s="631"/>
    </row>
    <row r="32" spans="2:81" ht="16" outlineLevel="1">
      <c r="B32" s="629"/>
      <c r="C32" s="290" t="s">
        <v>281</v>
      </c>
      <c r="D32" s="291" t="s">
        <v>262</v>
      </c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S32" s="292">
        <f>-Businessplan_prodej!$F$37/10</f>
        <v>-60522</v>
      </c>
      <c r="T32" s="292">
        <f>-Businessplan_prodej!$F$37/10</f>
        <v>-60522</v>
      </c>
      <c r="U32" s="292">
        <f>-Businessplan_prodej!$F$37/10</f>
        <v>-60522</v>
      </c>
      <c r="V32" s="292">
        <f>-Businessplan_prodej!$F$37/10</f>
        <v>-60522</v>
      </c>
      <c r="W32" s="292">
        <f>-Businessplan_prodej!$F$37/10</f>
        <v>-60522</v>
      </c>
      <c r="X32" s="292">
        <f>-Businessplan_prodej!$F$37/10</f>
        <v>-60522</v>
      </c>
      <c r="Y32" s="292">
        <f>-Businessplan_prodej!$F$37/10</f>
        <v>-60522</v>
      </c>
      <c r="Z32" s="292">
        <f>-Businessplan_prodej!$F$37/10</f>
        <v>-60522</v>
      </c>
      <c r="AA32" s="292">
        <f>-Businessplan_prodej!$F$37/10</f>
        <v>-60522</v>
      </c>
      <c r="AB32" s="292">
        <f>-Businessplan_prodej!$F$37/10</f>
        <v>-60522</v>
      </c>
      <c r="AC32" s="292"/>
      <c r="AD32" s="292"/>
      <c r="AE32" s="292"/>
      <c r="AF32" s="292"/>
      <c r="AG32" s="292"/>
      <c r="AH32" s="292"/>
      <c r="AI32" s="292"/>
      <c r="AJ32" s="292"/>
      <c r="AK32" s="292"/>
      <c r="AL32" s="292"/>
      <c r="AM32" s="292"/>
      <c r="AN32" s="292"/>
      <c r="AO32" s="292"/>
      <c r="AP32" s="292"/>
      <c r="AQ32" s="292"/>
      <c r="AR32" s="292"/>
      <c r="AS32" s="292"/>
      <c r="AT32" s="292"/>
      <c r="AU32" s="292"/>
      <c r="AV32" s="292"/>
      <c r="AW32" s="292"/>
      <c r="AX32" s="292"/>
      <c r="AY32" s="292"/>
      <c r="AZ32" s="292"/>
      <c r="BA32" s="292"/>
      <c r="BB32" s="292"/>
      <c r="BC32" s="292"/>
      <c r="BD32" s="292"/>
      <c r="BE32" s="292"/>
      <c r="BF32" s="292"/>
      <c r="BG32" s="292"/>
      <c r="BH32" s="292"/>
      <c r="BI32" s="292"/>
      <c r="BJ32" s="292"/>
      <c r="BK32" s="292"/>
      <c r="BL32" s="292"/>
      <c r="BM32" s="292"/>
      <c r="BN32" s="292"/>
      <c r="BO32" s="292"/>
      <c r="BP32" s="292"/>
      <c r="BQ32" s="292"/>
      <c r="BR32" s="292"/>
      <c r="BS32" s="292"/>
      <c r="BT32" s="292"/>
      <c r="BU32" s="292"/>
      <c r="BV32" s="292"/>
      <c r="BW32" s="292"/>
      <c r="BX32" s="297"/>
      <c r="BY32" s="299">
        <f t="shared" si="14"/>
        <v>-605220</v>
      </c>
      <c r="BZ32" s="631"/>
      <c r="CA32" s="265"/>
      <c r="CB32" s="289" t="e">
        <f t="shared" si="15"/>
        <v>#REF!</v>
      </c>
      <c r="CC32" s="631"/>
    </row>
    <row r="33" spans="2:81" ht="16" outlineLevel="1">
      <c r="B33" s="629"/>
      <c r="C33" s="300" t="s">
        <v>364</v>
      </c>
      <c r="D33" s="291" t="s">
        <v>262</v>
      </c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  <c r="V33" s="292"/>
      <c r="W33" s="292"/>
      <c r="X33" s="292"/>
      <c r="Y33" s="292"/>
      <c r="Z33" s="292"/>
      <c r="AA33" s="292"/>
      <c r="AB33" s="292"/>
      <c r="AC33" s="292"/>
      <c r="AD33" s="292"/>
      <c r="AE33" s="292"/>
      <c r="AF33" s="292"/>
      <c r="AG33" s="292"/>
      <c r="AH33" s="292"/>
      <c r="AI33" s="292"/>
      <c r="AJ33" s="292"/>
      <c r="AK33" s="292"/>
      <c r="AL33" s="292"/>
      <c r="AM33" s="292"/>
      <c r="AN33" s="292"/>
      <c r="AO33" s="292"/>
      <c r="AP33" s="292"/>
      <c r="AQ33" s="292"/>
      <c r="AR33" s="292"/>
      <c r="AS33" s="292"/>
      <c r="AT33" s="292"/>
      <c r="AU33" s="292"/>
      <c r="AV33" s="292"/>
      <c r="AW33" s="292"/>
      <c r="AX33" s="292"/>
      <c r="AY33" s="292"/>
      <c r="AZ33" s="292"/>
      <c r="BA33" s="292"/>
      <c r="BB33" s="292"/>
      <c r="BC33" s="292"/>
      <c r="BD33" s="292"/>
      <c r="BE33" s="292"/>
      <c r="BF33" s="292"/>
      <c r="BG33" s="292"/>
      <c r="BH33" s="292"/>
      <c r="BI33" s="292"/>
      <c r="BJ33" s="292"/>
      <c r="BK33" s="292"/>
      <c r="BL33" s="292"/>
      <c r="BM33" s="292"/>
      <c r="BN33" s="292"/>
      <c r="BO33" s="292"/>
      <c r="BP33" s="292"/>
      <c r="BQ33" s="292"/>
      <c r="BR33" s="292"/>
      <c r="BS33" s="292"/>
      <c r="BT33" s="292"/>
      <c r="BU33" s="292"/>
      <c r="BV33" s="292"/>
      <c r="BW33" s="292"/>
      <c r="BX33" s="297"/>
      <c r="BY33" s="299">
        <f t="shared" si="14"/>
        <v>0</v>
      </c>
      <c r="BZ33" s="631"/>
      <c r="CA33" s="265"/>
      <c r="CB33" s="289" t="e">
        <f t="shared" si="15"/>
        <v>#REF!</v>
      </c>
      <c r="CC33" s="631"/>
    </row>
    <row r="34" spans="2:81" ht="16" outlineLevel="1">
      <c r="B34" s="629"/>
      <c r="C34" s="290" t="s">
        <v>282</v>
      </c>
      <c r="D34" s="294" t="s">
        <v>262</v>
      </c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/>
      <c r="R34" s="292"/>
      <c r="S34" s="292"/>
      <c r="T34" s="292">
        <f>-Businessplan_prodej!$F$39/9</f>
        <v>-564862.33333333337</v>
      </c>
      <c r="U34" s="292">
        <f>-Businessplan_prodej!$F$39/9</f>
        <v>-564862.33333333337</v>
      </c>
      <c r="V34" s="292">
        <f>-Businessplan_prodej!$F$39/9</f>
        <v>-564862.33333333337</v>
      </c>
      <c r="W34" s="292">
        <f>-Businessplan_prodej!$F$39/9</f>
        <v>-564862.33333333337</v>
      </c>
      <c r="X34" s="292">
        <f>-Businessplan_prodej!$F$39/9</f>
        <v>-564862.33333333337</v>
      </c>
      <c r="Y34" s="292">
        <f>-Businessplan_prodej!$F$39/9</f>
        <v>-564862.33333333337</v>
      </c>
      <c r="Z34" s="292">
        <f>-Businessplan_prodej!$F$39/9</f>
        <v>-564862.33333333337</v>
      </c>
      <c r="AA34" s="292">
        <f>-Businessplan_prodej!$F$39/9</f>
        <v>-564862.33333333337</v>
      </c>
      <c r="AB34" s="292">
        <f>-Businessplan_prodej!$F$39/9</f>
        <v>-564862.33333333337</v>
      </c>
      <c r="AC34" s="292"/>
      <c r="AD34" s="292"/>
      <c r="AE34" s="292"/>
      <c r="AF34" s="292"/>
      <c r="AG34" s="292"/>
      <c r="AH34" s="292"/>
      <c r="AI34" s="292"/>
      <c r="AJ34" s="292"/>
      <c r="AK34" s="292"/>
      <c r="AL34" s="292"/>
      <c r="AM34" s="292"/>
      <c r="AN34" s="292"/>
      <c r="AO34" s="292"/>
      <c r="AP34" s="292"/>
      <c r="AQ34" s="292"/>
      <c r="AR34" s="292"/>
      <c r="AS34" s="292"/>
      <c r="AT34" s="292"/>
      <c r="AU34" s="292"/>
      <c r="AV34" s="292"/>
      <c r="AW34" s="292"/>
      <c r="AX34" s="292"/>
      <c r="AY34" s="292"/>
      <c r="AZ34" s="292"/>
      <c r="BA34" s="292"/>
      <c r="BB34" s="292"/>
      <c r="BC34" s="292"/>
      <c r="BD34" s="292"/>
      <c r="BE34" s="292"/>
      <c r="BF34" s="292"/>
      <c r="BG34" s="292"/>
      <c r="BH34" s="292"/>
      <c r="BI34" s="292"/>
      <c r="BJ34" s="292"/>
      <c r="BK34" s="292"/>
      <c r="BL34" s="292"/>
      <c r="BM34" s="292"/>
      <c r="BN34" s="292"/>
      <c r="BO34" s="292"/>
      <c r="BP34" s="292"/>
      <c r="BQ34" s="292"/>
      <c r="BR34" s="292"/>
      <c r="BS34" s="292"/>
      <c r="BT34" s="292"/>
      <c r="BU34" s="292"/>
      <c r="BV34" s="292"/>
      <c r="BW34" s="292"/>
      <c r="BX34" s="297"/>
      <c r="BY34" s="301">
        <f t="shared" si="14"/>
        <v>-5083761</v>
      </c>
      <c r="BZ34" s="631"/>
      <c r="CA34" s="265"/>
      <c r="CB34" s="289" t="e">
        <f t="shared" si="15"/>
        <v>#REF!</v>
      </c>
      <c r="CC34" s="631"/>
    </row>
    <row r="35" spans="2:81" ht="16">
      <c r="B35" s="629"/>
      <c r="C35" s="285" t="s">
        <v>283</v>
      </c>
      <c r="D35" s="286"/>
      <c r="E35" s="287">
        <f t="shared" ref="E35:BX35" si="16">SUM(E36:E37)</f>
        <v>0</v>
      </c>
      <c r="F35" s="287">
        <f t="shared" si="16"/>
        <v>0</v>
      </c>
      <c r="G35" s="287">
        <f t="shared" si="16"/>
        <v>0</v>
      </c>
      <c r="H35" s="287">
        <f t="shared" si="16"/>
        <v>0</v>
      </c>
      <c r="I35" s="287">
        <f t="shared" si="16"/>
        <v>0</v>
      </c>
      <c r="J35" s="287">
        <f t="shared" si="16"/>
        <v>0</v>
      </c>
      <c r="K35" s="287">
        <f t="shared" si="16"/>
        <v>0</v>
      </c>
      <c r="L35" s="287">
        <f t="shared" si="16"/>
        <v>0</v>
      </c>
      <c r="M35" s="287">
        <f t="shared" si="16"/>
        <v>0</v>
      </c>
      <c r="N35" s="287">
        <f t="shared" si="16"/>
        <v>0</v>
      </c>
      <c r="O35" s="287">
        <f t="shared" si="16"/>
        <v>0</v>
      </c>
      <c r="P35" s="287">
        <f t="shared" si="16"/>
        <v>0</v>
      </c>
      <c r="Q35" s="287">
        <f t="shared" si="16"/>
        <v>0</v>
      </c>
      <c r="R35" s="287">
        <f t="shared" si="16"/>
        <v>0</v>
      </c>
      <c r="S35" s="287">
        <f t="shared" si="16"/>
        <v>0</v>
      </c>
      <c r="T35" s="287">
        <f t="shared" si="16"/>
        <v>0</v>
      </c>
      <c r="U35" s="287">
        <f t="shared" si="16"/>
        <v>0</v>
      </c>
      <c r="V35" s="287">
        <f t="shared" si="16"/>
        <v>0</v>
      </c>
      <c r="W35" s="287">
        <f t="shared" si="16"/>
        <v>0</v>
      </c>
      <c r="X35" s="287">
        <f t="shared" si="16"/>
        <v>0</v>
      </c>
      <c r="Y35" s="287">
        <f t="shared" si="16"/>
        <v>0</v>
      </c>
      <c r="Z35" s="287">
        <f t="shared" si="16"/>
        <v>0</v>
      </c>
      <c r="AA35" s="287">
        <f t="shared" si="16"/>
        <v>0</v>
      </c>
      <c r="AB35" s="287">
        <f t="shared" si="16"/>
        <v>0</v>
      </c>
      <c r="AC35" s="287">
        <f t="shared" si="16"/>
        <v>0</v>
      </c>
      <c r="AD35" s="287">
        <f t="shared" si="16"/>
        <v>0</v>
      </c>
      <c r="AE35" s="287">
        <f t="shared" si="16"/>
        <v>0</v>
      </c>
      <c r="AF35" s="287">
        <f t="shared" si="16"/>
        <v>0</v>
      </c>
      <c r="AG35" s="287">
        <f t="shared" si="16"/>
        <v>0</v>
      </c>
      <c r="AH35" s="287">
        <f t="shared" si="16"/>
        <v>0</v>
      </c>
      <c r="AI35" s="287">
        <f t="shared" si="16"/>
        <v>0</v>
      </c>
      <c r="AJ35" s="287">
        <f t="shared" si="16"/>
        <v>0</v>
      </c>
      <c r="AK35" s="287">
        <f t="shared" si="16"/>
        <v>0</v>
      </c>
      <c r="AL35" s="287">
        <f t="shared" si="16"/>
        <v>0</v>
      </c>
      <c r="AM35" s="287">
        <f t="shared" si="16"/>
        <v>0</v>
      </c>
      <c r="AN35" s="287">
        <f t="shared" si="16"/>
        <v>0</v>
      </c>
      <c r="AO35" s="287">
        <f t="shared" si="16"/>
        <v>0</v>
      </c>
      <c r="AP35" s="287">
        <f t="shared" si="16"/>
        <v>0</v>
      </c>
      <c r="AQ35" s="287">
        <f t="shared" si="16"/>
        <v>0</v>
      </c>
      <c r="AR35" s="287">
        <f t="shared" si="16"/>
        <v>0</v>
      </c>
      <c r="AS35" s="287">
        <f t="shared" si="16"/>
        <v>0</v>
      </c>
      <c r="AT35" s="287">
        <f t="shared" si="16"/>
        <v>0</v>
      </c>
      <c r="AU35" s="287">
        <f t="shared" si="16"/>
        <v>0</v>
      </c>
      <c r="AV35" s="287">
        <f t="shared" si="16"/>
        <v>0</v>
      </c>
      <c r="AW35" s="287">
        <f t="shared" si="16"/>
        <v>0</v>
      </c>
      <c r="AX35" s="287">
        <f t="shared" si="16"/>
        <v>0</v>
      </c>
      <c r="AY35" s="287">
        <f t="shared" si="16"/>
        <v>0</v>
      </c>
      <c r="AZ35" s="287">
        <f t="shared" si="16"/>
        <v>0</v>
      </c>
      <c r="BA35" s="287">
        <f t="shared" si="16"/>
        <v>0</v>
      </c>
      <c r="BB35" s="287">
        <f t="shared" si="16"/>
        <v>0</v>
      </c>
      <c r="BC35" s="287">
        <f t="shared" si="16"/>
        <v>0</v>
      </c>
      <c r="BD35" s="287">
        <f t="shared" si="16"/>
        <v>0</v>
      </c>
      <c r="BE35" s="287">
        <f t="shared" si="16"/>
        <v>0</v>
      </c>
      <c r="BF35" s="287">
        <f t="shared" si="16"/>
        <v>0</v>
      </c>
      <c r="BG35" s="287">
        <f t="shared" si="16"/>
        <v>0</v>
      </c>
      <c r="BH35" s="287">
        <f t="shared" si="16"/>
        <v>0</v>
      </c>
      <c r="BI35" s="287">
        <f t="shared" si="16"/>
        <v>0</v>
      </c>
      <c r="BJ35" s="287">
        <f t="shared" si="16"/>
        <v>0</v>
      </c>
      <c r="BK35" s="287">
        <f t="shared" si="16"/>
        <v>0</v>
      </c>
      <c r="BL35" s="287">
        <f t="shared" si="16"/>
        <v>0</v>
      </c>
      <c r="BM35" s="287">
        <f t="shared" si="16"/>
        <v>0</v>
      </c>
      <c r="BN35" s="287">
        <f t="shared" si="16"/>
        <v>0</v>
      </c>
      <c r="BO35" s="287">
        <f t="shared" si="16"/>
        <v>0</v>
      </c>
      <c r="BP35" s="287">
        <f t="shared" si="16"/>
        <v>0</v>
      </c>
      <c r="BQ35" s="287">
        <f t="shared" si="16"/>
        <v>0</v>
      </c>
      <c r="BR35" s="287">
        <f t="shared" si="16"/>
        <v>0</v>
      </c>
      <c r="BS35" s="287">
        <f t="shared" si="16"/>
        <v>0</v>
      </c>
      <c r="BT35" s="287">
        <f t="shared" si="16"/>
        <v>0</v>
      </c>
      <c r="BU35" s="287">
        <f t="shared" si="16"/>
        <v>0</v>
      </c>
      <c r="BV35" s="287">
        <f t="shared" si="16"/>
        <v>0</v>
      </c>
      <c r="BW35" s="287">
        <f t="shared" si="16"/>
        <v>0</v>
      </c>
      <c r="BX35" s="287">
        <f t="shared" si="16"/>
        <v>0</v>
      </c>
      <c r="BY35" s="289">
        <f>SUM(BY36:BY37)</f>
        <v>0</v>
      </c>
      <c r="BZ35" s="631"/>
      <c r="CA35" s="265"/>
      <c r="CB35" s="289" t="e">
        <f t="array" ref="CB35">SUM(INDEX(E35:BX35, , 1):INDEX(E35:BX35, ,MATCH($CB$4, $E$3:$BX$3,0) ))</f>
        <v>#N/A</v>
      </c>
      <c r="CC35" s="631"/>
    </row>
    <row r="36" spans="2:81" ht="16" outlineLevel="1">
      <c r="B36" s="629"/>
      <c r="C36" s="290" t="s">
        <v>284</v>
      </c>
      <c r="D36" s="291" t="s">
        <v>262</v>
      </c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/>
      <c r="R36" s="292"/>
      <c r="S36" s="302"/>
      <c r="T36" s="292"/>
      <c r="U36" s="292"/>
      <c r="V36" s="292"/>
      <c r="W36" s="292"/>
      <c r="X36" s="292"/>
      <c r="Y36" s="292"/>
      <c r="Z36" s="292"/>
      <c r="AA36" s="292"/>
      <c r="AB36" s="292"/>
      <c r="AC36" s="292"/>
      <c r="AD36" s="292"/>
      <c r="AE36" s="292"/>
      <c r="AF36" s="292"/>
      <c r="AG36" s="292"/>
      <c r="AH36" s="292"/>
      <c r="AI36" s="292"/>
      <c r="AJ36" s="292"/>
      <c r="AK36" s="292"/>
      <c r="AL36" s="292"/>
      <c r="AM36" s="292"/>
      <c r="AN36" s="292"/>
      <c r="AO36" s="292"/>
      <c r="AP36" s="292"/>
      <c r="AQ36" s="292"/>
      <c r="AR36" s="292"/>
      <c r="AS36" s="292"/>
      <c r="AT36" s="292"/>
      <c r="AU36" s="292"/>
      <c r="AV36" s="292"/>
      <c r="AW36" s="292"/>
      <c r="AX36" s="292"/>
      <c r="AY36" s="292"/>
      <c r="AZ36" s="292"/>
      <c r="BA36" s="292"/>
      <c r="BB36" s="292"/>
      <c r="BC36" s="292"/>
      <c r="BD36" s="292"/>
      <c r="BE36" s="292"/>
      <c r="BF36" s="292"/>
      <c r="BG36" s="292"/>
      <c r="BH36" s="292"/>
      <c r="BI36" s="292"/>
      <c r="BJ36" s="292"/>
      <c r="BK36" s="292"/>
      <c r="BL36" s="292"/>
      <c r="BM36" s="292"/>
      <c r="BN36" s="292"/>
      <c r="BO36" s="292"/>
      <c r="BP36" s="292"/>
      <c r="BQ36" s="292"/>
      <c r="BR36" s="292"/>
      <c r="BS36" s="292"/>
      <c r="BT36" s="292"/>
      <c r="BU36" s="292"/>
      <c r="BV36" s="292"/>
      <c r="BW36" s="292"/>
      <c r="BX36" s="297"/>
      <c r="BY36" s="298">
        <f t="shared" ref="BY36:BY37" si="17">SUM(E36:BX36)</f>
        <v>0</v>
      </c>
      <c r="BZ36" s="631"/>
      <c r="CA36" s="265"/>
      <c r="CB36" s="289" t="e">
        <f t="shared" ref="CB36:CB37" si="18">SUM(INDEX(AC36:BX36, , 1):INDEX(AC36:BX36, ,MATCH(#REF!, $E$3:$BX$3,0) ))</f>
        <v>#REF!</v>
      </c>
      <c r="CC36" s="631"/>
    </row>
    <row r="37" spans="2:81" ht="16" outlineLevel="1">
      <c r="B37" s="629"/>
      <c r="C37" s="290" t="s">
        <v>285</v>
      </c>
      <c r="D37" s="294" t="s">
        <v>262</v>
      </c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/>
      <c r="R37" s="292"/>
      <c r="S37" s="302"/>
      <c r="T37" s="292"/>
      <c r="U37" s="292"/>
      <c r="V37" s="292"/>
      <c r="W37" s="292"/>
      <c r="X37" s="292"/>
      <c r="Y37" s="292"/>
      <c r="Z37" s="292"/>
      <c r="AA37" s="292"/>
      <c r="AB37" s="292"/>
      <c r="AC37" s="292"/>
      <c r="AD37" s="292"/>
      <c r="AE37" s="292"/>
      <c r="AF37" s="292"/>
      <c r="AG37" s="292"/>
      <c r="AH37" s="292"/>
      <c r="AI37" s="292"/>
      <c r="AJ37" s="292"/>
      <c r="AK37" s="292"/>
      <c r="AL37" s="292"/>
      <c r="AM37" s="292"/>
      <c r="AN37" s="292"/>
      <c r="AO37" s="292"/>
      <c r="AP37" s="292"/>
      <c r="AQ37" s="292"/>
      <c r="AR37" s="292"/>
      <c r="AS37" s="292"/>
      <c r="AT37" s="292"/>
      <c r="AU37" s="292"/>
      <c r="AV37" s="292"/>
      <c r="AW37" s="292"/>
      <c r="AX37" s="292"/>
      <c r="AY37" s="292"/>
      <c r="AZ37" s="292"/>
      <c r="BA37" s="292"/>
      <c r="BB37" s="292"/>
      <c r="BC37" s="292"/>
      <c r="BD37" s="292"/>
      <c r="BE37" s="292"/>
      <c r="BF37" s="292"/>
      <c r="BG37" s="292"/>
      <c r="BH37" s="292"/>
      <c r="BI37" s="292"/>
      <c r="BJ37" s="292"/>
      <c r="BK37" s="292"/>
      <c r="BL37" s="292"/>
      <c r="BM37" s="292"/>
      <c r="BN37" s="292"/>
      <c r="BO37" s="292"/>
      <c r="BP37" s="292"/>
      <c r="BQ37" s="292"/>
      <c r="BR37" s="292"/>
      <c r="BS37" s="292"/>
      <c r="BT37" s="292"/>
      <c r="BU37" s="292"/>
      <c r="BV37" s="292"/>
      <c r="BW37" s="292"/>
      <c r="BX37" s="297"/>
      <c r="BY37" s="301">
        <f t="shared" si="17"/>
        <v>0</v>
      </c>
      <c r="BZ37" s="631"/>
      <c r="CA37" s="265"/>
      <c r="CB37" s="289" t="e">
        <f t="shared" si="18"/>
        <v>#REF!</v>
      </c>
      <c r="CC37" s="631"/>
    </row>
    <row r="38" spans="2:81" ht="16">
      <c r="B38" s="629"/>
      <c r="C38" s="285" t="s">
        <v>286</v>
      </c>
      <c r="D38" s="286"/>
      <c r="E38" s="287">
        <f t="shared" ref="E38:BX38" si="19">SUM(E39:E47)</f>
        <v>0</v>
      </c>
      <c r="F38" s="287">
        <f t="shared" si="19"/>
        <v>0</v>
      </c>
      <c r="G38" s="287">
        <f t="shared" si="19"/>
        <v>0</v>
      </c>
      <c r="H38" s="287">
        <f t="shared" si="19"/>
        <v>0</v>
      </c>
      <c r="I38" s="287">
        <f t="shared" si="19"/>
        <v>0</v>
      </c>
      <c r="J38" s="287">
        <f t="shared" si="19"/>
        <v>0</v>
      </c>
      <c r="K38" s="287">
        <f t="shared" si="19"/>
        <v>0</v>
      </c>
      <c r="L38" s="287">
        <f t="shared" si="19"/>
        <v>0</v>
      </c>
      <c r="M38" s="287">
        <f t="shared" si="19"/>
        <v>0</v>
      </c>
      <c r="N38" s="287">
        <f t="shared" si="19"/>
        <v>0</v>
      </c>
      <c r="O38" s="287">
        <f t="shared" si="19"/>
        <v>0</v>
      </c>
      <c r="P38" s="287">
        <f t="shared" si="19"/>
        <v>0</v>
      </c>
      <c r="Q38" s="287">
        <f t="shared" si="19"/>
        <v>0</v>
      </c>
      <c r="R38" s="287">
        <f t="shared" si="19"/>
        <v>0</v>
      </c>
      <c r="S38" s="287" t="e">
        <f t="shared" si="19"/>
        <v>#REF!</v>
      </c>
      <c r="T38" s="287" t="e">
        <f t="shared" si="19"/>
        <v>#REF!</v>
      </c>
      <c r="U38" s="287" t="e">
        <f t="shared" si="19"/>
        <v>#REF!</v>
      </c>
      <c r="V38" s="287" t="e">
        <f t="shared" si="19"/>
        <v>#REF!</v>
      </c>
      <c r="W38" s="287" t="e">
        <f t="shared" si="19"/>
        <v>#REF!</v>
      </c>
      <c r="X38" s="287" t="e">
        <f t="shared" si="19"/>
        <v>#REF!</v>
      </c>
      <c r="Y38" s="287" t="e">
        <f t="shared" si="19"/>
        <v>#REF!</v>
      </c>
      <c r="Z38" s="287" t="e">
        <f t="shared" si="19"/>
        <v>#REF!</v>
      </c>
      <c r="AA38" s="287" t="e">
        <f t="shared" si="19"/>
        <v>#REF!</v>
      </c>
      <c r="AB38" s="287" t="e">
        <f t="shared" si="19"/>
        <v>#REF!</v>
      </c>
      <c r="AC38" s="287">
        <f t="shared" si="19"/>
        <v>-140727.7476818182</v>
      </c>
      <c r="AD38" s="287">
        <f t="shared" si="19"/>
        <v>0</v>
      </c>
      <c r="AE38" s="287">
        <f t="shared" si="19"/>
        <v>0</v>
      </c>
      <c r="AF38" s="287">
        <f t="shared" si="19"/>
        <v>0</v>
      </c>
      <c r="AG38" s="287">
        <f t="shared" si="19"/>
        <v>0</v>
      </c>
      <c r="AH38" s="287">
        <f t="shared" si="19"/>
        <v>0</v>
      </c>
      <c r="AI38" s="287">
        <f t="shared" si="19"/>
        <v>0</v>
      </c>
      <c r="AJ38" s="287">
        <f t="shared" si="19"/>
        <v>0</v>
      </c>
      <c r="AK38" s="287">
        <f t="shared" si="19"/>
        <v>0</v>
      </c>
      <c r="AL38" s="287">
        <f t="shared" si="19"/>
        <v>0</v>
      </c>
      <c r="AM38" s="287">
        <f t="shared" si="19"/>
        <v>0</v>
      </c>
      <c r="AN38" s="287">
        <f t="shared" si="19"/>
        <v>0</v>
      </c>
      <c r="AO38" s="287">
        <f t="shared" si="19"/>
        <v>0</v>
      </c>
      <c r="AP38" s="287">
        <f t="shared" si="19"/>
        <v>0</v>
      </c>
      <c r="AQ38" s="287">
        <f t="shared" si="19"/>
        <v>0</v>
      </c>
      <c r="AR38" s="287">
        <f t="shared" si="19"/>
        <v>0</v>
      </c>
      <c r="AS38" s="287">
        <f t="shared" si="19"/>
        <v>0</v>
      </c>
      <c r="AT38" s="287">
        <f t="shared" si="19"/>
        <v>0</v>
      </c>
      <c r="AU38" s="287">
        <f t="shared" si="19"/>
        <v>0</v>
      </c>
      <c r="AV38" s="287">
        <f t="shared" si="19"/>
        <v>0</v>
      </c>
      <c r="AW38" s="287">
        <f t="shared" si="19"/>
        <v>0</v>
      </c>
      <c r="AX38" s="287">
        <f t="shared" si="19"/>
        <v>0</v>
      </c>
      <c r="AY38" s="287">
        <f t="shared" si="19"/>
        <v>0</v>
      </c>
      <c r="AZ38" s="287">
        <f t="shared" si="19"/>
        <v>0</v>
      </c>
      <c r="BA38" s="287">
        <f t="shared" si="19"/>
        <v>0</v>
      </c>
      <c r="BB38" s="287">
        <f t="shared" si="19"/>
        <v>0</v>
      </c>
      <c r="BC38" s="287">
        <f t="shared" si="19"/>
        <v>0</v>
      </c>
      <c r="BD38" s="287">
        <f t="shared" si="19"/>
        <v>0</v>
      </c>
      <c r="BE38" s="287">
        <f t="shared" si="19"/>
        <v>0</v>
      </c>
      <c r="BF38" s="287">
        <f t="shared" si="19"/>
        <v>0</v>
      </c>
      <c r="BG38" s="287">
        <f t="shared" si="19"/>
        <v>0</v>
      </c>
      <c r="BH38" s="287">
        <f t="shared" si="19"/>
        <v>0</v>
      </c>
      <c r="BI38" s="287">
        <f t="shared" si="19"/>
        <v>0</v>
      </c>
      <c r="BJ38" s="287">
        <f t="shared" si="19"/>
        <v>0</v>
      </c>
      <c r="BK38" s="287">
        <f t="shared" si="19"/>
        <v>0</v>
      </c>
      <c r="BL38" s="287">
        <f t="shared" si="19"/>
        <v>0</v>
      </c>
      <c r="BM38" s="287">
        <f t="shared" si="19"/>
        <v>0</v>
      </c>
      <c r="BN38" s="287">
        <f t="shared" si="19"/>
        <v>0</v>
      </c>
      <c r="BO38" s="287">
        <f t="shared" si="19"/>
        <v>0</v>
      </c>
      <c r="BP38" s="287">
        <f t="shared" si="19"/>
        <v>0</v>
      </c>
      <c r="BQ38" s="287">
        <f t="shared" si="19"/>
        <v>0</v>
      </c>
      <c r="BR38" s="287">
        <f t="shared" si="19"/>
        <v>0</v>
      </c>
      <c r="BS38" s="287">
        <f t="shared" si="19"/>
        <v>0</v>
      </c>
      <c r="BT38" s="287">
        <f t="shared" si="19"/>
        <v>0</v>
      </c>
      <c r="BU38" s="287">
        <f t="shared" si="19"/>
        <v>0</v>
      </c>
      <c r="BV38" s="287">
        <f t="shared" si="19"/>
        <v>0</v>
      </c>
      <c r="BW38" s="287">
        <f t="shared" si="19"/>
        <v>0</v>
      </c>
      <c r="BX38" s="287">
        <f t="shared" si="19"/>
        <v>0</v>
      </c>
      <c r="BY38" s="289" t="e">
        <f>SUM(BY39:BY47)</f>
        <v>#REF!</v>
      </c>
      <c r="BZ38" s="631"/>
      <c r="CA38" s="265"/>
      <c r="CB38" s="289" t="e">
        <f t="array" ref="CB38">SUM(INDEX(E38:BX38, , 1):INDEX(E38:BX38, ,MATCH($CB$4, $E$3:$BX$3,0) ))</f>
        <v>#N/A</v>
      </c>
      <c r="CC38" s="631"/>
    </row>
    <row r="39" spans="2:81" ht="16" outlineLevel="1">
      <c r="B39" s="629"/>
      <c r="C39" s="300" t="s">
        <v>287</v>
      </c>
      <c r="D39" s="291" t="s">
        <v>262</v>
      </c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303">
        <f>-Businessplan_prodej!$F$54/10</f>
        <v>-217296</v>
      </c>
      <c r="T39" s="303">
        <f>-Businessplan_prodej!$F$54/10</f>
        <v>-217296</v>
      </c>
      <c r="U39" s="303">
        <f>-Businessplan_prodej!$F$54/10</f>
        <v>-217296</v>
      </c>
      <c r="V39" s="303">
        <f>-Businessplan_prodej!$F$54/10</f>
        <v>-217296</v>
      </c>
      <c r="W39" s="303">
        <f>-Businessplan_prodej!$F$54/10</f>
        <v>-217296</v>
      </c>
      <c r="X39" s="303">
        <f>-Businessplan_prodej!$F$54/10</f>
        <v>-217296</v>
      </c>
      <c r="Y39" s="303">
        <f>-Businessplan_prodej!$F$54/10</f>
        <v>-217296</v>
      </c>
      <c r="Z39" s="303">
        <f>-Businessplan_prodej!$F$54/10</f>
        <v>-217296</v>
      </c>
      <c r="AA39" s="303">
        <f>-Businessplan_prodej!$F$54/10</f>
        <v>-217296</v>
      </c>
      <c r="AB39" s="303">
        <f>-Businessplan_prodej!$F$54/10</f>
        <v>-217296</v>
      </c>
      <c r="AC39" s="295"/>
      <c r="AD39" s="295"/>
      <c r="AE39" s="295"/>
      <c r="AF39" s="295"/>
      <c r="AG39" s="295"/>
      <c r="AH39" s="295"/>
      <c r="AI39" s="295"/>
      <c r="AJ39" s="295"/>
      <c r="AK39" s="295"/>
      <c r="AL39" s="295"/>
      <c r="AM39" s="295"/>
      <c r="AN39" s="295"/>
      <c r="AO39" s="295"/>
      <c r="AP39" s="295"/>
      <c r="AQ39" s="295"/>
      <c r="AR39" s="295"/>
      <c r="AS39" s="295"/>
      <c r="AT39" s="295"/>
      <c r="AU39" s="295"/>
      <c r="AV39" s="295"/>
      <c r="AW39" s="295"/>
      <c r="AX39" s="295"/>
      <c r="AY39" s="295"/>
      <c r="AZ39" s="295"/>
      <c r="BA39" s="295"/>
      <c r="BB39" s="295"/>
      <c r="BC39" s="295"/>
      <c r="BD39" s="295"/>
      <c r="BE39" s="295"/>
      <c r="BF39" s="295"/>
      <c r="BG39" s="295"/>
      <c r="BH39" s="295"/>
      <c r="BI39" s="295"/>
      <c r="BJ39" s="295"/>
      <c r="BK39" s="295"/>
      <c r="BL39" s="295"/>
      <c r="BM39" s="295"/>
      <c r="BN39" s="295"/>
      <c r="BO39" s="295"/>
      <c r="BP39" s="295"/>
      <c r="BQ39" s="295"/>
      <c r="BR39" s="295"/>
      <c r="BS39" s="295"/>
      <c r="BT39" s="295"/>
      <c r="BU39" s="295"/>
      <c r="BV39" s="295"/>
      <c r="BW39" s="295"/>
      <c r="BX39" s="304"/>
      <c r="BY39" s="298">
        <f t="shared" ref="BY39:BY46" si="20">SUM(E39:BX39)</f>
        <v>-2172960</v>
      </c>
      <c r="BZ39" s="631"/>
      <c r="CA39" s="265"/>
      <c r="CB39" s="289" t="e">
        <f t="shared" ref="CB39:CB41" si="21">SUM(INDEX(AC39:BX39, , 1):INDEX(AC39:BX39, ,MATCH(#REF!, $E$3:$BX$3,0) ))</f>
        <v>#REF!</v>
      </c>
      <c r="CC39" s="631"/>
    </row>
    <row r="40" spans="2:81" ht="16" outlineLevel="1">
      <c r="B40" s="629"/>
      <c r="C40" s="300" t="s">
        <v>288</v>
      </c>
      <c r="D40" s="291" t="s">
        <v>262</v>
      </c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303" t="e">
        <f>-Businessplan_prodej!#REF!-Businessplan_prodej!#REF!/10-Businessplan_prodej!F56</f>
        <v>#REF!</v>
      </c>
      <c r="T40" s="295" t="e">
        <f>-SUM(Businessplan_prodej!$F$61+Businessplan_prodej!#REF!)/9</f>
        <v>#REF!</v>
      </c>
      <c r="U40" s="295" t="e">
        <f>-SUM(Businessplan_prodej!$F$61+Businessplan_prodej!#REF!)/9</f>
        <v>#REF!</v>
      </c>
      <c r="V40" s="295" t="e">
        <f>-SUM(Businessplan_prodej!$F$61+Businessplan_prodej!#REF!)/9</f>
        <v>#REF!</v>
      </c>
      <c r="W40" s="295" t="e">
        <f>-SUM(Businessplan_prodej!$F$61+Businessplan_prodej!#REF!)/9</f>
        <v>#REF!</v>
      </c>
      <c r="X40" s="295" t="e">
        <f>-SUM(Businessplan_prodej!$F$61+Businessplan_prodej!#REF!)/9</f>
        <v>#REF!</v>
      </c>
      <c r="Y40" s="295" t="e">
        <f>-SUM(Businessplan_prodej!$F$61+Businessplan_prodej!#REF!)/9</f>
        <v>#REF!</v>
      </c>
      <c r="Z40" s="295" t="e">
        <f>-SUM(Businessplan_prodej!$F$61+Businessplan_prodej!#REF!)/9</f>
        <v>#REF!</v>
      </c>
      <c r="AA40" s="295" t="e">
        <f>-SUM(Businessplan_prodej!$F$61+Businessplan_prodej!#REF!)/9</f>
        <v>#REF!</v>
      </c>
      <c r="AB40" s="295" t="e">
        <f>-SUM(Businessplan_prodej!$F$61+Businessplan_prodej!#REF!)/9</f>
        <v>#REF!</v>
      </c>
      <c r="AC40" s="295"/>
      <c r="AD40" s="295"/>
      <c r="AE40" s="295"/>
      <c r="AF40" s="295"/>
      <c r="AG40" s="295"/>
      <c r="AH40" s="295"/>
      <c r="AI40" s="295"/>
      <c r="AJ40" s="295"/>
      <c r="AK40" s="295"/>
      <c r="AL40" s="295"/>
      <c r="AM40" s="295"/>
      <c r="AN40" s="295"/>
      <c r="AO40" s="295"/>
      <c r="AP40" s="295"/>
      <c r="AQ40" s="295"/>
      <c r="AR40" s="295"/>
      <c r="AS40" s="295"/>
      <c r="AT40" s="295"/>
      <c r="AU40" s="295"/>
      <c r="AV40" s="295"/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/>
      <c r="BN40" s="295"/>
      <c r="BO40" s="295"/>
      <c r="BP40" s="295"/>
      <c r="BQ40" s="295"/>
      <c r="BR40" s="295"/>
      <c r="BS40" s="295"/>
      <c r="BT40" s="295"/>
      <c r="BU40" s="295"/>
      <c r="BV40" s="295"/>
      <c r="BW40" s="295"/>
      <c r="BX40" s="304"/>
      <c r="BY40" s="299" t="e">
        <f t="shared" si="20"/>
        <v>#REF!</v>
      </c>
      <c r="BZ40" s="631"/>
      <c r="CA40" s="265"/>
      <c r="CB40" s="289" t="e">
        <f t="shared" si="21"/>
        <v>#REF!</v>
      </c>
      <c r="CC40" s="631"/>
    </row>
    <row r="41" spans="2:81" ht="16" outlineLevel="1">
      <c r="B41" s="629"/>
      <c r="C41" s="300" t="s">
        <v>367</v>
      </c>
      <c r="D41" s="291" t="s">
        <v>262</v>
      </c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303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5"/>
      <c r="AK41" s="295"/>
      <c r="AL41" s="295"/>
      <c r="AM41" s="295"/>
      <c r="AN41" s="295"/>
      <c r="AO41" s="295"/>
      <c r="AP41" s="295"/>
      <c r="AQ41" s="295"/>
      <c r="AR41" s="295"/>
      <c r="AS41" s="295"/>
      <c r="AT41" s="295"/>
      <c r="AU41" s="295"/>
      <c r="AV41" s="295"/>
      <c r="AW41" s="295"/>
      <c r="AX41" s="295"/>
      <c r="AY41" s="295"/>
      <c r="AZ41" s="295"/>
      <c r="BA41" s="295"/>
      <c r="BB41" s="295"/>
      <c r="BC41" s="295"/>
      <c r="BD41" s="295"/>
      <c r="BE41" s="295"/>
      <c r="BF41" s="295"/>
      <c r="BG41" s="295"/>
      <c r="BH41" s="295"/>
      <c r="BI41" s="295"/>
      <c r="BJ41" s="295"/>
      <c r="BK41" s="295"/>
      <c r="BL41" s="295"/>
      <c r="BM41" s="295"/>
      <c r="BN41" s="295"/>
      <c r="BO41" s="295"/>
      <c r="BP41" s="295"/>
      <c r="BQ41" s="295"/>
      <c r="BR41" s="295"/>
      <c r="BS41" s="295"/>
      <c r="BT41" s="295"/>
      <c r="BU41" s="295"/>
      <c r="BV41" s="295"/>
      <c r="BW41" s="295"/>
      <c r="BX41" s="304"/>
      <c r="BY41" s="299">
        <f t="shared" si="20"/>
        <v>0</v>
      </c>
      <c r="BZ41" s="631"/>
      <c r="CA41" s="265"/>
      <c r="CB41" s="289" t="e">
        <f t="shared" si="21"/>
        <v>#REF!</v>
      </c>
      <c r="CC41" s="631"/>
    </row>
    <row r="42" spans="2:81" ht="16" outlineLevel="1">
      <c r="B42" s="629"/>
      <c r="C42" s="300" t="s">
        <v>368</v>
      </c>
      <c r="D42" s="291" t="s">
        <v>262</v>
      </c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303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  <c r="AI42" s="295"/>
      <c r="AJ42" s="295"/>
      <c r="AK42" s="295"/>
      <c r="AL42" s="295"/>
      <c r="AM42" s="295"/>
      <c r="AN42" s="295"/>
      <c r="AO42" s="295"/>
      <c r="AP42" s="295"/>
      <c r="AQ42" s="295"/>
      <c r="AR42" s="295"/>
      <c r="AS42" s="295"/>
      <c r="AT42" s="295"/>
      <c r="AU42" s="295"/>
      <c r="AV42" s="295"/>
      <c r="AW42" s="295"/>
      <c r="AX42" s="295"/>
      <c r="AY42" s="295"/>
      <c r="AZ42" s="295"/>
      <c r="BA42" s="295"/>
      <c r="BB42" s="295"/>
      <c r="BC42" s="295"/>
      <c r="BD42" s="295"/>
      <c r="BE42" s="295"/>
      <c r="BF42" s="295"/>
      <c r="BG42" s="295"/>
      <c r="BH42" s="295"/>
      <c r="BI42" s="295"/>
      <c r="BJ42" s="295"/>
      <c r="BK42" s="295"/>
      <c r="BL42" s="295"/>
      <c r="BM42" s="295"/>
      <c r="BN42" s="295"/>
      <c r="BO42" s="295"/>
      <c r="BP42" s="295"/>
      <c r="BQ42" s="295"/>
      <c r="BR42" s="295"/>
      <c r="BS42" s="295"/>
      <c r="BT42" s="295"/>
      <c r="BU42" s="295"/>
      <c r="BV42" s="295"/>
      <c r="BW42" s="295"/>
      <c r="BX42" s="304"/>
      <c r="BY42" s="299">
        <f t="shared" si="20"/>
        <v>0</v>
      </c>
      <c r="BZ42" s="631"/>
      <c r="CA42" s="265"/>
      <c r="CB42" s="289"/>
      <c r="CC42" s="631"/>
    </row>
    <row r="43" spans="2:81" ht="16" outlineLevel="1">
      <c r="B43" s="629"/>
      <c r="C43" s="290" t="s">
        <v>289</v>
      </c>
      <c r="D43" s="291" t="s">
        <v>262</v>
      </c>
      <c r="E43" s="292"/>
      <c r="F43" s="292"/>
      <c r="G43" s="292"/>
      <c r="H43" s="292"/>
      <c r="I43" s="292"/>
      <c r="J43" s="292"/>
      <c r="K43" s="292"/>
      <c r="L43" s="292"/>
      <c r="M43" s="292"/>
      <c r="N43" s="292"/>
      <c r="O43" s="292"/>
      <c r="P43" s="292"/>
      <c r="Q43" s="292"/>
      <c r="R43" s="292"/>
      <c r="S43" s="302">
        <f>-Businessplan_prodej!$F$62/11</f>
        <v>-14558.042863636365</v>
      </c>
      <c r="T43" s="302">
        <f>-Businessplan_prodej!$F$62/11</f>
        <v>-14558.042863636365</v>
      </c>
      <c r="U43" s="302">
        <f>-Businessplan_prodej!$F$62/11</f>
        <v>-14558.042863636365</v>
      </c>
      <c r="V43" s="302">
        <f>-Businessplan_prodej!$F$62/11</f>
        <v>-14558.042863636365</v>
      </c>
      <c r="W43" s="302">
        <f>-Businessplan_prodej!$F$62/11</f>
        <v>-14558.042863636365</v>
      </c>
      <c r="X43" s="302">
        <f>-Businessplan_prodej!$F$62/11</f>
        <v>-14558.042863636365</v>
      </c>
      <c r="Y43" s="302">
        <f>-Businessplan_prodej!$F$62/11</f>
        <v>-14558.042863636365</v>
      </c>
      <c r="Z43" s="302">
        <f>-Businessplan_prodej!$F$62/11</f>
        <v>-14558.042863636365</v>
      </c>
      <c r="AA43" s="302">
        <f>-Businessplan_prodej!$F$62/11</f>
        <v>-14558.042863636365</v>
      </c>
      <c r="AB43" s="302">
        <f>-Businessplan_prodej!$F$62/11</f>
        <v>-14558.042863636365</v>
      </c>
      <c r="AC43" s="302">
        <f>-Businessplan_prodej!$F$62/11</f>
        <v>-14558.042863636365</v>
      </c>
      <c r="AD43" s="292"/>
      <c r="AE43" s="292"/>
      <c r="AF43" s="292"/>
      <c r="AG43" s="292"/>
      <c r="AH43" s="292"/>
      <c r="AI43" s="292"/>
      <c r="AJ43" s="292"/>
      <c r="AK43" s="292"/>
      <c r="AL43" s="292"/>
      <c r="AM43" s="292"/>
      <c r="AN43" s="292"/>
      <c r="AO43" s="292"/>
      <c r="AP43" s="292"/>
      <c r="AQ43" s="292"/>
      <c r="AR43" s="292"/>
      <c r="AS43" s="292"/>
      <c r="AT43" s="292"/>
      <c r="AU43" s="292"/>
      <c r="AV43" s="292"/>
      <c r="AW43" s="292"/>
      <c r="AX43" s="292"/>
      <c r="AY43" s="292"/>
      <c r="AZ43" s="292"/>
      <c r="BA43" s="292"/>
      <c r="BB43" s="292"/>
      <c r="BC43" s="292"/>
      <c r="BD43" s="292"/>
      <c r="BE43" s="292"/>
      <c r="BF43" s="292"/>
      <c r="BG43" s="292"/>
      <c r="BH43" s="292"/>
      <c r="BI43" s="292"/>
      <c r="BJ43" s="292"/>
      <c r="BK43" s="292"/>
      <c r="BL43" s="292"/>
      <c r="BM43" s="292"/>
      <c r="BN43" s="292"/>
      <c r="BO43" s="292"/>
      <c r="BP43" s="292"/>
      <c r="BQ43" s="292"/>
      <c r="BR43" s="292"/>
      <c r="BS43" s="292"/>
      <c r="BT43" s="292"/>
      <c r="BU43" s="292"/>
      <c r="BV43" s="292"/>
      <c r="BW43" s="292"/>
      <c r="BX43" s="297"/>
      <c r="BY43" s="299">
        <f t="shared" si="20"/>
        <v>-160138.47150000001</v>
      </c>
      <c r="BZ43" s="631"/>
      <c r="CA43" s="265"/>
      <c r="CB43" s="289" t="e">
        <f t="shared" ref="CB43:CB44" si="22">SUM(INDEX(AC43:BX43, , 1):INDEX(AC43:BX43, ,MATCH(#REF!, $E$3:$BX$3,0) ))</f>
        <v>#REF!</v>
      </c>
      <c r="CC43" s="631"/>
    </row>
    <row r="44" spans="2:81" ht="16" outlineLevel="1">
      <c r="B44" s="629"/>
      <c r="C44" s="290" t="s">
        <v>290</v>
      </c>
      <c r="D44" s="291" t="s">
        <v>262</v>
      </c>
      <c r="E44" s="292"/>
      <c r="F44" s="292"/>
      <c r="G44" s="292"/>
      <c r="H44" s="292"/>
      <c r="I44" s="292"/>
      <c r="J44" s="292"/>
      <c r="K44" s="292"/>
      <c r="L44" s="292"/>
      <c r="M44" s="292"/>
      <c r="N44" s="292"/>
      <c r="O44" s="292"/>
      <c r="P44" s="292"/>
      <c r="Q44" s="292"/>
      <c r="R44" s="292"/>
      <c r="S44" s="292">
        <f>-Businessplan_prodej!$F$63/11</f>
        <v>-19410.723818181817</v>
      </c>
      <c r="T44" s="292">
        <f>-Businessplan_prodej!$F$63/11</f>
        <v>-19410.723818181817</v>
      </c>
      <c r="U44" s="292">
        <f>-Businessplan_prodej!$F$63/11</f>
        <v>-19410.723818181817</v>
      </c>
      <c r="V44" s="292">
        <f>-Businessplan_prodej!$F$63/11</f>
        <v>-19410.723818181817</v>
      </c>
      <c r="W44" s="292">
        <f>-Businessplan_prodej!$F$63/11</f>
        <v>-19410.723818181817</v>
      </c>
      <c r="X44" s="292">
        <f>-Businessplan_prodej!$F$63/11</f>
        <v>-19410.723818181817</v>
      </c>
      <c r="Y44" s="292">
        <f>-Businessplan_prodej!$F$63/11</f>
        <v>-19410.723818181817</v>
      </c>
      <c r="Z44" s="292">
        <f>-Businessplan_prodej!$F$63/11</f>
        <v>-19410.723818181817</v>
      </c>
      <c r="AA44" s="292">
        <f>-Businessplan_prodej!$F$63/11</f>
        <v>-19410.723818181817</v>
      </c>
      <c r="AB44" s="292">
        <f>-Businessplan_prodej!$F$63/11</f>
        <v>-19410.723818181817</v>
      </c>
      <c r="AC44" s="292">
        <f>-Businessplan_prodej!$F$63/11</f>
        <v>-19410.723818181817</v>
      </c>
      <c r="AD44" s="292"/>
      <c r="AE44" s="292"/>
      <c r="AF44" s="292"/>
      <c r="AG44" s="292"/>
      <c r="AH44" s="292"/>
      <c r="AI44" s="292"/>
      <c r="AJ44" s="292"/>
      <c r="AK44" s="292"/>
      <c r="AL44" s="292"/>
      <c r="AM44" s="292"/>
      <c r="AN44" s="292"/>
      <c r="AO44" s="292"/>
      <c r="AP44" s="292"/>
      <c r="AQ44" s="292"/>
      <c r="AR44" s="292"/>
      <c r="AS44" s="292"/>
      <c r="AT44" s="292"/>
      <c r="AU44" s="292"/>
      <c r="AV44" s="292"/>
      <c r="AW44" s="292"/>
      <c r="AX44" s="292"/>
      <c r="AY44" s="292"/>
      <c r="AZ44" s="292"/>
      <c r="BA44" s="292"/>
      <c r="BB44" s="292"/>
      <c r="BC44" s="292"/>
      <c r="BD44" s="292"/>
      <c r="BE44" s="292"/>
      <c r="BF44" s="292"/>
      <c r="BG44" s="292"/>
      <c r="BH44" s="292"/>
      <c r="BI44" s="292"/>
      <c r="BJ44" s="292"/>
      <c r="BK44" s="292"/>
      <c r="BL44" s="292"/>
      <c r="BM44" s="292"/>
      <c r="BN44" s="292"/>
      <c r="BO44" s="292"/>
      <c r="BP44" s="292"/>
      <c r="BQ44" s="292"/>
      <c r="BR44" s="292"/>
      <c r="BS44" s="292"/>
      <c r="BT44" s="292"/>
      <c r="BU44" s="292"/>
      <c r="BV44" s="292"/>
      <c r="BW44" s="292"/>
      <c r="BX44" s="297"/>
      <c r="BY44" s="299">
        <f t="shared" si="20"/>
        <v>-213517.96199999994</v>
      </c>
      <c r="BZ44" s="631"/>
      <c r="CA44" s="265"/>
      <c r="CB44" s="289" t="e">
        <f t="shared" si="22"/>
        <v>#REF!</v>
      </c>
      <c r="CC44" s="631"/>
    </row>
    <row r="45" spans="2:81" ht="14.25" customHeight="1" outlineLevel="1">
      <c r="B45" s="629"/>
      <c r="C45" s="290" t="s">
        <v>291</v>
      </c>
      <c r="D45" s="291" t="s">
        <v>262</v>
      </c>
      <c r="E45" s="292"/>
      <c r="F45" s="292"/>
      <c r="G45" s="292"/>
      <c r="H45" s="292"/>
      <c r="I45" s="292"/>
      <c r="J45" s="292"/>
      <c r="K45" s="292"/>
      <c r="L45" s="292"/>
      <c r="M45" s="292"/>
      <c r="N45" s="292"/>
      <c r="O45" s="292"/>
      <c r="P45" s="292"/>
      <c r="Q45" s="292"/>
      <c r="R45" s="292"/>
      <c r="S45" s="292">
        <f>-Businessplan_prodej!$F$64*0.3</f>
        <v>-160138.47150000001</v>
      </c>
      <c r="T45" s="292">
        <f>-Businessplan_prodej!$F$64*0.3</f>
        <v>-160138.47150000001</v>
      </c>
      <c r="U45" s="292"/>
      <c r="V45" s="292"/>
      <c r="W45" s="292"/>
      <c r="X45" s="292"/>
      <c r="Y45" s="292"/>
      <c r="Z45" s="292"/>
      <c r="AA45" s="292"/>
      <c r="AB45" s="292">
        <f>-Businessplan_prodej!$F$64*0.2</f>
        <v>-106758.98100000001</v>
      </c>
      <c r="AC45" s="292">
        <f>-Businessplan_prodej!$F$64*0.2</f>
        <v>-106758.98100000001</v>
      </c>
      <c r="AD45" s="292"/>
      <c r="AE45" s="292"/>
      <c r="AF45" s="292"/>
      <c r="AG45" s="292"/>
      <c r="AH45" s="292"/>
      <c r="AI45" s="292"/>
      <c r="AJ45" s="292"/>
      <c r="AK45" s="292"/>
      <c r="AL45" s="292"/>
      <c r="AM45" s="292"/>
      <c r="AN45" s="292"/>
      <c r="AO45" s="292"/>
      <c r="AP45" s="292"/>
      <c r="AQ45" s="292"/>
      <c r="AR45" s="292"/>
      <c r="AS45" s="292"/>
      <c r="AT45" s="292"/>
      <c r="AU45" s="292"/>
      <c r="AV45" s="292"/>
      <c r="AW45" s="292"/>
      <c r="AX45" s="292"/>
      <c r="AY45" s="292"/>
      <c r="AZ45" s="292"/>
      <c r="BA45" s="292"/>
      <c r="BB45" s="292"/>
      <c r="BC45" s="292"/>
      <c r="BD45" s="292"/>
      <c r="BE45" s="292"/>
      <c r="BF45" s="292"/>
      <c r="BG45" s="292"/>
      <c r="BH45" s="292"/>
      <c r="BI45" s="292"/>
      <c r="BJ45" s="292"/>
      <c r="BK45" s="292"/>
      <c r="BL45" s="292"/>
      <c r="BM45" s="292"/>
      <c r="BN45" s="292"/>
      <c r="BO45" s="292"/>
      <c r="BP45" s="292"/>
      <c r="BQ45" s="292"/>
      <c r="BR45" s="292"/>
      <c r="BS45" s="292"/>
      <c r="BT45" s="292"/>
      <c r="BU45" s="292"/>
      <c r="BV45" s="292"/>
      <c r="BW45" s="292"/>
      <c r="BX45" s="297"/>
      <c r="BY45" s="299">
        <f t="shared" si="20"/>
        <v>-533794.90500000003</v>
      </c>
      <c r="BZ45" s="631"/>
      <c r="CA45" s="265"/>
      <c r="CB45" s="289" t="e">
        <f t="shared" ref="CB45:CB47" si="23">SUM(INDEX(AC45:BX45, , 1):INDEX(AC45:BX45, ,MATCH(CB1, $E$3:$BX$3,0) ))</f>
        <v>#N/A</v>
      </c>
      <c r="CC45" s="631"/>
    </row>
    <row r="46" spans="2:81" ht="14.25" customHeight="1" outlineLevel="1">
      <c r="B46" s="629"/>
      <c r="C46" s="290" t="s">
        <v>369</v>
      </c>
      <c r="D46" s="291" t="s">
        <v>262</v>
      </c>
      <c r="E46" s="292"/>
      <c r="F46" s="292"/>
      <c r="G46" s="292"/>
      <c r="H46" s="292"/>
      <c r="I46" s="292"/>
      <c r="J46" s="292"/>
      <c r="K46" s="292"/>
      <c r="L46" s="292"/>
      <c r="M46" s="292"/>
      <c r="N46" s="292"/>
      <c r="O46" s="292"/>
      <c r="P46" s="292"/>
      <c r="Q46" s="292"/>
      <c r="R46" s="292"/>
      <c r="S46" s="292"/>
      <c r="T46" s="292"/>
      <c r="U46" s="292"/>
      <c r="V46" s="292"/>
      <c r="W46" s="292"/>
      <c r="X46" s="292"/>
      <c r="Y46" s="292"/>
      <c r="Z46" s="292"/>
      <c r="AA46" s="292"/>
      <c r="AB46" s="292"/>
      <c r="AC46" s="292"/>
      <c r="AD46" s="292"/>
      <c r="AE46" s="292"/>
      <c r="AF46" s="292"/>
      <c r="AG46" s="292"/>
      <c r="AH46" s="292"/>
      <c r="AI46" s="292"/>
      <c r="AJ46" s="292"/>
      <c r="AK46" s="292"/>
      <c r="AL46" s="292"/>
      <c r="AM46" s="292"/>
      <c r="AN46" s="292"/>
      <c r="AO46" s="292"/>
      <c r="AP46" s="292"/>
      <c r="AQ46" s="292"/>
      <c r="AR46" s="292"/>
      <c r="AS46" s="292"/>
      <c r="AT46" s="292"/>
      <c r="AU46" s="292"/>
      <c r="AV46" s="292"/>
      <c r="AW46" s="292"/>
      <c r="AX46" s="292"/>
      <c r="AY46" s="292"/>
      <c r="AZ46" s="292"/>
      <c r="BA46" s="292"/>
      <c r="BB46" s="292"/>
      <c r="BC46" s="292"/>
      <c r="BD46" s="292"/>
      <c r="BE46" s="292"/>
      <c r="BF46" s="292"/>
      <c r="BG46" s="292"/>
      <c r="BH46" s="292"/>
      <c r="BI46" s="292"/>
      <c r="BJ46" s="292"/>
      <c r="BK46" s="292"/>
      <c r="BL46" s="292"/>
      <c r="BM46" s="292"/>
      <c r="BN46" s="292"/>
      <c r="BO46" s="292"/>
      <c r="BP46" s="292"/>
      <c r="BQ46" s="292"/>
      <c r="BR46" s="292"/>
      <c r="BS46" s="292"/>
      <c r="BT46" s="292"/>
      <c r="BU46" s="292"/>
      <c r="BV46" s="292"/>
      <c r="BW46" s="292"/>
      <c r="BX46" s="297"/>
      <c r="BY46" s="299">
        <f t="shared" si="20"/>
        <v>0</v>
      </c>
      <c r="BZ46" s="631"/>
      <c r="CA46" s="265"/>
      <c r="CB46" s="289" t="e">
        <f t="shared" si="23"/>
        <v>#N/A</v>
      </c>
      <c r="CC46" s="631"/>
    </row>
    <row r="47" spans="2:81" ht="14.25" customHeight="1" outlineLevel="1">
      <c r="B47" s="629"/>
      <c r="C47" s="290" t="s">
        <v>292</v>
      </c>
      <c r="D47" s="294" t="s">
        <v>262</v>
      </c>
      <c r="E47" s="292"/>
      <c r="F47" s="292"/>
      <c r="G47" s="292"/>
      <c r="H47" s="292"/>
      <c r="I47" s="292"/>
      <c r="J47" s="292"/>
      <c r="K47" s="292"/>
      <c r="L47" s="292"/>
      <c r="M47" s="292"/>
      <c r="N47" s="292"/>
      <c r="O47" s="292"/>
      <c r="P47" s="292"/>
      <c r="Q47" s="292"/>
      <c r="R47" s="292"/>
      <c r="S47" s="292"/>
      <c r="T47" s="292"/>
      <c r="U47" s="292"/>
      <c r="V47" s="292"/>
      <c r="W47" s="292"/>
      <c r="X47" s="292"/>
      <c r="Y47" s="292"/>
      <c r="Z47" s="292"/>
      <c r="AA47" s="292"/>
      <c r="AB47" s="292"/>
      <c r="AC47" s="292"/>
      <c r="AD47" s="292"/>
      <c r="AE47" s="292"/>
      <c r="AF47" s="292"/>
      <c r="AG47" s="292"/>
      <c r="AH47" s="292"/>
      <c r="AI47" s="292"/>
      <c r="AJ47" s="292"/>
      <c r="AK47" s="292"/>
      <c r="AL47" s="292"/>
      <c r="AM47" s="292"/>
      <c r="AN47" s="292"/>
      <c r="AO47" s="292"/>
      <c r="AP47" s="292"/>
      <c r="AQ47" s="292"/>
      <c r="AR47" s="292"/>
      <c r="AS47" s="292"/>
      <c r="AT47" s="292"/>
      <c r="AU47" s="292"/>
      <c r="AV47" s="292"/>
      <c r="AW47" s="292"/>
      <c r="AX47" s="292"/>
      <c r="AY47" s="292"/>
      <c r="AZ47" s="292"/>
      <c r="BA47" s="292"/>
      <c r="BB47" s="292"/>
      <c r="BC47" s="292"/>
      <c r="BD47" s="292"/>
      <c r="BE47" s="292"/>
      <c r="BF47" s="292"/>
      <c r="BG47" s="292"/>
      <c r="BH47" s="292"/>
      <c r="BI47" s="292"/>
      <c r="BJ47" s="292"/>
      <c r="BK47" s="292"/>
      <c r="BL47" s="292"/>
      <c r="BM47" s="292"/>
      <c r="BN47" s="292"/>
      <c r="BO47" s="292"/>
      <c r="BP47" s="292"/>
      <c r="BQ47" s="292"/>
      <c r="BR47" s="292"/>
      <c r="BS47" s="292"/>
      <c r="BT47" s="292"/>
      <c r="BU47" s="292"/>
      <c r="BV47" s="292"/>
      <c r="BW47" s="292"/>
      <c r="BX47" s="297"/>
      <c r="BY47" s="301">
        <f>SUM(B47:E47)</f>
        <v>0</v>
      </c>
      <c r="BZ47" s="631"/>
      <c r="CA47" s="265"/>
      <c r="CB47" s="289" t="e">
        <f t="shared" si="23"/>
        <v>#N/A</v>
      </c>
      <c r="CC47" s="631"/>
    </row>
    <row r="48" spans="2:81" ht="16">
      <c r="B48" s="629"/>
      <c r="C48" s="285" t="s">
        <v>293</v>
      </c>
      <c r="D48" s="286"/>
      <c r="E48" s="287">
        <f t="shared" ref="E48:BX48" si="24">SUM(E49:E53)</f>
        <v>0</v>
      </c>
      <c r="F48" s="287">
        <f t="shared" si="24"/>
        <v>0</v>
      </c>
      <c r="G48" s="287">
        <f t="shared" si="24"/>
        <v>0</v>
      </c>
      <c r="H48" s="287">
        <f t="shared" si="24"/>
        <v>0</v>
      </c>
      <c r="I48" s="287">
        <f t="shared" si="24"/>
        <v>0</v>
      </c>
      <c r="J48" s="287">
        <f t="shared" si="24"/>
        <v>0</v>
      </c>
      <c r="K48" s="287">
        <f t="shared" si="24"/>
        <v>0</v>
      </c>
      <c r="L48" s="287">
        <f t="shared" si="24"/>
        <v>0</v>
      </c>
      <c r="M48" s="287">
        <f t="shared" si="24"/>
        <v>0</v>
      </c>
      <c r="N48" s="287">
        <f t="shared" si="24"/>
        <v>0</v>
      </c>
      <c r="O48" s="287">
        <f t="shared" si="24"/>
        <v>0</v>
      </c>
      <c r="P48" s="287">
        <f t="shared" si="24"/>
        <v>0</v>
      </c>
      <c r="Q48" s="287">
        <f t="shared" si="24"/>
        <v>0</v>
      </c>
      <c r="R48" s="287">
        <f t="shared" si="24"/>
        <v>0</v>
      </c>
      <c r="S48" s="287">
        <f t="shared" si="24"/>
        <v>-557340.90909090894</v>
      </c>
      <c r="T48" s="287">
        <f t="shared" si="24"/>
        <v>-557340.90909090894</v>
      </c>
      <c r="U48" s="287">
        <f t="shared" si="24"/>
        <v>-1071964.1403591591</v>
      </c>
      <c r="V48" s="287">
        <f t="shared" si="24"/>
        <v>-557340.90909090894</v>
      </c>
      <c r="W48" s="287">
        <f t="shared" si="24"/>
        <v>-557340.90909090894</v>
      </c>
      <c r="X48" s="287">
        <f t="shared" si="24"/>
        <v>-557340.90909090894</v>
      </c>
      <c r="Y48" s="287">
        <f t="shared" si="24"/>
        <v>-557340.90909090894</v>
      </c>
      <c r="Z48" s="287">
        <f t="shared" si="24"/>
        <v>-557340.90909090894</v>
      </c>
      <c r="AA48" s="287">
        <f t="shared" si="24"/>
        <v>-557340.90909090894</v>
      </c>
      <c r="AB48" s="287">
        <f t="shared" si="24"/>
        <v>-557340.90909090894</v>
      </c>
      <c r="AC48" s="287">
        <f t="shared" si="24"/>
        <v>-557340.90909090894</v>
      </c>
      <c r="AD48" s="287">
        <f t="shared" si="24"/>
        <v>0</v>
      </c>
      <c r="AE48" s="287">
        <f t="shared" si="24"/>
        <v>0</v>
      </c>
      <c r="AF48" s="287">
        <f t="shared" si="24"/>
        <v>0</v>
      </c>
      <c r="AG48" s="287">
        <f t="shared" si="24"/>
        <v>0</v>
      </c>
      <c r="AH48" s="287">
        <f t="shared" si="24"/>
        <v>0</v>
      </c>
      <c r="AI48" s="287">
        <f t="shared" si="24"/>
        <v>0</v>
      </c>
      <c r="AJ48" s="287">
        <f t="shared" si="24"/>
        <v>0</v>
      </c>
      <c r="AK48" s="287">
        <f t="shared" si="24"/>
        <v>0</v>
      </c>
      <c r="AL48" s="287">
        <f t="shared" si="24"/>
        <v>0</v>
      </c>
      <c r="AM48" s="287">
        <f t="shared" si="24"/>
        <v>0</v>
      </c>
      <c r="AN48" s="287">
        <f t="shared" si="24"/>
        <v>0</v>
      </c>
      <c r="AO48" s="287">
        <f t="shared" si="24"/>
        <v>0</v>
      </c>
      <c r="AP48" s="287">
        <f t="shared" si="24"/>
        <v>0</v>
      </c>
      <c r="AQ48" s="287">
        <f t="shared" si="24"/>
        <v>0</v>
      </c>
      <c r="AR48" s="287">
        <f t="shared" si="24"/>
        <v>0</v>
      </c>
      <c r="AS48" s="287">
        <f t="shared" si="24"/>
        <v>0</v>
      </c>
      <c r="AT48" s="287">
        <f t="shared" si="24"/>
        <v>0</v>
      </c>
      <c r="AU48" s="287">
        <f t="shared" si="24"/>
        <v>0</v>
      </c>
      <c r="AV48" s="287">
        <f t="shared" si="24"/>
        <v>0</v>
      </c>
      <c r="AW48" s="287">
        <f t="shared" si="24"/>
        <v>0</v>
      </c>
      <c r="AX48" s="287">
        <f t="shared" si="24"/>
        <v>0</v>
      </c>
      <c r="AY48" s="287">
        <f t="shared" si="24"/>
        <v>0</v>
      </c>
      <c r="AZ48" s="287">
        <f t="shared" si="24"/>
        <v>0</v>
      </c>
      <c r="BA48" s="287">
        <f t="shared" si="24"/>
        <v>0</v>
      </c>
      <c r="BB48" s="287">
        <f t="shared" si="24"/>
        <v>0</v>
      </c>
      <c r="BC48" s="287">
        <f t="shared" si="24"/>
        <v>0</v>
      </c>
      <c r="BD48" s="287">
        <f t="shared" si="24"/>
        <v>0</v>
      </c>
      <c r="BE48" s="287">
        <f t="shared" si="24"/>
        <v>0</v>
      </c>
      <c r="BF48" s="287">
        <f t="shared" si="24"/>
        <v>0</v>
      </c>
      <c r="BG48" s="287">
        <f t="shared" si="24"/>
        <v>0</v>
      </c>
      <c r="BH48" s="287">
        <f t="shared" si="24"/>
        <v>0</v>
      </c>
      <c r="BI48" s="287">
        <f t="shared" si="24"/>
        <v>0</v>
      </c>
      <c r="BJ48" s="287">
        <f t="shared" si="24"/>
        <v>0</v>
      </c>
      <c r="BK48" s="287">
        <f t="shared" si="24"/>
        <v>0</v>
      </c>
      <c r="BL48" s="287">
        <f t="shared" si="24"/>
        <v>0</v>
      </c>
      <c r="BM48" s="287">
        <f t="shared" si="24"/>
        <v>0</v>
      </c>
      <c r="BN48" s="287">
        <f t="shared" si="24"/>
        <v>0</v>
      </c>
      <c r="BO48" s="287">
        <f t="shared" si="24"/>
        <v>0</v>
      </c>
      <c r="BP48" s="287">
        <f t="shared" si="24"/>
        <v>0</v>
      </c>
      <c r="BQ48" s="287">
        <f t="shared" si="24"/>
        <v>0</v>
      </c>
      <c r="BR48" s="287">
        <f t="shared" si="24"/>
        <v>0</v>
      </c>
      <c r="BS48" s="287">
        <f t="shared" si="24"/>
        <v>0</v>
      </c>
      <c r="BT48" s="287">
        <f t="shared" si="24"/>
        <v>0</v>
      </c>
      <c r="BU48" s="287">
        <f t="shared" si="24"/>
        <v>0</v>
      </c>
      <c r="BV48" s="287">
        <f t="shared" si="24"/>
        <v>0</v>
      </c>
      <c r="BW48" s="287">
        <f t="shared" si="24"/>
        <v>0</v>
      </c>
      <c r="BX48" s="287">
        <f t="shared" si="24"/>
        <v>0</v>
      </c>
      <c r="BY48" s="289">
        <f>SUM(BY49:BY53)</f>
        <v>-6645373.2312682495</v>
      </c>
      <c r="BZ48" s="631"/>
      <c r="CA48" s="265"/>
      <c r="CB48" s="289" t="e">
        <f t="array" ref="CB48">SUM(INDEX(E48:BX48, , 1):INDEX(E48:BX48, ,MATCH($CB$4, $E$3:$BX$3,0) ))</f>
        <v>#N/A</v>
      </c>
      <c r="CC48" s="631"/>
    </row>
    <row r="49" spans="2:81" ht="16" outlineLevel="1">
      <c r="B49" s="629"/>
      <c r="C49" s="290" t="s">
        <v>294</v>
      </c>
      <c r="D49" s="291" t="s">
        <v>262</v>
      </c>
      <c r="E49" s="292"/>
      <c r="F49" s="292"/>
      <c r="G49" s="292"/>
      <c r="H49" s="292"/>
      <c r="I49" s="292"/>
      <c r="J49" s="292"/>
      <c r="K49" s="292"/>
      <c r="L49" s="292"/>
      <c r="M49" s="292"/>
      <c r="N49" s="292"/>
      <c r="O49" s="292"/>
      <c r="P49" s="292"/>
      <c r="Q49" s="292"/>
      <c r="R49" s="292"/>
      <c r="S49" s="292"/>
      <c r="T49" s="292"/>
      <c r="U49" s="292">
        <f>-Businessplan_prodej!F73</f>
        <v>-514623.23126824998</v>
      </c>
      <c r="V49" s="292"/>
      <c r="W49" s="292"/>
      <c r="X49" s="292"/>
      <c r="Y49" s="292"/>
      <c r="Z49" s="292"/>
      <c r="AA49" s="292"/>
      <c r="AB49" s="292"/>
      <c r="AC49" s="292"/>
      <c r="AD49" s="292"/>
      <c r="AE49" s="292"/>
      <c r="AF49" s="292"/>
      <c r="AG49" s="292"/>
      <c r="AH49" s="292"/>
      <c r="AI49" s="292"/>
      <c r="AJ49" s="292"/>
      <c r="AK49" s="292"/>
      <c r="AL49" s="292"/>
      <c r="AM49" s="292"/>
      <c r="AN49" s="292"/>
      <c r="AO49" s="292"/>
      <c r="AP49" s="292"/>
      <c r="AQ49" s="292"/>
      <c r="AR49" s="292"/>
      <c r="AS49" s="292"/>
      <c r="AT49" s="292"/>
      <c r="AU49" s="292"/>
      <c r="AV49" s="292"/>
      <c r="AW49" s="292"/>
      <c r="AX49" s="292"/>
      <c r="AY49" s="292"/>
      <c r="AZ49" s="292"/>
      <c r="BA49" s="292"/>
      <c r="BB49" s="292"/>
      <c r="BC49" s="292"/>
      <c r="BD49" s="292"/>
      <c r="BE49" s="292"/>
      <c r="BF49" s="292"/>
      <c r="BG49" s="292"/>
      <c r="BH49" s="292"/>
      <c r="BI49" s="292"/>
      <c r="BJ49" s="292"/>
      <c r="BK49" s="292"/>
      <c r="BL49" s="292"/>
      <c r="BM49" s="292"/>
      <c r="BN49" s="292"/>
      <c r="BO49" s="292"/>
      <c r="BP49" s="292"/>
      <c r="BQ49" s="292"/>
      <c r="BR49" s="292"/>
      <c r="BS49" s="292"/>
      <c r="BT49" s="292"/>
      <c r="BU49" s="292"/>
      <c r="BV49" s="292"/>
      <c r="BW49" s="292"/>
      <c r="BX49" s="297"/>
      <c r="BY49" s="298">
        <f t="shared" ref="BY49:BY53" si="25">SUM(E49:BX49)</f>
        <v>-514623.23126824998</v>
      </c>
      <c r="BZ49" s="631"/>
      <c r="CA49" s="265"/>
      <c r="CB49" s="289" t="e">
        <f t="shared" ref="CB49:CB53" si="26">SUM(INDEX(AC49:BX49, , 1):INDEX(AC49:BX49, ,MATCH(CB5, E4:BX4,0) ))</f>
        <v>#N/A</v>
      </c>
      <c r="CC49" s="631"/>
    </row>
    <row r="50" spans="2:81" ht="16" outlineLevel="1">
      <c r="B50" s="629"/>
      <c r="C50" s="290" t="s">
        <v>295</v>
      </c>
      <c r="D50" s="291" t="s">
        <v>262</v>
      </c>
      <c r="E50" s="292"/>
      <c r="F50" s="292"/>
      <c r="G50" s="292"/>
      <c r="H50" s="292"/>
      <c r="I50" s="292"/>
      <c r="J50" s="292"/>
      <c r="K50" s="292"/>
      <c r="L50" s="292"/>
      <c r="M50" s="292"/>
      <c r="N50" s="292"/>
      <c r="O50" s="292"/>
      <c r="P50" s="292"/>
      <c r="Q50" s="292"/>
      <c r="R50" s="292"/>
      <c r="S50" s="292">
        <f>-Businessplan_prodej!$F$74/11</f>
        <v>-556249.99999999988</v>
      </c>
      <c r="T50" s="292">
        <f>-Businessplan_prodej!$F$74/11</f>
        <v>-556249.99999999988</v>
      </c>
      <c r="U50" s="292">
        <f>-Businessplan_prodej!$F$74/11</f>
        <v>-556249.99999999988</v>
      </c>
      <c r="V50" s="292">
        <f>-Businessplan_prodej!$F$74/11</f>
        <v>-556249.99999999988</v>
      </c>
      <c r="W50" s="292">
        <f>-Businessplan_prodej!$F$74/11</f>
        <v>-556249.99999999988</v>
      </c>
      <c r="X50" s="292">
        <f>-Businessplan_prodej!$F$74/11</f>
        <v>-556249.99999999988</v>
      </c>
      <c r="Y50" s="292">
        <f>-Businessplan_prodej!$F$74/11</f>
        <v>-556249.99999999988</v>
      </c>
      <c r="Z50" s="292">
        <f>-Businessplan_prodej!$F$74/11</f>
        <v>-556249.99999999988</v>
      </c>
      <c r="AA50" s="292">
        <f>-Businessplan_prodej!$F$74/11</f>
        <v>-556249.99999999988</v>
      </c>
      <c r="AB50" s="292">
        <f>-Businessplan_prodej!$F$74/11</f>
        <v>-556249.99999999988</v>
      </c>
      <c r="AC50" s="292">
        <f>-Businessplan_prodej!$F$74/11</f>
        <v>-556249.99999999988</v>
      </c>
      <c r="AD50" s="292"/>
      <c r="AE50" s="292"/>
      <c r="AF50" s="292"/>
      <c r="AG50" s="292"/>
      <c r="AH50" s="292"/>
      <c r="AI50" s="292"/>
      <c r="AJ50" s="292"/>
      <c r="AK50" s="292"/>
      <c r="AL50" s="292"/>
      <c r="AM50" s="292"/>
      <c r="AN50" s="292"/>
      <c r="AO50" s="292"/>
      <c r="AP50" s="292"/>
      <c r="AQ50" s="292"/>
      <c r="AR50" s="292"/>
      <c r="AS50" s="292"/>
      <c r="AT50" s="292"/>
      <c r="AU50" s="292"/>
      <c r="AV50" s="292"/>
      <c r="AW50" s="292"/>
      <c r="AX50" s="292"/>
      <c r="AY50" s="292"/>
      <c r="AZ50" s="292"/>
      <c r="BA50" s="292"/>
      <c r="BB50" s="292"/>
      <c r="BC50" s="292"/>
      <c r="BD50" s="292"/>
      <c r="BE50" s="292"/>
      <c r="BF50" s="292"/>
      <c r="BG50" s="292"/>
      <c r="BH50" s="292"/>
      <c r="BI50" s="292"/>
      <c r="BJ50" s="292"/>
      <c r="BK50" s="292"/>
      <c r="BL50" s="292"/>
      <c r="BM50" s="292"/>
      <c r="BN50" s="292"/>
      <c r="BO50" s="292"/>
      <c r="BP50" s="292"/>
      <c r="BQ50" s="292"/>
      <c r="BR50" s="292"/>
      <c r="BS50" s="292"/>
      <c r="BT50" s="292"/>
      <c r="BU50" s="292"/>
      <c r="BV50" s="292"/>
      <c r="BW50" s="292"/>
      <c r="BX50" s="297"/>
      <c r="BY50" s="298">
        <f t="shared" si="25"/>
        <v>-6118749.9999999991</v>
      </c>
      <c r="BZ50" s="631"/>
      <c r="CA50" s="265"/>
      <c r="CB50" s="289" t="e">
        <f t="shared" si="26"/>
        <v>#N/A</v>
      </c>
      <c r="CC50" s="631"/>
    </row>
    <row r="51" spans="2:81" ht="16" outlineLevel="1">
      <c r="B51" s="629"/>
      <c r="C51" s="290" t="s">
        <v>296</v>
      </c>
      <c r="D51" s="291" t="s">
        <v>262</v>
      </c>
      <c r="E51" s="292"/>
      <c r="F51" s="292"/>
      <c r="G51" s="292"/>
      <c r="H51" s="292"/>
      <c r="I51" s="292"/>
      <c r="J51" s="292"/>
      <c r="K51" s="292"/>
      <c r="L51" s="292"/>
      <c r="M51" s="292"/>
      <c r="N51" s="292"/>
      <c r="O51" s="292"/>
      <c r="P51" s="292"/>
      <c r="Q51" s="292"/>
      <c r="R51" s="292"/>
      <c r="S51" s="292"/>
      <c r="T51" s="292"/>
      <c r="U51" s="292"/>
      <c r="V51" s="292"/>
      <c r="W51" s="292"/>
      <c r="X51" s="292"/>
      <c r="Y51" s="292"/>
      <c r="Z51" s="292"/>
      <c r="AA51" s="292"/>
      <c r="AB51" s="292"/>
      <c r="AC51" s="292"/>
      <c r="AD51" s="292"/>
      <c r="AE51" s="292"/>
      <c r="AF51" s="292"/>
      <c r="AG51" s="292"/>
      <c r="AH51" s="292"/>
      <c r="AI51" s="292"/>
      <c r="AJ51" s="292"/>
      <c r="AK51" s="292"/>
      <c r="AL51" s="292"/>
      <c r="AM51" s="292"/>
      <c r="AN51" s="292"/>
      <c r="AO51" s="292"/>
      <c r="AP51" s="292"/>
      <c r="AQ51" s="292"/>
      <c r="AR51" s="292"/>
      <c r="AS51" s="292"/>
      <c r="AT51" s="292"/>
      <c r="AU51" s="292"/>
      <c r="AV51" s="292"/>
      <c r="AW51" s="292"/>
      <c r="AX51" s="292"/>
      <c r="AY51" s="292"/>
      <c r="AZ51" s="292"/>
      <c r="BA51" s="292"/>
      <c r="BB51" s="292"/>
      <c r="BC51" s="292"/>
      <c r="BD51" s="292"/>
      <c r="BE51" s="292"/>
      <c r="BF51" s="292"/>
      <c r="BG51" s="292"/>
      <c r="BH51" s="292"/>
      <c r="BI51" s="292"/>
      <c r="BJ51" s="292"/>
      <c r="BK51" s="292"/>
      <c r="BL51" s="292"/>
      <c r="BM51" s="292"/>
      <c r="BN51" s="292"/>
      <c r="BO51" s="292"/>
      <c r="BP51" s="292"/>
      <c r="BQ51" s="292"/>
      <c r="BR51" s="292"/>
      <c r="BS51" s="292"/>
      <c r="BT51" s="292"/>
      <c r="BU51" s="292"/>
      <c r="BV51" s="292"/>
      <c r="BW51" s="292"/>
      <c r="BX51" s="297"/>
      <c r="BY51" s="298">
        <f t="shared" si="25"/>
        <v>0</v>
      </c>
      <c r="BZ51" s="631"/>
      <c r="CA51" s="265"/>
      <c r="CB51" s="289" t="e">
        <f t="shared" si="26"/>
        <v>#N/A</v>
      </c>
      <c r="CC51" s="631"/>
    </row>
    <row r="52" spans="2:81" ht="16" outlineLevel="1">
      <c r="B52" s="629"/>
      <c r="C52" s="290" t="s">
        <v>297</v>
      </c>
      <c r="D52" s="291" t="s">
        <v>262</v>
      </c>
      <c r="E52" s="292"/>
      <c r="F52" s="292"/>
      <c r="G52" s="292"/>
      <c r="H52" s="292"/>
      <c r="I52" s="292"/>
      <c r="J52" s="292"/>
      <c r="K52" s="292"/>
      <c r="L52" s="292"/>
      <c r="M52" s="292"/>
      <c r="N52" s="292"/>
      <c r="O52" s="292"/>
      <c r="P52" s="292"/>
      <c r="Q52" s="292"/>
      <c r="R52" s="292"/>
      <c r="S52" s="292">
        <f>-Businessplan_prodej!$F$76/11</f>
        <v>-1090.909090909091</v>
      </c>
      <c r="T52" s="292">
        <f>-Businessplan_prodej!$F$76/11</f>
        <v>-1090.909090909091</v>
      </c>
      <c r="U52" s="292">
        <f>-Businessplan_prodej!$F$76/11</f>
        <v>-1090.909090909091</v>
      </c>
      <c r="V52" s="292">
        <f>-Businessplan_prodej!$F$76/11</f>
        <v>-1090.909090909091</v>
      </c>
      <c r="W52" s="292">
        <f>-Businessplan_prodej!$F$76/11</f>
        <v>-1090.909090909091</v>
      </c>
      <c r="X52" s="292">
        <f>-Businessplan_prodej!$F$76/11</f>
        <v>-1090.909090909091</v>
      </c>
      <c r="Y52" s="292">
        <f>-Businessplan_prodej!$F$76/11</f>
        <v>-1090.909090909091</v>
      </c>
      <c r="Z52" s="292">
        <f>-Businessplan_prodej!$F$76/11</f>
        <v>-1090.909090909091</v>
      </c>
      <c r="AA52" s="292">
        <f>-Businessplan_prodej!$F$76/11</f>
        <v>-1090.909090909091</v>
      </c>
      <c r="AB52" s="292">
        <f>-Businessplan_prodej!$F$76/11</f>
        <v>-1090.909090909091</v>
      </c>
      <c r="AC52" s="292">
        <f>-Businessplan_prodej!$F$76/11</f>
        <v>-1090.909090909091</v>
      </c>
      <c r="AD52" s="292"/>
      <c r="AE52" s="292"/>
      <c r="AF52" s="292"/>
      <c r="AG52" s="292"/>
      <c r="AH52" s="292"/>
      <c r="AI52" s="292"/>
      <c r="AJ52" s="292"/>
      <c r="AK52" s="292"/>
      <c r="AL52" s="292"/>
      <c r="AM52" s="292"/>
      <c r="AN52" s="292"/>
      <c r="AO52" s="292"/>
      <c r="AP52" s="292"/>
      <c r="AQ52" s="292"/>
      <c r="AR52" s="292"/>
      <c r="AS52" s="292"/>
      <c r="AT52" s="292"/>
      <c r="AU52" s="292"/>
      <c r="AV52" s="292"/>
      <c r="AW52" s="292"/>
      <c r="AX52" s="292"/>
      <c r="AY52" s="292"/>
      <c r="AZ52" s="292"/>
      <c r="BA52" s="292"/>
      <c r="BB52" s="292"/>
      <c r="BC52" s="292"/>
      <c r="BD52" s="292"/>
      <c r="BE52" s="292"/>
      <c r="BF52" s="292"/>
      <c r="BG52" s="292"/>
      <c r="BH52" s="292"/>
      <c r="BI52" s="292"/>
      <c r="BJ52" s="292"/>
      <c r="BK52" s="292"/>
      <c r="BL52" s="292"/>
      <c r="BM52" s="292"/>
      <c r="BN52" s="292"/>
      <c r="BO52" s="292"/>
      <c r="BP52" s="292"/>
      <c r="BQ52" s="292"/>
      <c r="BR52" s="292"/>
      <c r="BS52" s="292"/>
      <c r="BT52" s="292"/>
      <c r="BU52" s="292"/>
      <c r="BV52" s="292"/>
      <c r="BW52" s="292"/>
      <c r="BX52" s="297"/>
      <c r="BY52" s="299">
        <f t="shared" si="25"/>
        <v>-12000.000000000004</v>
      </c>
      <c r="BZ52" s="631"/>
      <c r="CA52" s="265"/>
      <c r="CB52" s="289" t="e">
        <f t="shared" si="26"/>
        <v>#N/A</v>
      </c>
      <c r="CC52" s="631"/>
    </row>
    <row r="53" spans="2:81" ht="16" outlineLevel="1">
      <c r="B53" s="629"/>
      <c r="C53" s="290" t="s">
        <v>298</v>
      </c>
      <c r="D53" s="294" t="s">
        <v>262</v>
      </c>
      <c r="E53" s="295"/>
      <c r="F53" s="295"/>
      <c r="G53" s="292"/>
      <c r="H53" s="292"/>
      <c r="I53" s="292"/>
      <c r="J53" s="292"/>
      <c r="K53" s="292"/>
      <c r="L53" s="292"/>
      <c r="M53" s="292"/>
      <c r="N53" s="292"/>
      <c r="O53" s="292"/>
      <c r="P53" s="292"/>
      <c r="Q53" s="292"/>
      <c r="R53" s="292"/>
      <c r="S53" s="292"/>
      <c r="T53" s="292"/>
      <c r="U53" s="292"/>
      <c r="V53" s="292"/>
      <c r="W53" s="292"/>
      <c r="X53" s="292"/>
      <c r="Y53" s="292"/>
      <c r="Z53" s="292"/>
      <c r="AA53" s="292"/>
      <c r="AB53" s="292"/>
      <c r="AC53" s="292"/>
      <c r="AD53" s="292"/>
      <c r="AE53" s="292"/>
      <c r="AF53" s="292"/>
      <c r="AG53" s="292"/>
      <c r="AH53" s="292"/>
      <c r="AI53" s="292"/>
      <c r="AJ53" s="292"/>
      <c r="AK53" s="292"/>
      <c r="AL53" s="292"/>
      <c r="AM53" s="292"/>
      <c r="AN53" s="292"/>
      <c r="AO53" s="292"/>
      <c r="AP53" s="292"/>
      <c r="AQ53" s="292"/>
      <c r="AR53" s="292"/>
      <c r="AS53" s="292"/>
      <c r="AT53" s="292"/>
      <c r="AU53" s="292"/>
      <c r="AV53" s="292"/>
      <c r="AW53" s="292"/>
      <c r="AX53" s="292"/>
      <c r="AY53" s="292"/>
      <c r="AZ53" s="292"/>
      <c r="BA53" s="292"/>
      <c r="BB53" s="292"/>
      <c r="BC53" s="292"/>
      <c r="BD53" s="292"/>
      <c r="BE53" s="292"/>
      <c r="BF53" s="292"/>
      <c r="BG53" s="292"/>
      <c r="BH53" s="292"/>
      <c r="BI53" s="292"/>
      <c r="BJ53" s="292"/>
      <c r="BK53" s="292"/>
      <c r="BL53" s="292"/>
      <c r="BM53" s="292"/>
      <c r="BN53" s="292"/>
      <c r="BO53" s="292"/>
      <c r="BP53" s="292"/>
      <c r="BQ53" s="292"/>
      <c r="BR53" s="292"/>
      <c r="BS53" s="292"/>
      <c r="BT53" s="292"/>
      <c r="BU53" s="292"/>
      <c r="BV53" s="292"/>
      <c r="BW53" s="292"/>
      <c r="BX53" s="297"/>
      <c r="BY53" s="301">
        <f t="shared" si="25"/>
        <v>0</v>
      </c>
      <c r="BZ53" s="631"/>
      <c r="CA53" s="265"/>
      <c r="CB53" s="289" t="e">
        <f t="shared" si="26"/>
        <v>#N/A</v>
      </c>
      <c r="CC53" s="631"/>
    </row>
    <row r="54" spans="2:81" ht="16">
      <c r="B54" s="629"/>
      <c r="C54" s="285" t="s">
        <v>299</v>
      </c>
      <c r="D54" s="286"/>
      <c r="E54" s="287">
        <f t="shared" ref="E54:BX54" si="27">SUM(E55:E61)</f>
        <v>0</v>
      </c>
      <c r="F54" s="287">
        <f t="shared" si="27"/>
        <v>0</v>
      </c>
      <c r="G54" s="287">
        <f t="shared" si="27"/>
        <v>0</v>
      </c>
      <c r="H54" s="287">
        <f t="shared" si="27"/>
        <v>0</v>
      </c>
      <c r="I54" s="287">
        <f t="shared" si="27"/>
        <v>0</v>
      </c>
      <c r="J54" s="287">
        <f t="shared" si="27"/>
        <v>0</v>
      </c>
      <c r="K54" s="287">
        <f t="shared" si="27"/>
        <v>0</v>
      </c>
      <c r="L54" s="287">
        <f t="shared" si="27"/>
        <v>0</v>
      </c>
      <c r="M54" s="287">
        <f t="shared" si="27"/>
        <v>0</v>
      </c>
      <c r="N54" s="287">
        <f t="shared" si="27"/>
        <v>0</v>
      </c>
      <c r="O54" s="287">
        <f t="shared" si="27"/>
        <v>0</v>
      </c>
      <c r="P54" s="287">
        <f t="shared" si="27"/>
        <v>0</v>
      </c>
      <c r="Q54" s="287">
        <f t="shared" si="27"/>
        <v>0</v>
      </c>
      <c r="R54" s="287">
        <f t="shared" si="27"/>
        <v>0</v>
      </c>
      <c r="S54" s="287">
        <f t="shared" si="27"/>
        <v>0</v>
      </c>
      <c r="T54" s="287">
        <f t="shared" si="27"/>
        <v>0</v>
      </c>
      <c r="U54" s="287">
        <f t="shared" si="27"/>
        <v>-72916.666666666672</v>
      </c>
      <c r="V54" s="287">
        <f t="shared" si="27"/>
        <v>-157500.00000000003</v>
      </c>
      <c r="W54" s="287">
        <f t="shared" si="27"/>
        <v>-242083.33333333337</v>
      </c>
      <c r="X54" s="287">
        <f t="shared" si="27"/>
        <v>-326666.66666666669</v>
      </c>
      <c r="Y54" s="287">
        <f t="shared" si="27"/>
        <v>-411250.00000000006</v>
      </c>
      <c r="Z54" s="287">
        <f t="shared" si="27"/>
        <v>-495833.33333333343</v>
      </c>
      <c r="AA54" s="287">
        <f t="shared" si="27"/>
        <v>-580416.66666666674</v>
      </c>
      <c r="AB54" s="287">
        <f t="shared" si="27"/>
        <v>-665000.00000000012</v>
      </c>
      <c r="AC54" s="287">
        <f t="shared" si="27"/>
        <v>-2466250.0000000005</v>
      </c>
      <c r="AD54" s="287">
        <f t="shared" si="27"/>
        <v>0</v>
      </c>
      <c r="AE54" s="287">
        <f t="shared" si="27"/>
        <v>0</v>
      </c>
      <c r="AF54" s="287">
        <f t="shared" si="27"/>
        <v>0</v>
      </c>
      <c r="AG54" s="287">
        <f t="shared" si="27"/>
        <v>0</v>
      </c>
      <c r="AH54" s="287">
        <f t="shared" si="27"/>
        <v>0</v>
      </c>
      <c r="AI54" s="287">
        <f t="shared" si="27"/>
        <v>0</v>
      </c>
      <c r="AJ54" s="287">
        <f t="shared" si="27"/>
        <v>0</v>
      </c>
      <c r="AK54" s="287">
        <f t="shared" si="27"/>
        <v>0</v>
      </c>
      <c r="AL54" s="287">
        <f t="shared" si="27"/>
        <v>0</v>
      </c>
      <c r="AM54" s="287">
        <f t="shared" si="27"/>
        <v>0</v>
      </c>
      <c r="AN54" s="287">
        <f t="shared" si="27"/>
        <v>0</v>
      </c>
      <c r="AO54" s="287">
        <f t="shared" si="27"/>
        <v>0</v>
      </c>
      <c r="AP54" s="287">
        <f t="shared" si="27"/>
        <v>0</v>
      </c>
      <c r="AQ54" s="287">
        <f t="shared" si="27"/>
        <v>0</v>
      </c>
      <c r="AR54" s="287">
        <f t="shared" si="27"/>
        <v>0</v>
      </c>
      <c r="AS54" s="287">
        <f t="shared" si="27"/>
        <v>0</v>
      </c>
      <c r="AT54" s="287">
        <f t="shared" si="27"/>
        <v>0</v>
      </c>
      <c r="AU54" s="287">
        <f t="shared" si="27"/>
        <v>0</v>
      </c>
      <c r="AV54" s="287">
        <f t="shared" si="27"/>
        <v>0</v>
      </c>
      <c r="AW54" s="287">
        <f t="shared" si="27"/>
        <v>0</v>
      </c>
      <c r="AX54" s="287">
        <f t="shared" si="27"/>
        <v>0</v>
      </c>
      <c r="AY54" s="287">
        <f t="shared" si="27"/>
        <v>0</v>
      </c>
      <c r="AZ54" s="287">
        <f t="shared" si="27"/>
        <v>0</v>
      </c>
      <c r="BA54" s="287">
        <f t="shared" si="27"/>
        <v>0</v>
      </c>
      <c r="BB54" s="287">
        <f t="shared" si="27"/>
        <v>0</v>
      </c>
      <c r="BC54" s="287">
        <f t="shared" si="27"/>
        <v>0</v>
      </c>
      <c r="BD54" s="287">
        <f t="shared" si="27"/>
        <v>0</v>
      </c>
      <c r="BE54" s="287">
        <f t="shared" si="27"/>
        <v>0</v>
      </c>
      <c r="BF54" s="287">
        <f t="shared" si="27"/>
        <v>0</v>
      </c>
      <c r="BG54" s="287">
        <f t="shared" si="27"/>
        <v>0</v>
      </c>
      <c r="BH54" s="287">
        <f t="shared" si="27"/>
        <v>0</v>
      </c>
      <c r="BI54" s="287">
        <f t="shared" si="27"/>
        <v>0</v>
      </c>
      <c r="BJ54" s="287">
        <f t="shared" si="27"/>
        <v>0</v>
      </c>
      <c r="BK54" s="287">
        <f t="shared" si="27"/>
        <v>0</v>
      </c>
      <c r="BL54" s="287">
        <f t="shared" si="27"/>
        <v>0</v>
      </c>
      <c r="BM54" s="287">
        <f t="shared" si="27"/>
        <v>0</v>
      </c>
      <c r="BN54" s="287">
        <f t="shared" si="27"/>
        <v>0</v>
      </c>
      <c r="BO54" s="287">
        <f t="shared" si="27"/>
        <v>0</v>
      </c>
      <c r="BP54" s="287">
        <f t="shared" si="27"/>
        <v>0</v>
      </c>
      <c r="BQ54" s="287">
        <f t="shared" si="27"/>
        <v>0</v>
      </c>
      <c r="BR54" s="287">
        <f t="shared" si="27"/>
        <v>0</v>
      </c>
      <c r="BS54" s="287">
        <f t="shared" si="27"/>
        <v>0</v>
      </c>
      <c r="BT54" s="287">
        <f t="shared" si="27"/>
        <v>0</v>
      </c>
      <c r="BU54" s="287">
        <f t="shared" si="27"/>
        <v>0</v>
      </c>
      <c r="BV54" s="287">
        <f t="shared" si="27"/>
        <v>0</v>
      </c>
      <c r="BW54" s="287">
        <f t="shared" si="27"/>
        <v>0</v>
      </c>
      <c r="BX54" s="287">
        <f t="shared" si="27"/>
        <v>0</v>
      </c>
      <c r="BY54" s="289">
        <f>SUM(BY55:BY61)</f>
        <v>-5417916.666666667</v>
      </c>
      <c r="BZ54" s="631"/>
      <c r="CA54" s="265"/>
      <c r="CB54" s="289" t="e">
        <f t="array" ref="CB54">SUM(INDEX(E54:BX54, , 1):INDEX(E54:BX54, ,MATCH($CB$4, $E$3:$BX$3,0) ))</f>
        <v>#N/A</v>
      </c>
      <c r="CC54" s="631"/>
    </row>
    <row r="55" spans="2:81" ht="16" outlineLevel="1">
      <c r="B55" s="629"/>
      <c r="C55" s="290" t="s">
        <v>300</v>
      </c>
      <c r="D55" s="305">
        <v>0.11</v>
      </c>
      <c r="E55" s="292"/>
      <c r="F55" s="292"/>
      <c r="G55" s="292"/>
      <c r="H55" s="292"/>
      <c r="I55" s="292"/>
      <c r="J55" s="292"/>
      <c r="K55" s="292"/>
      <c r="L55" s="292"/>
      <c r="M55" s="292"/>
      <c r="N55" s="292"/>
      <c r="O55" s="292"/>
      <c r="P55" s="292"/>
      <c r="Q55" s="292"/>
      <c r="R55" s="292"/>
      <c r="S55" s="292"/>
      <c r="T55" s="292"/>
      <c r="U55" s="292"/>
      <c r="V55" s="292"/>
      <c r="W55" s="292"/>
      <c r="X55" s="292"/>
      <c r="Y55" s="292"/>
      <c r="Z55" s="292"/>
      <c r="AA55" s="292"/>
      <c r="AB55" s="292"/>
      <c r="AC55" s="292">
        <f>-SUM('Interest Calc EQ'!E19:E31)-'Interest Calc EQ'!E31</f>
        <v>0</v>
      </c>
      <c r="AD55" s="292"/>
      <c r="AE55" s="292"/>
      <c r="AF55" s="292"/>
      <c r="AG55" s="292"/>
      <c r="AH55" s="292"/>
      <c r="AI55" s="292"/>
      <c r="AJ55" s="292"/>
      <c r="AK55" s="292"/>
      <c r="AL55" s="292"/>
      <c r="AM55" s="292"/>
      <c r="AN55" s="292"/>
      <c r="AO55" s="292"/>
      <c r="AP55" s="292"/>
      <c r="AQ55" s="292"/>
      <c r="AR55" s="292"/>
      <c r="AS55" s="292"/>
      <c r="AT55" s="292"/>
      <c r="AU55" s="292"/>
      <c r="AV55" s="292"/>
      <c r="AW55" s="292"/>
      <c r="AX55" s="292"/>
      <c r="AY55" s="292"/>
      <c r="AZ55" s="292"/>
      <c r="BA55" s="292"/>
      <c r="BB55" s="292"/>
      <c r="BC55" s="292"/>
      <c r="BD55" s="292"/>
      <c r="BE55" s="292"/>
      <c r="BF55" s="292"/>
      <c r="BG55" s="292"/>
      <c r="BH55" s="292"/>
      <c r="BI55" s="292"/>
      <c r="BJ55" s="292"/>
      <c r="BK55" s="292"/>
      <c r="BL55" s="292"/>
      <c r="BM55" s="297"/>
      <c r="BN55" s="297"/>
      <c r="BO55" s="297"/>
      <c r="BP55" s="297"/>
      <c r="BQ55" s="297"/>
      <c r="BR55" s="297"/>
      <c r="BS55" s="297"/>
      <c r="BT55" s="297"/>
      <c r="BU55" s="297"/>
      <c r="BV55" s="297"/>
      <c r="BW55" s="297"/>
      <c r="BX55" s="297"/>
      <c r="BY55" s="306">
        <f t="shared" ref="BY55:BY61" si="28">SUM(E55:BX55)</f>
        <v>0</v>
      </c>
      <c r="BZ55" s="631"/>
      <c r="CA55" s="265"/>
      <c r="CB55" s="289" t="e">
        <f t="shared" ref="CB55:CB58" si="29">SUM(INDEX(AC55:BX55, , 1):INDEX(AC55:BX55, ,MATCH(CB11, E10:BX10,0) ))</f>
        <v>#N/A</v>
      </c>
      <c r="CC55" s="631"/>
    </row>
    <row r="56" spans="2:81" ht="16" outlineLevel="1">
      <c r="B56" s="629"/>
      <c r="C56" s="290" t="s">
        <v>301</v>
      </c>
      <c r="D56" s="305">
        <v>0.11</v>
      </c>
      <c r="E56" s="292"/>
      <c r="F56" s="292"/>
      <c r="G56" s="292"/>
      <c r="H56" s="292"/>
      <c r="I56" s="292"/>
      <c r="J56" s="292"/>
      <c r="K56" s="292"/>
      <c r="L56" s="292"/>
      <c r="M56" s="292"/>
      <c r="N56" s="292"/>
      <c r="O56" s="292"/>
      <c r="P56" s="292"/>
      <c r="Q56" s="292"/>
      <c r="R56" s="292"/>
      <c r="S56" s="292"/>
      <c r="T56" s="292"/>
      <c r="U56" s="292"/>
      <c r="V56" s="292"/>
      <c r="W56" s="292"/>
      <c r="X56" s="292"/>
      <c r="Y56" s="292"/>
      <c r="Z56" s="292"/>
      <c r="AA56" s="292"/>
      <c r="AB56" s="292"/>
      <c r="AC56" s="292">
        <f>-SUM('Interest Calc EQ'!J22:J31)-'Interest Calc EQ'!J31</f>
        <v>-1801250.0000000002</v>
      </c>
      <c r="AD56" s="292"/>
      <c r="AE56" s="292"/>
      <c r="AF56" s="292"/>
      <c r="AG56" s="292"/>
      <c r="AH56" s="292"/>
      <c r="AI56" s="292"/>
      <c r="AJ56" s="292"/>
      <c r="AK56" s="292"/>
      <c r="AL56" s="292"/>
      <c r="AM56" s="292"/>
      <c r="AN56" s="292"/>
      <c r="AO56" s="292"/>
      <c r="AP56" s="292"/>
      <c r="AQ56" s="292"/>
      <c r="AR56" s="292"/>
      <c r="AS56" s="292"/>
      <c r="AT56" s="292"/>
      <c r="AU56" s="292"/>
      <c r="AV56" s="292"/>
      <c r="AW56" s="292"/>
      <c r="AX56" s="292"/>
      <c r="AY56" s="292"/>
      <c r="AZ56" s="292"/>
      <c r="BA56" s="292"/>
      <c r="BB56" s="292"/>
      <c r="BC56" s="292"/>
      <c r="BD56" s="292"/>
      <c r="BE56" s="292"/>
      <c r="BF56" s="292"/>
      <c r="BG56" s="292"/>
      <c r="BH56" s="292"/>
      <c r="BI56" s="292"/>
      <c r="BJ56" s="292"/>
      <c r="BK56" s="292"/>
      <c r="BL56" s="292"/>
      <c r="BM56" s="297"/>
      <c r="BN56" s="297"/>
      <c r="BO56" s="297"/>
      <c r="BP56" s="297"/>
      <c r="BQ56" s="297"/>
      <c r="BR56" s="297"/>
      <c r="BS56" s="297"/>
      <c r="BT56" s="297"/>
      <c r="BU56" s="297"/>
      <c r="BV56" s="297"/>
      <c r="BW56" s="297"/>
      <c r="BX56" s="297"/>
      <c r="BY56" s="307">
        <f t="shared" si="28"/>
        <v>-1801250.0000000002</v>
      </c>
      <c r="BZ56" s="631"/>
      <c r="CA56" s="265"/>
      <c r="CB56" s="289" t="e">
        <f t="shared" si="29"/>
        <v>#REF!</v>
      </c>
      <c r="CC56" s="631"/>
    </row>
    <row r="57" spans="2:81" ht="16" outlineLevel="1">
      <c r="B57" s="629"/>
      <c r="C57" s="290" t="s">
        <v>302</v>
      </c>
      <c r="D57" s="305">
        <v>0.11</v>
      </c>
      <c r="E57" s="292"/>
      <c r="F57" s="292"/>
      <c r="G57" s="292"/>
      <c r="H57" s="292"/>
      <c r="I57" s="292"/>
      <c r="J57" s="292"/>
      <c r="K57" s="292"/>
      <c r="L57" s="292"/>
      <c r="M57" s="292"/>
      <c r="N57" s="292"/>
      <c r="O57" s="292"/>
      <c r="P57" s="292"/>
      <c r="Q57" s="292"/>
      <c r="R57" s="292"/>
      <c r="S57" s="292"/>
      <c r="T57" s="292"/>
      <c r="U57" s="292"/>
      <c r="V57" s="292"/>
      <c r="W57" s="292"/>
      <c r="X57" s="292"/>
      <c r="Y57" s="292"/>
      <c r="Z57" s="292"/>
      <c r="AA57" s="292"/>
      <c r="AB57" s="292"/>
      <c r="AC57" s="292"/>
      <c r="AD57" s="292"/>
      <c r="AE57" s="292"/>
      <c r="AF57" s="292"/>
      <c r="AG57" s="292"/>
      <c r="AH57" s="292"/>
      <c r="AI57" s="292"/>
      <c r="AJ57" s="292"/>
      <c r="AK57" s="292"/>
      <c r="AL57" s="292"/>
      <c r="AM57" s="292"/>
      <c r="AN57" s="292"/>
      <c r="AO57" s="292"/>
      <c r="AP57" s="292"/>
      <c r="AQ57" s="292"/>
      <c r="AR57" s="292"/>
      <c r="AS57" s="292"/>
      <c r="AT57" s="292"/>
      <c r="AU57" s="292"/>
      <c r="AV57" s="292"/>
      <c r="AW57" s="292"/>
      <c r="AX57" s="292"/>
      <c r="AY57" s="292"/>
      <c r="AZ57" s="292"/>
      <c r="BA57" s="292"/>
      <c r="BB57" s="292"/>
      <c r="BC57" s="292"/>
      <c r="BD57" s="292"/>
      <c r="BE57" s="292"/>
      <c r="BF57" s="292"/>
      <c r="BG57" s="292"/>
      <c r="BH57" s="292"/>
      <c r="BI57" s="292"/>
      <c r="BJ57" s="292"/>
      <c r="BK57" s="292"/>
      <c r="BL57" s="292"/>
      <c r="BM57" s="297"/>
      <c r="BN57" s="297"/>
      <c r="BO57" s="297"/>
      <c r="BP57" s="297"/>
      <c r="BQ57" s="297"/>
      <c r="BR57" s="297"/>
      <c r="BS57" s="297"/>
      <c r="BT57" s="297"/>
      <c r="BU57" s="297"/>
      <c r="BV57" s="297"/>
      <c r="BW57" s="297"/>
      <c r="BX57" s="297"/>
      <c r="BY57" s="307">
        <f t="shared" si="28"/>
        <v>0</v>
      </c>
      <c r="BZ57" s="631"/>
      <c r="CA57" s="265"/>
      <c r="CB57" s="289" t="e">
        <f t="shared" si="29"/>
        <v>#N/A</v>
      </c>
      <c r="CC57" s="631"/>
    </row>
    <row r="58" spans="2:81" ht="16" outlineLevel="1">
      <c r="B58" s="629"/>
      <c r="C58" s="290" t="s">
        <v>303</v>
      </c>
      <c r="D58" s="305">
        <v>0.11</v>
      </c>
      <c r="E58" s="292"/>
      <c r="F58" s="292"/>
      <c r="G58" s="292"/>
      <c r="H58" s="292"/>
      <c r="I58" s="292"/>
      <c r="J58" s="292"/>
      <c r="K58" s="292"/>
      <c r="L58" s="292"/>
      <c r="M58" s="292"/>
      <c r="N58" s="292"/>
      <c r="O58" s="292"/>
      <c r="P58" s="292"/>
      <c r="Q58" s="292"/>
      <c r="R58" s="292"/>
      <c r="S58" s="292"/>
      <c r="T58" s="292"/>
      <c r="U58" s="292"/>
      <c r="V58" s="292"/>
      <c r="W58" s="292"/>
      <c r="X58" s="292"/>
      <c r="Y58" s="292"/>
      <c r="Z58" s="292"/>
      <c r="AA58" s="292"/>
      <c r="AB58" s="292"/>
      <c r="AC58" s="292"/>
      <c r="AD58" s="292"/>
      <c r="AE58" s="292"/>
      <c r="AF58" s="292"/>
      <c r="AG58" s="292"/>
      <c r="AH58" s="292"/>
      <c r="AI58" s="292"/>
      <c r="AJ58" s="292"/>
      <c r="AK58" s="292"/>
      <c r="AL58" s="292"/>
      <c r="AM58" s="292"/>
      <c r="AN58" s="292"/>
      <c r="AO58" s="292"/>
      <c r="AP58" s="292"/>
      <c r="AQ58" s="292"/>
      <c r="AR58" s="292"/>
      <c r="AS58" s="292"/>
      <c r="AT58" s="292"/>
      <c r="AU58" s="292"/>
      <c r="AV58" s="292"/>
      <c r="AW58" s="292"/>
      <c r="AX58" s="292"/>
      <c r="AY58" s="292"/>
      <c r="AZ58" s="292"/>
      <c r="BA58" s="292"/>
      <c r="BB58" s="292"/>
      <c r="BC58" s="292"/>
      <c r="BD58" s="292"/>
      <c r="BE58" s="292"/>
      <c r="BF58" s="292"/>
      <c r="BG58" s="292"/>
      <c r="BH58" s="292"/>
      <c r="BI58" s="292"/>
      <c r="BJ58" s="292"/>
      <c r="BK58" s="292"/>
      <c r="BL58" s="292"/>
      <c r="BM58" s="297"/>
      <c r="BN58" s="297"/>
      <c r="BO58" s="297"/>
      <c r="BP58" s="297"/>
      <c r="BQ58" s="297"/>
      <c r="BR58" s="297"/>
      <c r="BS58" s="297"/>
      <c r="BT58" s="297"/>
      <c r="BU58" s="297"/>
      <c r="BV58" s="297"/>
      <c r="BW58" s="297"/>
      <c r="BX58" s="297"/>
      <c r="BY58" s="307">
        <f t="shared" si="28"/>
        <v>0</v>
      </c>
      <c r="BZ58" s="631"/>
      <c r="CA58" s="265"/>
      <c r="CB58" s="289" t="e">
        <f t="shared" si="29"/>
        <v>#REF!</v>
      </c>
      <c r="CC58" s="631"/>
    </row>
    <row r="59" spans="2:81" ht="16" outlineLevel="1">
      <c r="B59" s="629"/>
      <c r="C59" s="290" t="s">
        <v>304</v>
      </c>
      <c r="D59" s="305">
        <v>0.15</v>
      </c>
      <c r="E59" s="292"/>
      <c r="F59" s="292"/>
      <c r="G59" s="292"/>
      <c r="H59" s="292"/>
      <c r="I59" s="292"/>
      <c r="J59" s="292"/>
      <c r="K59" s="292"/>
      <c r="L59" s="292"/>
      <c r="M59" s="292"/>
      <c r="N59" s="292"/>
      <c r="O59" s="292"/>
      <c r="P59" s="292"/>
      <c r="Q59" s="292"/>
      <c r="R59" s="292"/>
      <c r="S59" s="292"/>
      <c r="T59" s="292"/>
      <c r="U59" s="292"/>
      <c r="V59" s="292"/>
      <c r="W59" s="292"/>
      <c r="X59" s="292"/>
      <c r="Y59" s="292"/>
      <c r="Z59" s="292"/>
      <c r="AA59" s="292"/>
      <c r="AB59" s="292"/>
      <c r="AC59" s="292"/>
      <c r="AD59" s="292"/>
      <c r="AE59" s="292"/>
      <c r="AF59" s="292"/>
      <c r="AG59" s="292"/>
      <c r="AH59" s="292"/>
      <c r="AI59" s="292"/>
      <c r="AJ59" s="292"/>
      <c r="AK59" s="292"/>
      <c r="AL59" s="292"/>
      <c r="AM59" s="292"/>
      <c r="AN59" s="292"/>
      <c r="AO59" s="292"/>
      <c r="AP59" s="292"/>
      <c r="AQ59" s="292"/>
      <c r="AR59" s="292"/>
      <c r="AS59" s="292"/>
      <c r="AT59" s="292"/>
      <c r="AU59" s="292"/>
      <c r="AV59" s="292"/>
      <c r="AW59" s="292"/>
      <c r="AX59" s="292"/>
      <c r="AY59" s="292"/>
      <c r="AZ59" s="292"/>
      <c r="BA59" s="292"/>
      <c r="BB59" s="292"/>
      <c r="BC59" s="292"/>
      <c r="BD59" s="292"/>
      <c r="BE59" s="292"/>
      <c r="BF59" s="292"/>
      <c r="BG59" s="292"/>
      <c r="BH59" s="292"/>
      <c r="BI59" s="292"/>
      <c r="BJ59" s="292"/>
      <c r="BK59" s="292"/>
      <c r="BL59" s="292"/>
      <c r="BM59" s="297"/>
      <c r="BN59" s="297"/>
      <c r="BO59" s="297"/>
      <c r="BP59" s="297"/>
      <c r="BQ59" s="297"/>
      <c r="BR59" s="297"/>
      <c r="BS59" s="297"/>
      <c r="BT59" s="297"/>
      <c r="BU59" s="297"/>
      <c r="BV59" s="297"/>
      <c r="BW59" s="297"/>
      <c r="BX59" s="297"/>
      <c r="BY59" s="308">
        <f t="shared" si="28"/>
        <v>0</v>
      </c>
      <c r="BZ59" s="631"/>
      <c r="CA59" s="265"/>
      <c r="CB59" s="289" t="e">
        <f t="array" ref="CB59">SUM(INDEX(AC59:BX59, , 1):INDEX(AC59:BX59, ,MATCH(CB16, E14:BX14,0) ))</f>
        <v>#N/A</v>
      </c>
      <c r="CC59" s="631"/>
    </row>
    <row r="60" spans="2:81" ht="16" outlineLevel="1">
      <c r="B60" s="629"/>
      <c r="C60" s="290" t="s">
        <v>305</v>
      </c>
      <c r="D60" s="309">
        <f>25%/12</f>
        <v>2.0833333333333332E-2</v>
      </c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2"/>
      <c r="BM60" s="297"/>
      <c r="BN60" s="297"/>
      <c r="BO60" s="297"/>
      <c r="BP60" s="297"/>
      <c r="BQ60" s="297"/>
      <c r="BR60" s="297"/>
      <c r="BS60" s="297"/>
      <c r="BT60" s="297"/>
      <c r="BU60" s="297"/>
      <c r="BV60" s="297"/>
      <c r="BW60" s="297"/>
      <c r="BX60" s="297"/>
      <c r="BY60" s="308">
        <f t="shared" si="28"/>
        <v>0</v>
      </c>
      <c r="BZ60" s="631"/>
      <c r="CA60" s="265"/>
      <c r="CB60" s="289" t="e">
        <f t="shared" ref="CB60:CB61" si="30">SUM(INDEX(AC60:BX60, , 1):INDEX(AC60:BX60, ,MATCH(CB17, E16:BX16,0) ))</f>
        <v>#REF!</v>
      </c>
      <c r="CC60" s="631"/>
    </row>
    <row r="61" spans="2:81" ht="16" outlineLevel="1">
      <c r="B61" s="629"/>
      <c r="C61" s="507" t="s">
        <v>306</v>
      </c>
      <c r="D61" s="508">
        <v>7.0000000000000007E-2</v>
      </c>
      <c r="E61" s="310"/>
      <c r="F61" s="310"/>
      <c r="G61" s="310"/>
      <c r="H61" s="310"/>
      <c r="I61" s="310"/>
      <c r="J61" s="310"/>
      <c r="K61" s="310"/>
      <c r="L61" s="310"/>
      <c r="M61" s="310"/>
      <c r="N61" s="310"/>
      <c r="O61" s="310"/>
      <c r="P61" s="310"/>
      <c r="Q61" s="310"/>
      <c r="R61" s="310"/>
      <c r="S61" s="310"/>
      <c r="T61" s="310"/>
      <c r="U61" s="310">
        <f>-U11*D61/12</f>
        <v>-72916.666666666672</v>
      </c>
      <c r="V61" s="310">
        <f t="shared" ref="V61:AC61" si="31">-SUM($U$11:V11)*$D$61/12</f>
        <v>-157500.00000000003</v>
      </c>
      <c r="W61" s="310">
        <f t="shared" si="31"/>
        <v>-242083.33333333337</v>
      </c>
      <c r="X61" s="310">
        <f t="shared" si="31"/>
        <v>-326666.66666666669</v>
      </c>
      <c r="Y61" s="310">
        <f t="shared" si="31"/>
        <v>-411250.00000000006</v>
      </c>
      <c r="Z61" s="310">
        <f t="shared" si="31"/>
        <v>-495833.33333333343</v>
      </c>
      <c r="AA61" s="310">
        <f t="shared" si="31"/>
        <v>-580416.66666666674</v>
      </c>
      <c r="AB61" s="310">
        <f t="shared" si="31"/>
        <v>-665000.00000000012</v>
      </c>
      <c r="AC61" s="310">
        <f t="shared" si="31"/>
        <v>-665000.00000000012</v>
      </c>
      <c r="AD61" s="310"/>
      <c r="AE61" s="310"/>
      <c r="AF61" s="310"/>
      <c r="AG61" s="310"/>
      <c r="AH61" s="310"/>
      <c r="AI61" s="310"/>
      <c r="AJ61" s="310"/>
      <c r="AK61" s="310"/>
      <c r="AL61" s="310"/>
      <c r="AM61" s="310"/>
      <c r="AN61" s="310"/>
      <c r="AO61" s="310"/>
      <c r="AP61" s="310"/>
      <c r="AQ61" s="310"/>
      <c r="AR61" s="310"/>
      <c r="AS61" s="310"/>
      <c r="AT61" s="310"/>
      <c r="AU61" s="310"/>
      <c r="AV61" s="310"/>
      <c r="AW61" s="310"/>
      <c r="AX61" s="310"/>
      <c r="AY61" s="310"/>
      <c r="AZ61" s="310"/>
      <c r="BA61" s="310"/>
      <c r="BB61" s="310"/>
      <c r="BC61" s="310"/>
      <c r="BD61" s="310"/>
      <c r="BE61" s="310"/>
      <c r="BF61" s="310"/>
      <c r="BG61" s="310"/>
      <c r="BH61" s="310"/>
      <c r="BI61" s="310"/>
      <c r="BJ61" s="310"/>
      <c r="BK61" s="310"/>
      <c r="BL61" s="310"/>
      <c r="BM61" s="311"/>
      <c r="BN61" s="311"/>
      <c r="BO61" s="311"/>
      <c r="BP61" s="311"/>
      <c r="BQ61" s="311"/>
      <c r="BR61" s="311"/>
      <c r="BS61" s="311"/>
      <c r="BT61" s="311"/>
      <c r="BU61" s="311"/>
      <c r="BV61" s="311"/>
      <c r="BW61" s="311"/>
      <c r="BX61" s="311"/>
      <c r="BY61" s="312">
        <f t="shared" si="28"/>
        <v>-3616666.666666667</v>
      </c>
      <c r="BZ61" s="631"/>
      <c r="CA61" s="265"/>
      <c r="CB61" s="289" t="e">
        <f t="shared" si="30"/>
        <v>#N/A</v>
      </c>
      <c r="CC61" s="631"/>
    </row>
    <row r="62" spans="2:81" ht="16">
      <c r="B62" s="629"/>
      <c r="C62" s="285" t="s">
        <v>307</v>
      </c>
      <c r="D62" s="286"/>
      <c r="E62" s="287">
        <f t="shared" ref="E62:BY62" si="32">SUM(E63:E85)</f>
        <v>0</v>
      </c>
      <c r="F62" s="287">
        <f t="shared" si="32"/>
        <v>0</v>
      </c>
      <c r="G62" s="287">
        <f t="shared" si="32"/>
        <v>0</v>
      </c>
      <c r="H62" s="287">
        <f t="shared" si="32"/>
        <v>0</v>
      </c>
      <c r="I62" s="287">
        <f t="shared" si="32"/>
        <v>0</v>
      </c>
      <c r="J62" s="287">
        <f t="shared" si="32"/>
        <v>0</v>
      </c>
      <c r="K62" s="287">
        <f t="shared" si="32"/>
        <v>0</v>
      </c>
      <c r="L62" s="287">
        <f t="shared" si="32"/>
        <v>0</v>
      </c>
      <c r="M62" s="287">
        <f t="shared" si="32"/>
        <v>0</v>
      </c>
      <c r="N62" s="287">
        <f t="shared" si="32"/>
        <v>0</v>
      </c>
      <c r="O62" s="287">
        <f t="shared" si="32"/>
        <v>0</v>
      </c>
      <c r="P62" s="287">
        <f t="shared" si="32"/>
        <v>0</v>
      </c>
      <c r="Q62" s="287">
        <f t="shared" si="32"/>
        <v>0</v>
      </c>
      <c r="R62" s="287">
        <f t="shared" si="32"/>
        <v>0</v>
      </c>
      <c r="S62" s="287">
        <f t="shared" si="32"/>
        <v>0</v>
      </c>
      <c r="T62" s="287">
        <f t="shared" si="32"/>
        <v>0</v>
      </c>
      <c r="U62" s="287">
        <f t="shared" si="32"/>
        <v>0</v>
      </c>
      <c r="V62" s="287">
        <f t="shared" si="32"/>
        <v>0</v>
      </c>
      <c r="W62" s="287">
        <f t="shared" si="32"/>
        <v>0</v>
      </c>
      <c r="X62" s="287">
        <f t="shared" si="32"/>
        <v>0</v>
      </c>
      <c r="Y62" s="287">
        <f t="shared" si="32"/>
        <v>0</v>
      </c>
      <c r="Z62" s="287">
        <f t="shared" si="32"/>
        <v>0</v>
      </c>
      <c r="AA62" s="287">
        <f t="shared" si="32"/>
        <v>0</v>
      </c>
      <c r="AB62" s="287">
        <f t="shared" si="32"/>
        <v>0</v>
      </c>
      <c r="AC62" s="287">
        <f t="shared" si="32"/>
        <v>-126434.56</v>
      </c>
      <c r="AD62" s="287">
        <f t="shared" si="32"/>
        <v>0</v>
      </c>
      <c r="AE62" s="287">
        <f t="shared" si="32"/>
        <v>0</v>
      </c>
      <c r="AF62" s="287">
        <f t="shared" si="32"/>
        <v>0</v>
      </c>
      <c r="AG62" s="287">
        <f t="shared" si="32"/>
        <v>0</v>
      </c>
      <c r="AH62" s="287">
        <f t="shared" si="32"/>
        <v>0</v>
      </c>
      <c r="AI62" s="287">
        <f t="shared" si="32"/>
        <v>0</v>
      </c>
      <c r="AJ62" s="287">
        <f t="shared" si="32"/>
        <v>0</v>
      </c>
      <c r="AK62" s="287">
        <f t="shared" si="32"/>
        <v>0</v>
      </c>
      <c r="AL62" s="287">
        <f t="shared" si="32"/>
        <v>0</v>
      </c>
      <c r="AM62" s="287">
        <f t="shared" si="32"/>
        <v>0</v>
      </c>
      <c r="AN62" s="287">
        <f t="shared" si="32"/>
        <v>0</v>
      </c>
      <c r="AO62" s="287">
        <f t="shared" si="32"/>
        <v>0</v>
      </c>
      <c r="AP62" s="287">
        <f t="shared" si="32"/>
        <v>0</v>
      </c>
      <c r="AQ62" s="287">
        <f t="shared" si="32"/>
        <v>0</v>
      </c>
      <c r="AR62" s="287">
        <f t="shared" si="32"/>
        <v>0</v>
      </c>
      <c r="AS62" s="287">
        <f t="shared" si="32"/>
        <v>0</v>
      </c>
      <c r="AT62" s="287">
        <f t="shared" si="32"/>
        <v>0</v>
      </c>
      <c r="AU62" s="287">
        <f t="shared" si="32"/>
        <v>0</v>
      </c>
      <c r="AV62" s="287">
        <f t="shared" si="32"/>
        <v>0</v>
      </c>
      <c r="AW62" s="287">
        <f t="shared" si="32"/>
        <v>0</v>
      </c>
      <c r="AX62" s="287">
        <f t="shared" si="32"/>
        <v>0</v>
      </c>
      <c r="AY62" s="287">
        <f t="shared" si="32"/>
        <v>0</v>
      </c>
      <c r="AZ62" s="287">
        <f t="shared" si="32"/>
        <v>0</v>
      </c>
      <c r="BA62" s="287">
        <f t="shared" si="32"/>
        <v>0</v>
      </c>
      <c r="BB62" s="287">
        <f t="shared" si="32"/>
        <v>0</v>
      </c>
      <c r="BC62" s="287">
        <f t="shared" si="32"/>
        <v>0</v>
      </c>
      <c r="BD62" s="287">
        <f t="shared" si="32"/>
        <v>0</v>
      </c>
      <c r="BE62" s="287">
        <f t="shared" si="32"/>
        <v>0</v>
      </c>
      <c r="BF62" s="287">
        <f t="shared" si="32"/>
        <v>0</v>
      </c>
      <c r="BG62" s="287">
        <f t="shared" si="32"/>
        <v>0</v>
      </c>
      <c r="BH62" s="287">
        <f t="shared" si="32"/>
        <v>0</v>
      </c>
      <c r="BI62" s="287">
        <f t="shared" si="32"/>
        <v>0</v>
      </c>
      <c r="BJ62" s="287">
        <f t="shared" si="32"/>
        <v>0</v>
      </c>
      <c r="BK62" s="287">
        <f t="shared" si="32"/>
        <v>0</v>
      </c>
      <c r="BL62" s="287">
        <f t="shared" si="32"/>
        <v>0</v>
      </c>
      <c r="BM62" s="287">
        <f t="shared" si="32"/>
        <v>0</v>
      </c>
      <c r="BN62" s="287">
        <f t="shared" si="32"/>
        <v>0</v>
      </c>
      <c r="BO62" s="287">
        <f t="shared" si="32"/>
        <v>0</v>
      </c>
      <c r="BP62" s="287">
        <f t="shared" si="32"/>
        <v>0</v>
      </c>
      <c r="BQ62" s="287">
        <f t="shared" si="32"/>
        <v>0</v>
      </c>
      <c r="BR62" s="287">
        <f t="shared" si="32"/>
        <v>0</v>
      </c>
      <c r="BS62" s="287">
        <f t="shared" si="32"/>
        <v>0</v>
      </c>
      <c r="BT62" s="287">
        <f t="shared" si="32"/>
        <v>0</v>
      </c>
      <c r="BU62" s="287">
        <f t="shared" si="32"/>
        <v>0</v>
      </c>
      <c r="BV62" s="287">
        <f t="shared" si="32"/>
        <v>0</v>
      </c>
      <c r="BW62" s="287">
        <f t="shared" si="32"/>
        <v>0</v>
      </c>
      <c r="BX62" s="287">
        <f t="shared" si="32"/>
        <v>0</v>
      </c>
      <c r="BY62" s="288">
        <f t="shared" si="32"/>
        <v>-126434.56</v>
      </c>
      <c r="BZ62" s="631"/>
      <c r="CA62" s="265"/>
      <c r="CB62" s="289" t="e">
        <f t="array" ref="CB62">SUM(INDEX(E62:BX62, , 1):INDEX(E62:BX62, ,MATCH($CB$4, $E$3:$BX$3,0) ))</f>
        <v>#N/A</v>
      </c>
      <c r="CC62" s="631"/>
    </row>
    <row r="63" spans="2:81" ht="16" outlineLevel="1">
      <c r="B63" s="629"/>
      <c r="C63" s="313" t="s">
        <v>308</v>
      </c>
      <c r="D63" s="291" t="s">
        <v>262</v>
      </c>
      <c r="E63" s="314"/>
      <c r="F63" s="314"/>
      <c r="G63" s="314"/>
      <c r="H63" s="314"/>
      <c r="I63" s="314"/>
      <c r="J63" s="314"/>
      <c r="K63" s="314"/>
      <c r="L63" s="314"/>
      <c r="M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H63" s="314"/>
      <c r="AI63" s="314"/>
      <c r="AJ63" s="314"/>
      <c r="AK63" s="314"/>
      <c r="AL63" s="314"/>
      <c r="AM63" s="314"/>
      <c r="AN63" s="314"/>
      <c r="AO63" s="314"/>
      <c r="AP63" s="314"/>
      <c r="AQ63" s="314"/>
      <c r="AR63" s="314"/>
      <c r="AS63" s="314"/>
      <c r="AT63" s="314"/>
      <c r="AU63" s="314"/>
      <c r="AV63" s="314"/>
      <c r="AW63" s="314"/>
      <c r="AX63" s="314"/>
      <c r="AY63" s="314"/>
      <c r="AZ63" s="314"/>
      <c r="BA63" s="314"/>
      <c r="BB63" s="314"/>
      <c r="BC63" s="314"/>
      <c r="BD63" s="314"/>
      <c r="BE63" s="314"/>
      <c r="BF63" s="314"/>
      <c r="BG63" s="314"/>
      <c r="BH63" s="314"/>
      <c r="BI63" s="314"/>
      <c r="BJ63" s="314"/>
      <c r="BK63" s="314"/>
      <c r="BL63" s="314"/>
      <c r="BM63" s="314"/>
      <c r="BN63" s="314"/>
      <c r="BO63" s="314"/>
      <c r="BP63" s="314"/>
      <c r="BQ63" s="314"/>
      <c r="BR63" s="314"/>
      <c r="BS63" s="314"/>
      <c r="BT63" s="314"/>
      <c r="BU63" s="314"/>
      <c r="BV63" s="314"/>
      <c r="BW63" s="314"/>
      <c r="BX63" s="314"/>
      <c r="BY63" s="315">
        <f t="shared" ref="BY63:BY85" si="33">SUM(E63:BX63)</f>
        <v>0</v>
      </c>
      <c r="BZ63" s="631"/>
      <c r="CA63" s="265"/>
      <c r="CB63" s="289" t="e">
        <f t="shared" ref="CB63:CB84" si="34">SUM(INDEX(AC63:BX63, , 1):INDEX(AC63:BX63, ,MATCH(CB20, E19:BX19,0) ))</f>
        <v>#N/A</v>
      </c>
      <c r="CC63" s="631"/>
    </row>
    <row r="64" spans="2:81" ht="16" outlineLevel="1">
      <c r="B64" s="629"/>
      <c r="C64" s="316" t="s">
        <v>309</v>
      </c>
      <c r="D64" s="291" t="s">
        <v>262</v>
      </c>
      <c r="E64" s="314"/>
      <c r="F64" s="314"/>
      <c r="G64" s="314"/>
      <c r="H64" s="314"/>
      <c r="I64" s="314"/>
      <c r="J64" s="314"/>
      <c r="K64" s="314"/>
      <c r="L64" s="314"/>
      <c r="M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H64" s="314"/>
      <c r="AI64" s="314"/>
      <c r="AJ64" s="314"/>
      <c r="AK64" s="314"/>
      <c r="AL64" s="314"/>
      <c r="AM64" s="314"/>
      <c r="AN64" s="314"/>
      <c r="AO64" s="314"/>
      <c r="AP64" s="314"/>
      <c r="AQ64" s="314"/>
      <c r="AR64" s="314"/>
      <c r="AS64" s="314"/>
      <c r="AT64" s="314"/>
      <c r="AU64" s="314"/>
      <c r="AV64" s="314"/>
      <c r="AW64" s="314"/>
      <c r="AX64" s="314"/>
      <c r="AY64" s="314"/>
      <c r="AZ64" s="314"/>
      <c r="BA64" s="314"/>
      <c r="BB64" s="314"/>
      <c r="BC64" s="314"/>
      <c r="BD64" s="314"/>
      <c r="BE64" s="314"/>
      <c r="BF64" s="314"/>
      <c r="BG64" s="314"/>
      <c r="BH64" s="314"/>
      <c r="BI64" s="314"/>
      <c r="BJ64" s="314"/>
      <c r="BK64" s="314"/>
      <c r="BL64" s="314"/>
      <c r="BM64" s="314"/>
      <c r="BN64" s="314"/>
      <c r="BO64" s="314"/>
      <c r="BP64" s="314"/>
      <c r="BQ64" s="314"/>
      <c r="BR64" s="314"/>
      <c r="BS64" s="314"/>
      <c r="BT64" s="314"/>
      <c r="BU64" s="314"/>
      <c r="BV64" s="314"/>
      <c r="BW64" s="314"/>
      <c r="BX64" s="314"/>
      <c r="BY64" s="315">
        <f t="shared" si="33"/>
        <v>0</v>
      </c>
      <c r="BZ64" s="631"/>
      <c r="CA64" s="265"/>
      <c r="CB64" s="289" t="e">
        <f t="shared" si="34"/>
        <v>#N/A</v>
      </c>
      <c r="CC64" s="631"/>
    </row>
    <row r="65" spans="2:81" ht="16" outlineLevel="1">
      <c r="B65" s="629"/>
      <c r="C65" s="316" t="s">
        <v>310</v>
      </c>
      <c r="D65" s="291" t="s">
        <v>262</v>
      </c>
      <c r="E65" s="314"/>
      <c r="F65" s="314"/>
      <c r="G65" s="314"/>
      <c r="H65" s="314"/>
      <c r="I65" s="314"/>
      <c r="J65" s="314"/>
      <c r="K65" s="314"/>
      <c r="L65" s="314"/>
      <c r="M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H65" s="314"/>
      <c r="AI65" s="314"/>
      <c r="AJ65" s="314"/>
      <c r="AK65" s="314"/>
      <c r="AL65" s="314"/>
      <c r="AM65" s="314"/>
      <c r="AN65" s="314"/>
      <c r="AO65" s="314"/>
      <c r="AP65" s="314"/>
      <c r="AQ65" s="314"/>
      <c r="AR65" s="314"/>
      <c r="AS65" s="314"/>
      <c r="AT65" s="314"/>
      <c r="AU65" s="314"/>
      <c r="AV65" s="314"/>
      <c r="AW65" s="314"/>
      <c r="AX65" s="314"/>
      <c r="AY65" s="314"/>
      <c r="AZ65" s="314"/>
      <c r="BA65" s="314"/>
      <c r="BB65" s="314"/>
      <c r="BC65" s="314"/>
      <c r="BD65" s="314"/>
      <c r="BE65" s="314"/>
      <c r="BF65" s="314"/>
      <c r="BG65" s="314"/>
      <c r="BH65" s="314"/>
      <c r="BI65" s="314"/>
      <c r="BJ65" s="314"/>
      <c r="BK65" s="314"/>
      <c r="BL65" s="314"/>
      <c r="BM65" s="314"/>
      <c r="BN65" s="314"/>
      <c r="BO65" s="314"/>
      <c r="BP65" s="314"/>
      <c r="BQ65" s="314"/>
      <c r="BR65" s="314"/>
      <c r="BS65" s="314"/>
      <c r="BT65" s="314"/>
      <c r="BU65" s="314"/>
      <c r="BV65" s="314"/>
      <c r="BW65" s="314"/>
      <c r="BX65" s="314"/>
      <c r="BY65" s="315">
        <f t="shared" si="33"/>
        <v>0</v>
      </c>
      <c r="BZ65" s="631"/>
      <c r="CA65" s="265"/>
      <c r="CB65" s="289" t="e">
        <f t="shared" si="34"/>
        <v>#N/A</v>
      </c>
      <c r="CC65" s="631"/>
    </row>
    <row r="66" spans="2:81" ht="16" outlineLevel="1">
      <c r="B66" s="629"/>
      <c r="C66" s="316" t="s">
        <v>311</v>
      </c>
      <c r="D66" s="291" t="s">
        <v>262</v>
      </c>
      <c r="E66" s="314"/>
      <c r="F66" s="314"/>
      <c r="G66" s="314"/>
      <c r="H66" s="314"/>
      <c r="I66" s="314"/>
      <c r="J66" s="314"/>
      <c r="K66" s="314"/>
      <c r="L66" s="314"/>
      <c r="M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H66" s="314"/>
      <c r="AI66" s="314"/>
      <c r="AJ66" s="314"/>
      <c r="AK66" s="314"/>
      <c r="AL66" s="314"/>
      <c r="AM66" s="314"/>
      <c r="AN66" s="314"/>
      <c r="AO66" s="314"/>
      <c r="AP66" s="314"/>
      <c r="AQ66" s="314"/>
      <c r="AR66" s="314"/>
      <c r="AS66" s="314"/>
      <c r="AT66" s="314"/>
      <c r="AU66" s="314"/>
      <c r="AV66" s="314"/>
      <c r="AW66" s="314"/>
      <c r="AX66" s="314"/>
      <c r="AY66" s="314"/>
      <c r="AZ66" s="314"/>
      <c r="BA66" s="314"/>
      <c r="BB66" s="314"/>
      <c r="BC66" s="314"/>
      <c r="BD66" s="314"/>
      <c r="BE66" s="314"/>
      <c r="BF66" s="314"/>
      <c r="BG66" s="314"/>
      <c r="BH66" s="314"/>
      <c r="BI66" s="314"/>
      <c r="BJ66" s="314"/>
      <c r="BK66" s="314"/>
      <c r="BL66" s="314"/>
      <c r="BM66" s="314"/>
      <c r="BN66" s="314"/>
      <c r="BO66" s="314"/>
      <c r="BP66" s="314"/>
      <c r="BQ66" s="314"/>
      <c r="BR66" s="314"/>
      <c r="BS66" s="314"/>
      <c r="BT66" s="314"/>
      <c r="BU66" s="314"/>
      <c r="BV66" s="314"/>
      <c r="BW66" s="314"/>
      <c r="BX66" s="314"/>
      <c r="BY66" s="315">
        <f t="shared" si="33"/>
        <v>0</v>
      </c>
      <c r="BZ66" s="631"/>
      <c r="CA66" s="265"/>
      <c r="CB66" s="289" t="e">
        <f t="shared" si="34"/>
        <v>#N/A</v>
      </c>
      <c r="CC66" s="631"/>
    </row>
    <row r="67" spans="2:81" ht="16" outlineLevel="1">
      <c r="B67" s="629"/>
      <c r="C67" s="316" t="s">
        <v>312</v>
      </c>
      <c r="D67" s="291" t="s">
        <v>262</v>
      </c>
      <c r="E67" s="314"/>
      <c r="F67" s="314"/>
      <c r="G67" s="314"/>
      <c r="H67" s="314"/>
      <c r="I67" s="314"/>
      <c r="J67" s="314"/>
      <c r="K67" s="314"/>
      <c r="L67" s="314"/>
      <c r="M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H67" s="314"/>
      <c r="AI67" s="314"/>
      <c r="AJ67" s="314"/>
      <c r="AK67" s="314"/>
      <c r="AL67" s="314"/>
      <c r="AM67" s="314"/>
      <c r="AN67" s="314"/>
      <c r="AO67" s="314"/>
      <c r="AP67" s="314"/>
      <c r="AQ67" s="314"/>
      <c r="AR67" s="314"/>
      <c r="AS67" s="314"/>
      <c r="AT67" s="314"/>
      <c r="AU67" s="314"/>
      <c r="AV67" s="314"/>
      <c r="AW67" s="314"/>
      <c r="AX67" s="314"/>
      <c r="AY67" s="314"/>
      <c r="AZ67" s="314"/>
      <c r="BA67" s="314"/>
      <c r="BB67" s="314"/>
      <c r="BC67" s="314"/>
      <c r="BD67" s="314"/>
      <c r="BE67" s="314"/>
      <c r="BF67" s="314"/>
      <c r="BG67" s="314"/>
      <c r="BH67" s="314"/>
      <c r="BI67" s="314"/>
      <c r="BJ67" s="314"/>
      <c r="BK67" s="314"/>
      <c r="BL67" s="314"/>
      <c r="BM67" s="314"/>
      <c r="BN67" s="314"/>
      <c r="BO67" s="314"/>
      <c r="BP67" s="314"/>
      <c r="BQ67" s="314"/>
      <c r="BR67" s="314"/>
      <c r="BS67" s="314"/>
      <c r="BT67" s="314"/>
      <c r="BU67" s="314"/>
      <c r="BV67" s="314"/>
      <c r="BW67" s="314"/>
      <c r="BX67" s="314"/>
      <c r="BY67" s="315">
        <f t="shared" si="33"/>
        <v>0</v>
      </c>
      <c r="BZ67" s="631"/>
      <c r="CA67" s="265"/>
      <c r="CB67" s="289" t="e">
        <f t="shared" si="34"/>
        <v>#N/A</v>
      </c>
      <c r="CC67" s="631"/>
    </row>
    <row r="68" spans="2:81" ht="16" outlineLevel="1">
      <c r="B68" s="629"/>
      <c r="C68" s="316" t="s">
        <v>313</v>
      </c>
      <c r="D68" s="291" t="s">
        <v>262</v>
      </c>
      <c r="E68" s="314"/>
      <c r="F68" s="314"/>
      <c r="G68" s="314"/>
      <c r="H68" s="314"/>
      <c r="I68" s="314"/>
      <c r="J68" s="314"/>
      <c r="K68" s="314"/>
      <c r="L68" s="314"/>
      <c r="M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H68" s="314"/>
      <c r="AI68" s="314"/>
      <c r="AJ68" s="314"/>
      <c r="AK68" s="314"/>
      <c r="AL68" s="314"/>
      <c r="AM68" s="314"/>
      <c r="AN68" s="314"/>
      <c r="AO68" s="314"/>
      <c r="AP68" s="314"/>
      <c r="AQ68" s="314"/>
      <c r="AR68" s="314"/>
      <c r="AS68" s="314"/>
      <c r="AT68" s="314"/>
      <c r="AU68" s="314"/>
      <c r="AV68" s="314"/>
      <c r="AW68" s="314"/>
      <c r="AX68" s="314"/>
      <c r="AY68" s="314"/>
      <c r="AZ68" s="314"/>
      <c r="BA68" s="314"/>
      <c r="BB68" s="314"/>
      <c r="BC68" s="314"/>
      <c r="BD68" s="314"/>
      <c r="BE68" s="314"/>
      <c r="BF68" s="314"/>
      <c r="BG68" s="314"/>
      <c r="BH68" s="314"/>
      <c r="BI68" s="314"/>
      <c r="BJ68" s="314"/>
      <c r="BK68" s="314"/>
      <c r="BL68" s="314"/>
      <c r="BM68" s="314"/>
      <c r="BN68" s="314"/>
      <c r="BO68" s="314"/>
      <c r="BP68" s="314"/>
      <c r="BQ68" s="314"/>
      <c r="BR68" s="314"/>
      <c r="BS68" s="314"/>
      <c r="BT68" s="314"/>
      <c r="BU68" s="314"/>
      <c r="BV68" s="314"/>
      <c r="BW68" s="314"/>
      <c r="BX68" s="314"/>
      <c r="BY68" s="315">
        <f t="shared" si="33"/>
        <v>0</v>
      </c>
      <c r="BZ68" s="631"/>
      <c r="CA68" s="265"/>
      <c r="CB68" s="289" t="e">
        <f t="shared" si="34"/>
        <v>#REF!</v>
      </c>
      <c r="CC68" s="631"/>
    </row>
    <row r="69" spans="2:81" ht="16" outlineLevel="1">
      <c r="B69" s="629"/>
      <c r="C69" s="316" t="s">
        <v>314</v>
      </c>
      <c r="D69" s="291" t="s">
        <v>262</v>
      </c>
      <c r="E69" s="314"/>
      <c r="F69" s="314"/>
      <c r="G69" s="314"/>
      <c r="H69" s="314"/>
      <c r="I69" s="314"/>
      <c r="J69" s="314"/>
      <c r="K69" s="314"/>
      <c r="L69" s="314"/>
      <c r="M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H69" s="314"/>
      <c r="AI69" s="314"/>
      <c r="AJ69" s="314"/>
      <c r="AK69" s="314"/>
      <c r="AL69" s="314"/>
      <c r="AM69" s="314"/>
      <c r="AN69" s="314"/>
      <c r="AO69" s="314"/>
      <c r="AP69" s="314"/>
      <c r="AQ69" s="314"/>
      <c r="AR69" s="314"/>
      <c r="AS69" s="314"/>
      <c r="AT69" s="314"/>
      <c r="AU69" s="314"/>
      <c r="AV69" s="314"/>
      <c r="AW69" s="314"/>
      <c r="AX69" s="314"/>
      <c r="AY69" s="314"/>
      <c r="AZ69" s="314"/>
      <c r="BA69" s="314"/>
      <c r="BB69" s="314"/>
      <c r="BC69" s="314"/>
      <c r="BD69" s="314"/>
      <c r="BE69" s="314"/>
      <c r="BF69" s="314"/>
      <c r="BG69" s="314"/>
      <c r="BH69" s="314"/>
      <c r="BI69" s="314"/>
      <c r="BJ69" s="314"/>
      <c r="BK69" s="314"/>
      <c r="BL69" s="314"/>
      <c r="BM69" s="314"/>
      <c r="BN69" s="314"/>
      <c r="BO69" s="314"/>
      <c r="BP69" s="314"/>
      <c r="BQ69" s="314"/>
      <c r="BR69" s="314"/>
      <c r="BS69" s="314"/>
      <c r="BT69" s="314"/>
      <c r="BU69" s="314"/>
      <c r="BV69" s="314"/>
      <c r="BW69" s="314"/>
      <c r="BX69" s="314"/>
      <c r="BY69" s="315">
        <f t="shared" si="33"/>
        <v>0</v>
      </c>
      <c r="BZ69" s="631"/>
      <c r="CA69" s="265"/>
      <c r="CB69" s="289" t="e">
        <f t="shared" si="34"/>
        <v>#REF!</v>
      </c>
      <c r="CC69" s="631"/>
    </row>
    <row r="70" spans="2:81" ht="16" outlineLevel="1">
      <c r="B70" s="629"/>
      <c r="C70" s="316" t="s">
        <v>315</v>
      </c>
      <c r="D70" s="291" t="s">
        <v>262</v>
      </c>
      <c r="E70" s="314"/>
      <c r="F70" s="314"/>
      <c r="G70" s="314"/>
      <c r="H70" s="314"/>
      <c r="I70" s="314"/>
      <c r="J70" s="314"/>
      <c r="K70" s="314"/>
      <c r="L70" s="314"/>
      <c r="M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H70" s="314"/>
      <c r="AI70" s="314"/>
      <c r="AJ70" s="314"/>
      <c r="AK70" s="314"/>
      <c r="AL70" s="314"/>
      <c r="AM70" s="314"/>
      <c r="AN70" s="314"/>
      <c r="AO70" s="314"/>
      <c r="AP70" s="314"/>
      <c r="AQ70" s="314"/>
      <c r="AR70" s="314"/>
      <c r="AS70" s="314"/>
      <c r="AT70" s="314"/>
      <c r="AU70" s="314"/>
      <c r="AV70" s="314"/>
      <c r="AW70" s="314"/>
      <c r="AX70" s="314"/>
      <c r="AY70" s="314"/>
      <c r="AZ70" s="314"/>
      <c r="BA70" s="314"/>
      <c r="BB70" s="314"/>
      <c r="BC70" s="314"/>
      <c r="BD70" s="314"/>
      <c r="BE70" s="314"/>
      <c r="BF70" s="314"/>
      <c r="BG70" s="314"/>
      <c r="BH70" s="314"/>
      <c r="BI70" s="314"/>
      <c r="BJ70" s="314"/>
      <c r="BK70" s="314"/>
      <c r="BL70" s="314"/>
      <c r="BM70" s="314"/>
      <c r="BN70" s="314"/>
      <c r="BO70" s="314"/>
      <c r="BP70" s="314"/>
      <c r="BQ70" s="314"/>
      <c r="BR70" s="314"/>
      <c r="BS70" s="314"/>
      <c r="BT70" s="314"/>
      <c r="BU70" s="314"/>
      <c r="BV70" s="314"/>
      <c r="BW70" s="314"/>
      <c r="BX70" s="314"/>
      <c r="BY70" s="315">
        <f t="shared" si="33"/>
        <v>0</v>
      </c>
      <c r="BZ70" s="631"/>
      <c r="CA70" s="265"/>
      <c r="CB70" s="289" t="e">
        <f t="shared" si="34"/>
        <v>#N/A</v>
      </c>
      <c r="CC70" s="631"/>
    </row>
    <row r="71" spans="2:81" ht="16" outlineLevel="1">
      <c r="B71" s="629"/>
      <c r="C71" s="316" t="s">
        <v>316</v>
      </c>
      <c r="D71" s="291" t="s">
        <v>262</v>
      </c>
      <c r="E71" s="314"/>
      <c r="F71" s="314"/>
      <c r="G71" s="314"/>
      <c r="H71" s="314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T71" s="314"/>
      <c r="U71" s="314"/>
      <c r="V71" s="314"/>
      <c r="W71" s="314"/>
      <c r="X71" s="314"/>
      <c r="Y71" s="314"/>
      <c r="Z71" s="314"/>
      <c r="AA71" s="314"/>
      <c r="AB71" s="314"/>
      <c r="AC71" s="314"/>
      <c r="AD71" s="314"/>
      <c r="AE71" s="314"/>
      <c r="AF71" s="314"/>
      <c r="AG71" s="314"/>
      <c r="AH71" s="314"/>
      <c r="AI71" s="314"/>
      <c r="AJ71" s="314"/>
      <c r="AK71" s="314"/>
      <c r="AL71" s="314"/>
      <c r="AM71" s="314"/>
      <c r="AN71" s="314"/>
      <c r="AO71" s="314"/>
      <c r="AP71" s="314"/>
      <c r="AQ71" s="314"/>
      <c r="AR71" s="314"/>
      <c r="AS71" s="314"/>
      <c r="AT71" s="314"/>
      <c r="AU71" s="314"/>
      <c r="AV71" s="314"/>
      <c r="AW71" s="314"/>
      <c r="AX71" s="314"/>
      <c r="AY71" s="314"/>
      <c r="AZ71" s="314"/>
      <c r="BA71" s="314"/>
      <c r="BB71" s="314"/>
      <c r="BC71" s="314"/>
      <c r="BD71" s="314"/>
      <c r="BE71" s="314"/>
      <c r="BF71" s="314"/>
      <c r="BG71" s="314"/>
      <c r="BH71" s="314"/>
      <c r="BI71" s="314"/>
      <c r="BJ71" s="314"/>
      <c r="BK71" s="314"/>
      <c r="BL71" s="314"/>
      <c r="BM71" s="314"/>
      <c r="BN71" s="314"/>
      <c r="BO71" s="314"/>
      <c r="BP71" s="314"/>
      <c r="BQ71" s="314"/>
      <c r="BR71" s="314"/>
      <c r="BS71" s="314"/>
      <c r="BT71" s="314"/>
      <c r="BU71" s="314"/>
      <c r="BV71" s="314"/>
      <c r="BW71" s="314"/>
      <c r="BX71" s="314"/>
      <c r="BY71" s="315">
        <f t="shared" si="33"/>
        <v>0</v>
      </c>
      <c r="BZ71" s="631"/>
      <c r="CA71" s="265"/>
      <c r="CB71" s="289" t="e">
        <f t="shared" si="34"/>
        <v>#REF!</v>
      </c>
      <c r="CC71" s="631"/>
    </row>
    <row r="72" spans="2:81" ht="16" outlineLevel="1">
      <c r="B72" s="629"/>
      <c r="C72" s="316" t="s">
        <v>317</v>
      </c>
      <c r="D72" s="291" t="s">
        <v>262</v>
      </c>
      <c r="E72" s="314"/>
      <c r="F72" s="314"/>
      <c r="G72" s="314"/>
      <c r="H72" s="314"/>
      <c r="I72" s="314"/>
      <c r="J72" s="314"/>
      <c r="K72" s="314"/>
      <c r="L72" s="314"/>
      <c r="M72" s="314"/>
      <c r="N72" s="314"/>
      <c r="O72" s="314"/>
      <c r="P72" s="314"/>
      <c r="Q72" s="314"/>
      <c r="R72" s="314"/>
      <c r="S72" s="314"/>
      <c r="T72" s="314"/>
      <c r="U72" s="314"/>
      <c r="V72" s="314"/>
      <c r="W72" s="314"/>
      <c r="X72" s="314"/>
      <c r="Y72" s="314"/>
      <c r="Z72" s="314"/>
      <c r="AA72" s="314"/>
      <c r="AB72" s="314"/>
      <c r="AC72" s="314"/>
      <c r="AD72" s="314"/>
      <c r="AE72" s="314"/>
      <c r="AF72" s="314"/>
      <c r="AG72" s="314"/>
      <c r="AH72" s="314"/>
      <c r="AI72" s="314"/>
      <c r="AJ72" s="314"/>
      <c r="AK72" s="314"/>
      <c r="AL72" s="314"/>
      <c r="AM72" s="314"/>
      <c r="AN72" s="314"/>
      <c r="AO72" s="314"/>
      <c r="AP72" s="314"/>
      <c r="AQ72" s="314"/>
      <c r="AR72" s="314"/>
      <c r="AS72" s="314"/>
      <c r="AT72" s="314"/>
      <c r="AU72" s="314"/>
      <c r="AV72" s="314"/>
      <c r="AW72" s="314"/>
      <c r="AX72" s="314"/>
      <c r="AY72" s="314"/>
      <c r="AZ72" s="314"/>
      <c r="BA72" s="314"/>
      <c r="BB72" s="314"/>
      <c r="BC72" s="314"/>
      <c r="BD72" s="314"/>
      <c r="BE72" s="314"/>
      <c r="BF72" s="314"/>
      <c r="BG72" s="314"/>
      <c r="BH72" s="314"/>
      <c r="BI72" s="314"/>
      <c r="BJ72" s="314"/>
      <c r="BK72" s="314"/>
      <c r="BL72" s="314"/>
      <c r="BM72" s="314"/>
      <c r="BN72" s="314"/>
      <c r="BO72" s="314"/>
      <c r="BP72" s="314"/>
      <c r="BQ72" s="314"/>
      <c r="BR72" s="314"/>
      <c r="BS72" s="314"/>
      <c r="BT72" s="314"/>
      <c r="BU72" s="314"/>
      <c r="BV72" s="314"/>
      <c r="BW72" s="314"/>
      <c r="BX72" s="314"/>
      <c r="BY72" s="315">
        <f t="shared" si="33"/>
        <v>0</v>
      </c>
      <c r="BZ72" s="631"/>
      <c r="CA72" s="265"/>
      <c r="CB72" s="289" t="e">
        <f t="shared" si="34"/>
        <v>#REF!</v>
      </c>
      <c r="CC72" s="631"/>
    </row>
    <row r="73" spans="2:81" ht="16" outlineLevel="1">
      <c r="B73" s="629"/>
      <c r="C73" s="316" t="s">
        <v>318</v>
      </c>
      <c r="D73" s="291" t="s">
        <v>262</v>
      </c>
      <c r="E73" s="314"/>
      <c r="F73" s="314"/>
      <c r="G73" s="314"/>
      <c r="H73" s="314"/>
      <c r="I73" s="314"/>
      <c r="J73" s="314"/>
      <c r="K73" s="314"/>
      <c r="L73" s="314"/>
      <c r="M73" s="314"/>
      <c r="N73" s="314"/>
      <c r="O73" s="314"/>
      <c r="P73" s="314"/>
      <c r="Q73" s="314"/>
      <c r="R73" s="314"/>
      <c r="S73" s="314"/>
      <c r="T73" s="314"/>
      <c r="U73" s="314"/>
      <c r="V73" s="314"/>
      <c r="W73" s="314"/>
      <c r="X73" s="314"/>
      <c r="Y73" s="314"/>
      <c r="Z73" s="314"/>
      <c r="AA73" s="314"/>
      <c r="AB73" s="314"/>
      <c r="AC73" s="314"/>
      <c r="AD73" s="314"/>
      <c r="AE73" s="314"/>
      <c r="AF73" s="314"/>
      <c r="AG73" s="314"/>
      <c r="AH73" s="314"/>
      <c r="AI73" s="314"/>
      <c r="AJ73" s="314"/>
      <c r="AK73" s="314"/>
      <c r="AL73" s="314"/>
      <c r="AM73" s="314"/>
      <c r="AN73" s="314"/>
      <c r="AO73" s="314"/>
      <c r="AP73" s="314"/>
      <c r="AQ73" s="314"/>
      <c r="AR73" s="314"/>
      <c r="AS73" s="314"/>
      <c r="AT73" s="314"/>
      <c r="AU73" s="314"/>
      <c r="AV73" s="314"/>
      <c r="AW73" s="314"/>
      <c r="AX73" s="314"/>
      <c r="AY73" s="314"/>
      <c r="AZ73" s="314"/>
      <c r="BA73" s="314"/>
      <c r="BB73" s="314"/>
      <c r="BC73" s="314"/>
      <c r="BD73" s="314"/>
      <c r="BE73" s="314"/>
      <c r="BF73" s="314"/>
      <c r="BG73" s="314"/>
      <c r="BH73" s="314"/>
      <c r="BI73" s="314"/>
      <c r="BJ73" s="314"/>
      <c r="BK73" s="314"/>
      <c r="BL73" s="314"/>
      <c r="BM73" s="314"/>
      <c r="BN73" s="314"/>
      <c r="BO73" s="314"/>
      <c r="BP73" s="314"/>
      <c r="BQ73" s="314"/>
      <c r="BR73" s="314"/>
      <c r="BS73" s="314"/>
      <c r="BT73" s="314"/>
      <c r="BU73" s="314"/>
      <c r="BV73" s="314"/>
      <c r="BW73" s="314"/>
      <c r="BX73" s="314"/>
      <c r="BY73" s="315">
        <f t="shared" si="33"/>
        <v>0</v>
      </c>
      <c r="BZ73" s="631"/>
      <c r="CA73" s="265"/>
      <c r="CB73" s="289" t="e">
        <f t="shared" si="34"/>
        <v>#REF!</v>
      </c>
      <c r="CC73" s="631"/>
    </row>
    <row r="74" spans="2:81" ht="16" outlineLevel="1">
      <c r="B74" s="629"/>
      <c r="C74" s="316" t="s">
        <v>319</v>
      </c>
      <c r="D74" s="291" t="s">
        <v>262</v>
      </c>
      <c r="E74" s="314"/>
      <c r="F74" s="314"/>
      <c r="G74" s="314"/>
      <c r="H74" s="314"/>
      <c r="I74" s="314"/>
      <c r="J74" s="314"/>
      <c r="K74" s="314"/>
      <c r="L74" s="314"/>
      <c r="M74" s="314"/>
      <c r="N74" s="314"/>
      <c r="O74" s="314"/>
      <c r="P74" s="314"/>
      <c r="Q74" s="314"/>
      <c r="R74" s="314"/>
      <c r="S74" s="314"/>
      <c r="T74" s="314"/>
      <c r="U74" s="314"/>
      <c r="V74" s="314"/>
      <c r="W74" s="314"/>
      <c r="X74" s="314"/>
      <c r="Y74" s="314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  <c r="AX74" s="314"/>
      <c r="AY74" s="314"/>
      <c r="AZ74" s="314"/>
      <c r="BA74" s="314"/>
      <c r="BB74" s="314"/>
      <c r="BC74" s="314"/>
      <c r="BD74" s="314"/>
      <c r="BE74" s="314"/>
      <c r="BF74" s="314"/>
      <c r="BG74" s="314"/>
      <c r="BH74" s="314"/>
      <c r="BI74" s="314"/>
      <c r="BJ74" s="314"/>
      <c r="BK74" s="314"/>
      <c r="BL74" s="314"/>
      <c r="BM74" s="314"/>
      <c r="BN74" s="314"/>
      <c r="BO74" s="314"/>
      <c r="BP74" s="314"/>
      <c r="BQ74" s="314"/>
      <c r="BR74" s="314"/>
      <c r="BS74" s="314"/>
      <c r="BT74" s="314"/>
      <c r="BU74" s="314"/>
      <c r="BV74" s="314"/>
      <c r="BW74" s="314"/>
      <c r="BX74" s="314"/>
      <c r="BY74" s="315">
        <f t="shared" si="33"/>
        <v>0</v>
      </c>
      <c r="BZ74" s="631"/>
      <c r="CA74" s="265"/>
      <c r="CB74" s="289" t="e">
        <f t="shared" si="34"/>
        <v>#REF!</v>
      </c>
      <c r="CC74" s="631"/>
    </row>
    <row r="75" spans="2:81" ht="16" outlineLevel="1">
      <c r="B75" s="629"/>
      <c r="C75" s="316" t="s">
        <v>320</v>
      </c>
      <c r="D75" s="291" t="s">
        <v>262</v>
      </c>
      <c r="E75" s="314"/>
      <c r="F75" s="314"/>
      <c r="G75" s="314"/>
      <c r="H75" s="314"/>
      <c r="I75" s="314"/>
      <c r="J75" s="314"/>
      <c r="K75" s="314"/>
      <c r="L75" s="314"/>
      <c r="M75" s="314"/>
      <c r="N75" s="314"/>
      <c r="O75" s="314"/>
      <c r="P75" s="314"/>
      <c r="Q75" s="314"/>
      <c r="R75" s="314"/>
      <c r="S75" s="314"/>
      <c r="T75" s="314"/>
      <c r="U75" s="314"/>
      <c r="V75" s="314"/>
      <c r="W75" s="314"/>
      <c r="X75" s="314"/>
      <c r="Y75" s="314"/>
      <c r="Z75" s="314"/>
      <c r="AA75" s="314"/>
      <c r="AB75" s="314"/>
      <c r="AC75" s="314"/>
      <c r="AD75" s="314"/>
      <c r="AE75" s="314"/>
      <c r="AF75" s="314"/>
      <c r="AG75" s="314"/>
      <c r="AH75" s="314"/>
      <c r="AI75" s="314"/>
      <c r="AJ75" s="314"/>
      <c r="AK75" s="314"/>
      <c r="AL75" s="314"/>
      <c r="AM75" s="314"/>
      <c r="AN75" s="314"/>
      <c r="AO75" s="314"/>
      <c r="AP75" s="314"/>
      <c r="AQ75" s="314"/>
      <c r="AR75" s="314"/>
      <c r="AS75" s="314"/>
      <c r="AT75" s="314"/>
      <c r="AU75" s="314"/>
      <c r="AV75" s="314"/>
      <c r="AW75" s="314"/>
      <c r="AX75" s="314"/>
      <c r="AY75" s="314"/>
      <c r="AZ75" s="314"/>
      <c r="BA75" s="314"/>
      <c r="BB75" s="314"/>
      <c r="BC75" s="314"/>
      <c r="BD75" s="314"/>
      <c r="BE75" s="314"/>
      <c r="BF75" s="314"/>
      <c r="BG75" s="314"/>
      <c r="BH75" s="314"/>
      <c r="BI75" s="314"/>
      <c r="BJ75" s="314"/>
      <c r="BK75" s="314"/>
      <c r="BL75" s="314"/>
      <c r="BM75" s="314"/>
      <c r="BN75" s="314"/>
      <c r="BO75" s="314"/>
      <c r="BP75" s="314"/>
      <c r="BQ75" s="314"/>
      <c r="BR75" s="314"/>
      <c r="BS75" s="314"/>
      <c r="BT75" s="314"/>
      <c r="BU75" s="314"/>
      <c r="BV75" s="314"/>
      <c r="BW75" s="314"/>
      <c r="BX75" s="314"/>
      <c r="BY75" s="315">
        <f t="shared" si="33"/>
        <v>0</v>
      </c>
      <c r="BZ75" s="631"/>
      <c r="CA75" s="265"/>
      <c r="CB75" s="289" t="e">
        <f t="shared" si="34"/>
        <v>#REF!</v>
      </c>
      <c r="CC75" s="631"/>
    </row>
    <row r="76" spans="2:81" ht="16" outlineLevel="1">
      <c r="B76" s="629"/>
      <c r="C76" s="316" t="s">
        <v>321</v>
      </c>
      <c r="D76" s="291" t="s">
        <v>262</v>
      </c>
      <c r="E76" s="314"/>
      <c r="F76" s="314"/>
      <c r="G76" s="314"/>
      <c r="H76" s="314"/>
      <c r="I76" s="314"/>
      <c r="J76" s="314"/>
      <c r="K76" s="314"/>
      <c r="L76" s="314"/>
      <c r="M76" s="314"/>
      <c r="N76" s="314"/>
      <c r="O76" s="314"/>
      <c r="P76" s="314"/>
      <c r="Q76" s="314"/>
      <c r="R76" s="314"/>
      <c r="S76" s="314"/>
      <c r="T76" s="314"/>
      <c r="U76" s="314"/>
      <c r="V76" s="314"/>
      <c r="W76" s="314"/>
      <c r="X76" s="314"/>
      <c r="Y76" s="314"/>
      <c r="Z76" s="314"/>
      <c r="AA76" s="314"/>
      <c r="AB76" s="314"/>
      <c r="AC76" s="314"/>
      <c r="AD76" s="314"/>
      <c r="AE76" s="314"/>
      <c r="AF76" s="314"/>
      <c r="AG76" s="314"/>
      <c r="AH76" s="314"/>
      <c r="AI76" s="314"/>
      <c r="AJ76" s="314"/>
      <c r="AK76" s="314"/>
      <c r="AL76" s="314"/>
      <c r="AM76" s="314"/>
      <c r="AN76" s="314"/>
      <c r="AO76" s="314"/>
      <c r="AP76" s="314"/>
      <c r="AQ76" s="314"/>
      <c r="AR76" s="314"/>
      <c r="AS76" s="314"/>
      <c r="AT76" s="314"/>
      <c r="AU76" s="314"/>
      <c r="AV76" s="314"/>
      <c r="AW76" s="314"/>
      <c r="AX76" s="314"/>
      <c r="AY76" s="314"/>
      <c r="AZ76" s="314"/>
      <c r="BA76" s="314"/>
      <c r="BB76" s="314"/>
      <c r="BC76" s="314"/>
      <c r="BD76" s="314"/>
      <c r="BE76" s="314"/>
      <c r="BF76" s="314"/>
      <c r="BG76" s="314"/>
      <c r="BH76" s="314"/>
      <c r="BI76" s="314"/>
      <c r="BJ76" s="314"/>
      <c r="BK76" s="314"/>
      <c r="BL76" s="314"/>
      <c r="BM76" s="314"/>
      <c r="BN76" s="314"/>
      <c r="BO76" s="314"/>
      <c r="BP76" s="314"/>
      <c r="BQ76" s="314"/>
      <c r="BR76" s="314"/>
      <c r="BS76" s="314"/>
      <c r="BT76" s="314"/>
      <c r="BU76" s="314"/>
      <c r="BV76" s="314"/>
      <c r="BW76" s="314"/>
      <c r="BX76" s="314"/>
      <c r="BY76" s="315">
        <f t="shared" si="33"/>
        <v>0</v>
      </c>
      <c r="BZ76" s="631"/>
      <c r="CA76" s="265"/>
      <c r="CB76" s="289" t="e">
        <f t="shared" si="34"/>
        <v>#REF!</v>
      </c>
      <c r="CC76" s="631"/>
    </row>
    <row r="77" spans="2:81" ht="16" outlineLevel="1">
      <c r="B77" s="629"/>
      <c r="C77" s="316" t="s">
        <v>322</v>
      </c>
      <c r="D77" s="291" t="s">
        <v>262</v>
      </c>
      <c r="E77" s="314"/>
      <c r="F77" s="314"/>
      <c r="G77" s="314"/>
      <c r="H77" s="314"/>
      <c r="I77" s="314"/>
      <c r="J77" s="314"/>
      <c r="K77" s="314"/>
      <c r="L77" s="314"/>
      <c r="M77" s="314"/>
      <c r="N77" s="314"/>
      <c r="O77" s="314"/>
      <c r="P77" s="314"/>
      <c r="Q77" s="314"/>
      <c r="R77" s="314"/>
      <c r="S77" s="314"/>
      <c r="T77" s="314"/>
      <c r="U77" s="314"/>
      <c r="V77" s="314"/>
      <c r="W77" s="314"/>
      <c r="X77" s="314"/>
      <c r="Y77" s="314"/>
      <c r="Z77" s="314"/>
      <c r="AA77" s="314"/>
      <c r="AB77" s="314"/>
      <c r="AC77" s="314"/>
      <c r="AD77" s="314"/>
      <c r="AE77" s="314"/>
      <c r="AF77" s="314"/>
      <c r="AG77" s="314"/>
      <c r="AH77" s="314"/>
      <c r="AI77" s="314"/>
      <c r="AJ77" s="314"/>
      <c r="AK77" s="314"/>
      <c r="AL77" s="314"/>
      <c r="AM77" s="314"/>
      <c r="AN77" s="314"/>
      <c r="AO77" s="314"/>
      <c r="AP77" s="314"/>
      <c r="AQ77" s="314"/>
      <c r="AR77" s="314"/>
      <c r="AS77" s="314"/>
      <c r="AT77" s="314"/>
      <c r="AU77" s="314"/>
      <c r="AV77" s="314"/>
      <c r="AW77" s="314"/>
      <c r="AX77" s="314"/>
      <c r="AY77" s="314"/>
      <c r="AZ77" s="314"/>
      <c r="BA77" s="314"/>
      <c r="BB77" s="314"/>
      <c r="BC77" s="314"/>
      <c r="BD77" s="314"/>
      <c r="BE77" s="314"/>
      <c r="BF77" s="314"/>
      <c r="BG77" s="314"/>
      <c r="BH77" s="314"/>
      <c r="BI77" s="314"/>
      <c r="BJ77" s="314"/>
      <c r="BK77" s="314"/>
      <c r="BL77" s="314"/>
      <c r="BM77" s="314"/>
      <c r="BN77" s="314"/>
      <c r="BO77" s="314"/>
      <c r="BP77" s="314"/>
      <c r="BQ77" s="314"/>
      <c r="BR77" s="314"/>
      <c r="BS77" s="314"/>
      <c r="BT77" s="314"/>
      <c r="BU77" s="314"/>
      <c r="BV77" s="314"/>
      <c r="BW77" s="314"/>
      <c r="BX77" s="314"/>
      <c r="BY77" s="315">
        <f t="shared" si="33"/>
        <v>0</v>
      </c>
      <c r="BZ77" s="631"/>
      <c r="CA77" s="265"/>
      <c r="CB77" s="289" t="e">
        <f t="shared" si="34"/>
        <v>#REF!</v>
      </c>
      <c r="CC77" s="631"/>
    </row>
    <row r="78" spans="2:81" ht="16" outlineLevel="1">
      <c r="B78" s="629"/>
      <c r="C78" s="316" t="s">
        <v>323</v>
      </c>
      <c r="D78" s="291" t="s">
        <v>262</v>
      </c>
      <c r="E78" s="314"/>
      <c r="F78" s="314"/>
      <c r="G78" s="314"/>
      <c r="H78" s="314"/>
      <c r="I78" s="314"/>
      <c r="J78" s="314"/>
      <c r="K78" s="314"/>
      <c r="L78" s="314"/>
      <c r="M78" s="314"/>
      <c r="N78" s="314"/>
      <c r="O78" s="314"/>
      <c r="P78" s="314"/>
      <c r="Q78" s="314"/>
      <c r="R78" s="314"/>
      <c r="S78" s="314"/>
      <c r="T78" s="314"/>
      <c r="U78" s="314"/>
      <c r="V78" s="314"/>
      <c r="W78" s="314"/>
      <c r="X78" s="314"/>
      <c r="Y78" s="314"/>
      <c r="Z78" s="314"/>
      <c r="AA78" s="314"/>
      <c r="AB78" s="314"/>
      <c r="AC78" s="314"/>
      <c r="AD78" s="314"/>
      <c r="AE78" s="314"/>
      <c r="AF78" s="314"/>
      <c r="AG78" s="314"/>
      <c r="AH78" s="314"/>
      <c r="AI78" s="314"/>
      <c r="AJ78" s="314"/>
      <c r="AK78" s="314"/>
      <c r="AL78" s="314"/>
      <c r="AM78" s="314"/>
      <c r="AN78" s="314"/>
      <c r="AO78" s="314"/>
      <c r="AP78" s="314"/>
      <c r="AQ78" s="314"/>
      <c r="AR78" s="314"/>
      <c r="AS78" s="314"/>
      <c r="AT78" s="314"/>
      <c r="AU78" s="314"/>
      <c r="AV78" s="314"/>
      <c r="AW78" s="314"/>
      <c r="AX78" s="314"/>
      <c r="AY78" s="314"/>
      <c r="AZ78" s="314"/>
      <c r="BA78" s="314"/>
      <c r="BB78" s="314"/>
      <c r="BC78" s="314"/>
      <c r="BD78" s="314"/>
      <c r="BE78" s="314"/>
      <c r="BF78" s="314"/>
      <c r="BG78" s="314"/>
      <c r="BH78" s="314"/>
      <c r="BI78" s="314"/>
      <c r="BJ78" s="314"/>
      <c r="BK78" s="314"/>
      <c r="BL78" s="314"/>
      <c r="BM78" s="314"/>
      <c r="BN78" s="314"/>
      <c r="BO78" s="314"/>
      <c r="BP78" s="314"/>
      <c r="BQ78" s="314"/>
      <c r="BR78" s="314"/>
      <c r="BS78" s="314"/>
      <c r="BT78" s="314"/>
      <c r="BU78" s="314"/>
      <c r="BV78" s="314"/>
      <c r="BW78" s="314"/>
      <c r="BX78" s="314"/>
      <c r="BY78" s="315">
        <f t="shared" si="33"/>
        <v>0</v>
      </c>
      <c r="BZ78" s="631"/>
      <c r="CA78" s="265"/>
      <c r="CB78" s="289" t="e">
        <f t="shared" si="34"/>
        <v>#N/A</v>
      </c>
      <c r="CC78" s="631"/>
    </row>
    <row r="79" spans="2:81" ht="16" outlineLevel="1">
      <c r="B79" s="629"/>
      <c r="C79" s="316" t="s">
        <v>324</v>
      </c>
      <c r="D79" s="291" t="s">
        <v>262</v>
      </c>
      <c r="E79" s="314"/>
      <c r="F79" s="314"/>
      <c r="G79" s="314"/>
      <c r="H79" s="314"/>
      <c r="I79" s="314"/>
      <c r="J79" s="314"/>
      <c r="K79" s="314"/>
      <c r="L79" s="314"/>
      <c r="M79" s="314"/>
      <c r="N79" s="314"/>
      <c r="O79" s="314"/>
      <c r="P79" s="314"/>
      <c r="Q79" s="314"/>
      <c r="R79" s="314"/>
      <c r="S79" s="314"/>
      <c r="T79" s="314"/>
      <c r="U79" s="314"/>
      <c r="V79" s="314"/>
      <c r="W79" s="314"/>
      <c r="X79" s="314"/>
      <c r="Y79" s="314"/>
      <c r="Z79" s="314"/>
      <c r="AA79" s="314"/>
      <c r="AB79" s="314"/>
      <c r="AC79" s="314">
        <f>-Businessplan_prodej!N23/12</f>
        <v>-126434.56</v>
      </c>
      <c r="AD79" s="314"/>
      <c r="AE79" s="314"/>
      <c r="AF79" s="314"/>
      <c r="AG79" s="314"/>
      <c r="AH79" s="314"/>
      <c r="AI79" s="314"/>
      <c r="AJ79" s="314"/>
      <c r="AK79" s="314"/>
      <c r="AL79" s="314"/>
      <c r="AM79" s="314"/>
      <c r="AN79" s="314"/>
      <c r="AO79" s="314"/>
      <c r="AP79" s="314"/>
      <c r="AQ79" s="314"/>
      <c r="AR79" s="314"/>
      <c r="AS79" s="314"/>
      <c r="AT79" s="314"/>
      <c r="AU79" s="314"/>
      <c r="AV79" s="314"/>
      <c r="AW79" s="314"/>
      <c r="AX79" s="314"/>
      <c r="AY79" s="314"/>
      <c r="AZ79" s="314"/>
      <c r="BA79" s="314"/>
      <c r="BB79" s="314"/>
      <c r="BC79" s="314"/>
      <c r="BD79" s="314"/>
      <c r="BE79" s="314"/>
      <c r="BF79" s="314"/>
      <c r="BG79" s="314"/>
      <c r="BH79" s="314"/>
      <c r="BI79" s="314"/>
      <c r="BJ79" s="314"/>
      <c r="BK79" s="314"/>
      <c r="BL79" s="314"/>
      <c r="BM79" s="314"/>
      <c r="BN79" s="314"/>
      <c r="BO79" s="314"/>
      <c r="BP79" s="314"/>
      <c r="BQ79" s="314"/>
      <c r="BR79" s="314"/>
      <c r="BS79" s="314"/>
      <c r="BT79" s="314"/>
      <c r="BU79" s="314"/>
      <c r="BV79" s="314"/>
      <c r="BW79" s="314"/>
      <c r="BX79" s="314"/>
      <c r="BY79" s="315">
        <f t="shared" si="33"/>
        <v>-126434.56</v>
      </c>
      <c r="BZ79" s="631"/>
      <c r="CA79" s="265" t="s">
        <v>325</v>
      </c>
      <c r="CB79" s="289" t="e">
        <f t="shared" si="34"/>
        <v>#REF!</v>
      </c>
      <c r="CC79" s="631"/>
    </row>
    <row r="80" spans="2:81" ht="16" outlineLevel="1">
      <c r="B80" s="629"/>
      <c r="C80" s="316" t="s">
        <v>326</v>
      </c>
      <c r="D80" s="291" t="s">
        <v>262</v>
      </c>
      <c r="E80" s="314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 s="314"/>
      <c r="R80" s="314"/>
      <c r="S80" s="314"/>
      <c r="T80" s="314"/>
      <c r="U80" s="314"/>
      <c r="V80" s="314"/>
      <c r="W80" s="314"/>
      <c r="X80" s="314"/>
      <c r="Y80" s="314"/>
      <c r="Z80" s="314"/>
      <c r="AA80" s="314"/>
      <c r="AB80" s="314"/>
      <c r="AC80" s="314"/>
      <c r="AD80" s="314"/>
      <c r="AE80" s="314"/>
      <c r="AF80" s="314"/>
      <c r="AG80" s="314"/>
      <c r="AH80" s="314"/>
      <c r="AI80" s="314"/>
      <c r="AJ80" s="314"/>
      <c r="AK80" s="314"/>
      <c r="AL80" s="314"/>
      <c r="AM80" s="314"/>
      <c r="AN80" s="314"/>
      <c r="AO80" s="314"/>
      <c r="AP80" s="314"/>
      <c r="AQ80" s="314"/>
      <c r="AR80" s="314"/>
      <c r="AS80" s="314"/>
      <c r="AT80" s="314"/>
      <c r="AU80" s="314"/>
      <c r="AV80" s="314"/>
      <c r="AW80" s="314"/>
      <c r="AX80" s="314"/>
      <c r="AY80" s="314"/>
      <c r="AZ80" s="314"/>
      <c r="BA80" s="314"/>
      <c r="BB80" s="314"/>
      <c r="BC80" s="314"/>
      <c r="BD80" s="314"/>
      <c r="BE80" s="314"/>
      <c r="BF80" s="314"/>
      <c r="BG80" s="314"/>
      <c r="BH80" s="314"/>
      <c r="BI80" s="314"/>
      <c r="BJ80" s="314"/>
      <c r="BK80" s="314"/>
      <c r="BL80" s="314"/>
      <c r="BM80" s="314"/>
      <c r="BN80" s="314"/>
      <c r="BO80" s="314"/>
      <c r="BP80" s="314"/>
      <c r="BQ80" s="314"/>
      <c r="BR80" s="314"/>
      <c r="BS80" s="314"/>
      <c r="BT80" s="314"/>
      <c r="BU80" s="314"/>
      <c r="BV80" s="314"/>
      <c r="BW80" s="314"/>
      <c r="BX80" s="314"/>
      <c r="BY80" s="315">
        <f t="shared" si="33"/>
        <v>0</v>
      </c>
      <c r="BZ80" s="631"/>
      <c r="CA80" s="265"/>
      <c r="CB80" s="289" t="e">
        <f t="shared" si="34"/>
        <v>#REF!</v>
      </c>
      <c r="CC80" s="631"/>
    </row>
    <row r="81" spans="2:81" ht="16" outlineLevel="1">
      <c r="B81" s="629"/>
      <c r="C81" s="317" t="s">
        <v>290</v>
      </c>
      <c r="D81" s="291" t="s">
        <v>262</v>
      </c>
      <c r="E81" s="314"/>
      <c r="F81" s="292"/>
      <c r="G81" s="292"/>
      <c r="H81" s="292"/>
      <c r="I81" s="292"/>
      <c r="J81" s="292"/>
      <c r="K81" s="292"/>
      <c r="L81" s="292"/>
      <c r="M81" s="292"/>
      <c r="N81" s="292"/>
      <c r="O81" s="292"/>
      <c r="P81" s="292"/>
      <c r="Q81" s="292"/>
      <c r="R81" s="292"/>
      <c r="S81" s="292"/>
      <c r="T81" s="292"/>
      <c r="U81" s="292"/>
      <c r="V81" s="292"/>
      <c r="W81" s="292"/>
      <c r="X81" s="292"/>
      <c r="Y81" s="292"/>
      <c r="Z81" s="292"/>
      <c r="AA81" s="292"/>
      <c r="AB81" s="292"/>
      <c r="AC81" s="292"/>
      <c r="AD81" s="292"/>
      <c r="AE81" s="292"/>
      <c r="AF81" s="292"/>
      <c r="AG81" s="292"/>
      <c r="AH81" s="292"/>
      <c r="AI81" s="292"/>
      <c r="AJ81" s="292"/>
      <c r="AK81" s="292"/>
      <c r="AL81" s="292"/>
      <c r="AM81" s="292"/>
      <c r="AN81" s="292"/>
      <c r="AO81" s="292"/>
      <c r="AP81" s="292"/>
      <c r="AQ81" s="292"/>
      <c r="AR81" s="292"/>
      <c r="AS81" s="292"/>
      <c r="AT81" s="292"/>
      <c r="AU81" s="292"/>
      <c r="AV81" s="292"/>
      <c r="AW81" s="292"/>
      <c r="AX81" s="292"/>
      <c r="AY81" s="292"/>
      <c r="AZ81" s="292"/>
      <c r="BA81" s="292"/>
      <c r="BB81" s="292"/>
      <c r="BC81" s="292"/>
      <c r="BD81" s="292"/>
      <c r="BE81" s="292"/>
      <c r="BF81" s="292"/>
      <c r="BG81" s="292"/>
      <c r="BH81" s="292"/>
      <c r="BI81" s="292"/>
      <c r="BJ81" s="292"/>
      <c r="BK81" s="292"/>
      <c r="BL81" s="292"/>
      <c r="BM81" s="292"/>
      <c r="BN81" s="292"/>
      <c r="BO81" s="292"/>
      <c r="BP81" s="292"/>
      <c r="BQ81" s="292"/>
      <c r="BR81" s="292"/>
      <c r="BS81" s="292"/>
      <c r="BT81" s="292"/>
      <c r="BU81" s="292"/>
      <c r="BV81" s="292"/>
      <c r="BW81" s="292"/>
      <c r="BX81" s="292"/>
      <c r="BY81" s="315">
        <f t="shared" si="33"/>
        <v>0</v>
      </c>
      <c r="BZ81" s="631"/>
      <c r="CA81" s="265"/>
      <c r="CB81" s="289" t="e">
        <f t="shared" si="34"/>
        <v>#N/A</v>
      </c>
      <c r="CC81" s="631"/>
    </row>
    <row r="82" spans="2:81" ht="16" outlineLevel="1">
      <c r="B82" s="629"/>
      <c r="C82" s="316" t="s">
        <v>291</v>
      </c>
      <c r="D82" s="291" t="s">
        <v>262</v>
      </c>
      <c r="E82" s="314"/>
      <c r="F82" s="292"/>
      <c r="G82" s="292"/>
      <c r="H82" s="292"/>
      <c r="I82" s="292"/>
      <c r="J82" s="292"/>
      <c r="K82" s="292"/>
      <c r="L82" s="292"/>
      <c r="M82" s="292"/>
      <c r="N82" s="292"/>
      <c r="O82" s="292"/>
      <c r="P82" s="292"/>
      <c r="Q82" s="292"/>
      <c r="R82" s="292"/>
      <c r="S82" s="292"/>
      <c r="T82" s="292"/>
      <c r="U82" s="292"/>
      <c r="V82" s="292"/>
      <c r="W82" s="292"/>
      <c r="X82" s="292"/>
      <c r="Y82" s="292"/>
      <c r="Z82" s="292"/>
      <c r="AA82" s="292"/>
      <c r="AB82" s="292"/>
      <c r="AC82" s="292"/>
      <c r="AD82" s="292"/>
      <c r="AE82" s="292"/>
      <c r="AF82" s="292"/>
      <c r="AG82" s="292"/>
      <c r="AH82" s="292"/>
      <c r="AI82" s="292"/>
      <c r="AJ82" s="292"/>
      <c r="AK82" s="292"/>
      <c r="AL82" s="292"/>
      <c r="AM82" s="292"/>
      <c r="AN82" s="292"/>
      <c r="AO82" s="292"/>
      <c r="AP82" s="292"/>
      <c r="AQ82" s="292"/>
      <c r="AR82" s="292"/>
      <c r="AS82" s="292"/>
      <c r="AT82" s="292"/>
      <c r="AU82" s="292"/>
      <c r="AV82" s="292"/>
      <c r="AW82" s="292"/>
      <c r="AX82" s="292"/>
      <c r="AY82" s="292"/>
      <c r="AZ82" s="292"/>
      <c r="BA82" s="292"/>
      <c r="BB82" s="292"/>
      <c r="BC82" s="292"/>
      <c r="BD82" s="292"/>
      <c r="BE82" s="292"/>
      <c r="BF82" s="292"/>
      <c r="BG82" s="292"/>
      <c r="BH82" s="292"/>
      <c r="BI82" s="292"/>
      <c r="BJ82" s="292"/>
      <c r="BK82" s="292"/>
      <c r="BL82" s="292"/>
      <c r="BM82" s="292"/>
      <c r="BN82" s="292"/>
      <c r="BO82" s="292"/>
      <c r="BP82" s="292"/>
      <c r="BQ82" s="292"/>
      <c r="BR82" s="292"/>
      <c r="BS82" s="292"/>
      <c r="BT82" s="292"/>
      <c r="BU82" s="292"/>
      <c r="BV82" s="292"/>
      <c r="BW82" s="292"/>
      <c r="BX82" s="292"/>
      <c r="BY82" s="315">
        <f t="shared" si="33"/>
        <v>0</v>
      </c>
      <c r="BZ82" s="631"/>
      <c r="CA82" s="265"/>
      <c r="CB82" s="289" t="e">
        <f t="shared" si="34"/>
        <v>#REF!</v>
      </c>
      <c r="CC82" s="631"/>
    </row>
    <row r="83" spans="2:81" ht="16" outlineLevel="1">
      <c r="B83" s="629"/>
      <c r="C83" s="316" t="s">
        <v>297</v>
      </c>
      <c r="D83" s="291" t="s">
        <v>262</v>
      </c>
      <c r="E83" s="314"/>
      <c r="F83" s="292"/>
      <c r="G83" s="292"/>
      <c r="H83" s="292"/>
      <c r="I83" s="292"/>
      <c r="J83" s="292"/>
      <c r="K83" s="292"/>
      <c r="L83" s="292"/>
      <c r="M83" s="292"/>
      <c r="N83" s="292"/>
      <c r="O83" s="292"/>
      <c r="P83" s="292"/>
      <c r="Q83" s="292"/>
      <c r="R83" s="292"/>
      <c r="S83" s="292"/>
      <c r="T83" s="292"/>
      <c r="U83" s="292"/>
      <c r="V83" s="292"/>
      <c r="W83" s="292"/>
      <c r="X83" s="292"/>
      <c r="Y83" s="292"/>
      <c r="Z83" s="292"/>
      <c r="AA83" s="292"/>
      <c r="AB83" s="292"/>
      <c r="AC83" s="292"/>
      <c r="AD83" s="292"/>
      <c r="AE83" s="292"/>
      <c r="AF83" s="292"/>
      <c r="AG83" s="292"/>
      <c r="AH83" s="292"/>
      <c r="AI83" s="292"/>
      <c r="AJ83" s="292"/>
      <c r="AK83" s="292"/>
      <c r="AL83" s="292"/>
      <c r="AM83" s="292"/>
      <c r="AN83" s="292"/>
      <c r="AO83" s="292"/>
      <c r="AP83" s="292"/>
      <c r="AQ83" s="292"/>
      <c r="AR83" s="292"/>
      <c r="AS83" s="292"/>
      <c r="AT83" s="292"/>
      <c r="AU83" s="292"/>
      <c r="AV83" s="292"/>
      <c r="AW83" s="292"/>
      <c r="AX83" s="292"/>
      <c r="AY83" s="292"/>
      <c r="AZ83" s="292"/>
      <c r="BA83" s="292"/>
      <c r="BB83" s="292"/>
      <c r="BC83" s="292"/>
      <c r="BD83" s="292"/>
      <c r="BE83" s="292"/>
      <c r="BF83" s="292"/>
      <c r="BG83" s="292"/>
      <c r="BH83" s="292"/>
      <c r="BI83" s="292"/>
      <c r="BJ83" s="292"/>
      <c r="BK83" s="292"/>
      <c r="BL83" s="292"/>
      <c r="BM83" s="292"/>
      <c r="BN83" s="292"/>
      <c r="BO83" s="292"/>
      <c r="BP83" s="292"/>
      <c r="BQ83" s="292"/>
      <c r="BR83" s="292"/>
      <c r="BS83" s="292"/>
      <c r="BT83" s="292"/>
      <c r="BU83" s="292"/>
      <c r="BV83" s="292"/>
      <c r="BW83" s="292"/>
      <c r="BX83" s="292"/>
      <c r="BY83" s="315">
        <f t="shared" si="33"/>
        <v>0</v>
      </c>
      <c r="BZ83" s="631"/>
      <c r="CA83" s="265"/>
      <c r="CB83" s="289" t="e">
        <f t="shared" si="34"/>
        <v>#REF!</v>
      </c>
      <c r="CC83" s="631"/>
    </row>
    <row r="84" spans="2:81" ht="16" outlineLevel="1">
      <c r="B84" s="629"/>
      <c r="C84" s="316" t="s">
        <v>298</v>
      </c>
      <c r="D84" s="291" t="s">
        <v>262</v>
      </c>
      <c r="E84" s="314"/>
      <c r="F84" s="292"/>
      <c r="G84" s="292"/>
      <c r="H84" s="292"/>
      <c r="I84" s="292"/>
      <c r="J84" s="292"/>
      <c r="K84" s="292"/>
      <c r="L84" s="292"/>
      <c r="M84" s="292"/>
      <c r="N84" s="292"/>
      <c r="O84" s="292"/>
      <c r="P84" s="292"/>
      <c r="Q84" s="292"/>
      <c r="R84" s="292"/>
      <c r="S84" s="292"/>
      <c r="T84" s="292"/>
      <c r="U84" s="292"/>
      <c r="V84" s="292"/>
      <c r="W84" s="292"/>
      <c r="X84" s="292"/>
      <c r="Y84" s="292"/>
      <c r="Z84" s="292"/>
      <c r="AA84" s="292"/>
      <c r="AB84" s="292"/>
      <c r="AC84" s="292"/>
      <c r="AD84" s="292"/>
      <c r="AE84" s="292"/>
      <c r="AF84" s="292"/>
      <c r="AG84" s="292"/>
      <c r="AH84" s="292"/>
      <c r="AI84" s="292"/>
      <c r="AJ84" s="292"/>
      <c r="AK84" s="292"/>
      <c r="AL84" s="292"/>
      <c r="AM84" s="292"/>
      <c r="AN84" s="292"/>
      <c r="AO84" s="292"/>
      <c r="AP84" s="292"/>
      <c r="AQ84" s="292"/>
      <c r="AR84" s="292"/>
      <c r="AS84" s="292"/>
      <c r="AT84" s="292"/>
      <c r="AU84" s="292"/>
      <c r="AV84" s="292"/>
      <c r="AW84" s="292"/>
      <c r="AX84" s="292"/>
      <c r="AY84" s="292"/>
      <c r="AZ84" s="292"/>
      <c r="BA84" s="292"/>
      <c r="BB84" s="292"/>
      <c r="BC84" s="292"/>
      <c r="BD84" s="292"/>
      <c r="BE84" s="292"/>
      <c r="BF84" s="292"/>
      <c r="BG84" s="292"/>
      <c r="BH84" s="292"/>
      <c r="BI84" s="292"/>
      <c r="BJ84" s="292"/>
      <c r="BK84" s="292"/>
      <c r="BL84" s="292"/>
      <c r="BM84" s="292"/>
      <c r="BN84" s="292"/>
      <c r="BO84" s="292"/>
      <c r="BP84" s="292"/>
      <c r="BQ84" s="292"/>
      <c r="BR84" s="292"/>
      <c r="BS84" s="292"/>
      <c r="BT84" s="292"/>
      <c r="BU84" s="292"/>
      <c r="BV84" s="292"/>
      <c r="BW84" s="292"/>
      <c r="BX84" s="292"/>
      <c r="BY84" s="315">
        <f t="shared" si="33"/>
        <v>0</v>
      </c>
      <c r="BZ84" s="631"/>
      <c r="CA84" s="265"/>
      <c r="CB84" s="289" t="e">
        <f t="shared" si="34"/>
        <v>#REF!</v>
      </c>
      <c r="CC84" s="631"/>
    </row>
    <row r="85" spans="2:81" ht="16" outlineLevel="1">
      <c r="B85" s="629"/>
      <c r="C85" s="318" t="s">
        <v>327</v>
      </c>
      <c r="D85" s="294" t="s">
        <v>262</v>
      </c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19"/>
      <c r="AI85" s="319"/>
      <c r="AJ85" s="319"/>
      <c r="AK85" s="319"/>
      <c r="AL85" s="319"/>
      <c r="AM85" s="319"/>
      <c r="AN85" s="319"/>
      <c r="AO85" s="319"/>
      <c r="AP85" s="319"/>
      <c r="AQ85" s="319"/>
      <c r="AR85" s="319"/>
      <c r="AS85" s="319"/>
      <c r="AT85" s="319"/>
      <c r="AU85" s="319"/>
      <c r="AV85" s="319"/>
      <c r="AW85" s="319"/>
      <c r="AX85" s="319"/>
      <c r="AY85" s="319"/>
      <c r="AZ85" s="319"/>
      <c r="BA85" s="319"/>
      <c r="BB85" s="319"/>
      <c r="BC85" s="319"/>
      <c r="BD85" s="319"/>
      <c r="BE85" s="319"/>
      <c r="BF85" s="319"/>
      <c r="BG85" s="319"/>
      <c r="BH85" s="319"/>
      <c r="BI85" s="319"/>
      <c r="BJ85" s="319"/>
      <c r="BK85" s="319"/>
      <c r="BL85" s="319"/>
      <c r="BM85" s="319"/>
      <c r="BN85" s="319"/>
      <c r="BO85" s="319"/>
      <c r="BP85" s="319"/>
      <c r="BQ85" s="319"/>
      <c r="BR85" s="319"/>
      <c r="BS85" s="319"/>
      <c r="BT85" s="319"/>
      <c r="BU85" s="319"/>
      <c r="BV85" s="319"/>
      <c r="BW85" s="319"/>
      <c r="BX85" s="319"/>
      <c r="BY85" s="315">
        <f t="shared" si="33"/>
        <v>0</v>
      </c>
      <c r="BZ85" s="631"/>
      <c r="CA85" s="265"/>
      <c r="CB85" s="289" t="e">
        <f t="array" ref="CB85">SUM(INDEX(AC85:BX85, , 1):INDEX(AC85:BX85, ,MATCH(CB43, E41:BX41,0) ))</f>
        <v>#REF!</v>
      </c>
      <c r="CC85" s="631"/>
    </row>
    <row r="86" spans="2:81" ht="16">
      <c r="B86" s="629"/>
      <c r="C86" s="285" t="s">
        <v>328</v>
      </c>
      <c r="D86" s="286"/>
      <c r="E86" s="287">
        <f t="shared" ref="E86:BY86" si="35">SUM(E87:E88)</f>
        <v>0</v>
      </c>
      <c r="F86" s="287">
        <f t="shared" si="35"/>
        <v>0</v>
      </c>
      <c r="G86" s="287">
        <f t="shared" si="35"/>
        <v>0</v>
      </c>
      <c r="H86" s="287">
        <f t="shared" si="35"/>
        <v>0</v>
      </c>
      <c r="I86" s="287">
        <f t="shared" si="35"/>
        <v>0</v>
      </c>
      <c r="J86" s="287">
        <f t="shared" si="35"/>
        <v>0</v>
      </c>
      <c r="K86" s="287">
        <f t="shared" si="35"/>
        <v>0</v>
      </c>
      <c r="L86" s="287">
        <f t="shared" si="35"/>
        <v>0</v>
      </c>
      <c r="M86" s="287">
        <f t="shared" si="35"/>
        <v>0</v>
      </c>
      <c r="N86" s="287">
        <f t="shared" si="35"/>
        <v>0</v>
      </c>
      <c r="O86" s="287">
        <f t="shared" si="35"/>
        <v>0</v>
      </c>
      <c r="P86" s="287">
        <f t="shared" si="35"/>
        <v>0</v>
      </c>
      <c r="Q86" s="287">
        <f t="shared" si="35"/>
        <v>0</v>
      </c>
      <c r="R86" s="287">
        <f t="shared" si="35"/>
        <v>0</v>
      </c>
      <c r="S86" s="287">
        <f t="shared" si="35"/>
        <v>0</v>
      </c>
      <c r="T86" s="287">
        <f t="shared" si="35"/>
        <v>0</v>
      </c>
      <c r="U86" s="287">
        <f t="shared" si="35"/>
        <v>0</v>
      </c>
      <c r="V86" s="287">
        <f t="shared" si="35"/>
        <v>0</v>
      </c>
      <c r="W86" s="287">
        <f t="shared" si="35"/>
        <v>0</v>
      </c>
      <c r="X86" s="287">
        <f t="shared" si="35"/>
        <v>0</v>
      </c>
      <c r="Y86" s="287">
        <f t="shared" si="35"/>
        <v>0</v>
      </c>
      <c r="Z86" s="287">
        <f t="shared" si="35"/>
        <v>0</v>
      </c>
      <c r="AA86" s="287">
        <f t="shared" si="35"/>
        <v>0</v>
      </c>
      <c r="AB86" s="287">
        <f t="shared" si="35"/>
        <v>0</v>
      </c>
      <c r="AC86" s="287">
        <f t="shared" si="35"/>
        <v>0</v>
      </c>
      <c r="AD86" s="287">
        <f t="shared" si="35"/>
        <v>0</v>
      </c>
      <c r="AE86" s="287">
        <f t="shared" si="35"/>
        <v>0</v>
      </c>
      <c r="AF86" s="287">
        <f t="shared" si="35"/>
        <v>0</v>
      </c>
      <c r="AG86" s="287">
        <f t="shared" si="35"/>
        <v>0</v>
      </c>
      <c r="AH86" s="287">
        <f t="shared" si="35"/>
        <v>0</v>
      </c>
      <c r="AI86" s="287">
        <f t="shared" si="35"/>
        <v>0</v>
      </c>
      <c r="AJ86" s="287">
        <f t="shared" si="35"/>
        <v>0</v>
      </c>
      <c r="AK86" s="287">
        <f t="shared" si="35"/>
        <v>0</v>
      </c>
      <c r="AL86" s="287">
        <f t="shared" si="35"/>
        <v>0</v>
      </c>
      <c r="AM86" s="287">
        <f t="shared" si="35"/>
        <v>0</v>
      </c>
      <c r="AN86" s="287">
        <f t="shared" si="35"/>
        <v>0</v>
      </c>
      <c r="AO86" s="287">
        <f t="shared" si="35"/>
        <v>0</v>
      </c>
      <c r="AP86" s="287">
        <f t="shared" si="35"/>
        <v>0</v>
      </c>
      <c r="AQ86" s="287">
        <f t="shared" si="35"/>
        <v>0</v>
      </c>
      <c r="AR86" s="287">
        <f t="shared" si="35"/>
        <v>0</v>
      </c>
      <c r="AS86" s="287">
        <f t="shared" si="35"/>
        <v>0</v>
      </c>
      <c r="AT86" s="287">
        <f t="shared" si="35"/>
        <v>0</v>
      </c>
      <c r="AU86" s="287">
        <f t="shared" si="35"/>
        <v>0</v>
      </c>
      <c r="AV86" s="287">
        <f t="shared" si="35"/>
        <v>0</v>
      </c>
      <c r="AW86" s="287">
        <f t="shared" si="35"/>
        <v>0</v>
      </c>
      <c r="AX86" s="287">
        <f t="shared" si="35"/>
        <v>0</v>
      </c>
      <c r="AY86" s="287">
        <f t="shared" si="35"/>
        <v>0</v>
      </c>
      <c r="AZ86" s="287">
        <f t="shared" si="35"/>
        <v>0</v>
      </c>
      <c r="BA86" s="287">
        <f t="shared" si="35"/>
        <v>0</v>
      </c>
      <c r="BB86" s="287">
        <f t="shared" si="35"/>
        <v>0</v>
      </c>
      <c r="BC86" s="287">
        <f t="shared" si="35"/>
        <v>0</v>
      </c>
      <c r="BD86" s="287">
        <f t="shared" si="35"/>
        <v>0</v>
      </c>
      <c r="BE86" s="287">
        <f t="shared" si="35"/>
        <v>0</v>
      </c>
      <c r="BF86" s="287">
        <f t="shared" si="35"/>
        <v>0</v>
      </c>
      <c r="BG86" s="287">
        <f t="shared" si="35"/>
        <v>0</v>
      </c>
      <c r="BH86" s="287">
        <f t="shared" si="35"/>
        <v>0</v>
      </c>
      <c r="BI86" s="287">
        <f t="shared" si="35"/>
        <v>0</v>
      </c>
      <c r="BJ86" s="287">
        <f t="shared" si="35"/>
        <v>0</v>
      </c>
      <c r="BK86" s="287">
        <f t="shared" si="35"/>
        <v>0</v>
      </c>
      <c r="BL86" s="287">
        <f t="shared" si="35"/>
        <v>0</v>
      </c>
      <c r="BM86" s="287">
        <f t="shared" si="35"/>
        <v>0</v>
      </c>
      <c r="BN86" s="287">
        <f t="shared" si="35"/>
        <v>0</v>
      </c>
      <c r="BO86" s="287">
        <f t="shared" si="35"/>
        <v>0</v>
      </c>
      <c r="BP86" s="287">
        <f t="shared" si="35"/>
        <v>0</v>
      </c>
      <c r="BQ86" s="287">
        <f t="shared" si="35"/>
        <v>0</v>
      </c>
      <c r="BR86" s="287">
        <f t="shared" si="35"/>
        <v>0</v>
      </c>
      <c r="BS86" s="287">
        <f t="shared" si="35"/>
        <v>0</v>
      </c>
      <c r="BT86" s="287">
        <f t="shared" si="35"/>
        <v>0</v>
      </c>
      <c r="BU86" s="287">
        <f t="shared" si="35"/>
        <v>0</v>
      </c>
      <c r="BV86" s="287">
        <f t="shared" si="35"/>
        <v>0</v>
      </c>
      <c r="BW86" s="287">
        <f t="shared" si="35"/>
        <v>0</v>
      </c>
      <c r="BX86" s="287">
        <f t="shared" si="35"/>
        <v>0</v>
      </c>
      <c r="BY86" s="288">
        <f t="shared" si="35"/>
        <v>0</v>
      </c>
      <c r="BZ86" s="631"/>
      <c r="CA86" s="265"/>
      <c r="CB86" s="289" t="e">
        <f t="array" ref="CB86">SUM(INDEX(E86:BX86, , 1):INDEX(E86:BX86, ,MATCH($CB$4, $E$3:$BX$3,0) ))</f>
        <v>#N/A</v>
      </c>
      <c r="CC86" s="631"/>
    </row>
    <row r="87" spans="2:81" ht="16" outlineLevel="1">
      <c r="B87" s="629"/>
      <c r="C87" s="313" t="s">
        <v>329</v>
      </c>
      <c r="D87" s="291" t="s">
        <v>262</v>
      </c>
      <c r="E87" s="320"/>
      <c r="F87" s="320"/>
      <c r="G87" s="320"/>
      <c r="H87" s="320"/>
      <c r="I87" s="320"/>
      <c r="J87" s="320"/>
      <c r="K87" s="320"/>
      <c r="L87" s="320"/>
      <c r="M87" s="320"/>
      <c r="N87" s="320"/>
      <c r="O87" s="320"/>
      <c r="P87" s="320"/>
      <c r="Q87" s="320"/>
      <c r="R87" s="320"/>
      <c r="S87" s="320"/>
      <c r="T87" s="320"/>
      <c r="U87" s="320"/>
      <c r="V87" s="320"/>
      <c r="W87" s="320"/>
      <c r="X87" s="320"/>
      <c r="Y87" s="320"/>
      <c r="Z87" s="320"/>
      <c r="AA87" s="320"/>
      <c r="AB87" s="320"/>
      <c r="AC87" s="320"/>
      <c r="AD87" s="320"/>
      <c r="AE87" s="320"/>
      <c r="AF87" s="320"/>
      <c r="AG87" s="320"/>
      <c r="AH87" s="320"/>
      <c r="AI87" s="320"/>
      <c r="AJ87" s="320"/>
      <c r="AK87" s="320"/>
      <c r="AL87" s="320"/>
      <c r="AM87" s="320"/>
      <c r="AN87" s="320"/>
      <c r="AO87" s="320"/>
      <c r="AP87" s="320"/>
      <c r="AQ87" s="320"/>
      <c r="AR87" s="320"/>
      <c r="AS87" s="320"/>
      <c r="AT87" s="320"/>
      <c r="AU87" s="320"/>
      <c r="AV87" s="320"/>
      <c r="AW87" s="320"/>
      <c r="AX87" s="320"/>
      <c r="AY87" s="320"/>
      <c r="AZ87" s="320"/>
      <c r="BA87" s="320"/>
      <c r="BB87" s="320"/>
      <c r="BC87" s="320"/>
      <c r="BD87" s="320"/>
      <c r="BE87" s="320"/>
      <c r="BF87" s="320"/>
      <c r="BG87" s="320"/>
      <c r="BH87" s="320"/>
      <c r="BI87" s="320"/>
      <c r="BJ87" s="320"/>
      <c r="BK87" s="320"/>
      <c r="BL87" s="320"/>
      <c r="BM87" s="320"/>
      <c r="BN87" s="320"/>
      <c r="BO87" s="320"/>
      <c r="BP87" s="320"/>
      <c r="BQ87" s="320"/>
      <c r="BR87" s="320"/>
      <c r="BS87" s="320"/>
      <c r="BT87" s="320"/>
      <c r="BU87" s="320"/>
      <c r="BV87" s="320"/>
      <c r="BW87" s="320"/>
      <c r="BX87" s="320"/>
      <c r="BY87" s="321">
        <f t="shared" ref="BY87:BY88" si="36">SUM(E87:BX87)</f>
        <v>0</v>
      </c>
      <c r="BZ87" s="631"/>
      <c r="CA87" s="265"/>
      <c r="CB87" s="289" t="e">
        <f t="shared" ref="CB87:CB88" si="37">SUM(INDEX(AC87:BX87, , 1):INDEX(AC87:BX87, ,MATCH($CB$4, $E$3:$BX$3,0) ))</f>
        <v>#N/A</v>
      </c>
      <c r="CC87" s="631"/>
    </row>
    <row r="88" spans="2:81" ht="16" outlineLevel="1">
      <c r="B88" s="629"/>
      <c r="C88" s="318" t="s">
        <v>330</v>
      </c>
      <c r="D88" s="294" t="s">
        <v>262</v>
      </c>
      <c r="E88" s="322"/>
      <c r="F88" s="311"/>
      <c r="G88" s="311"/>
      <c r="H88" s="311"/>
      <c r="I88" s="311"/>
      <c r="J88" s="311"/>
      <c r="K88" s="311"/>
      <c r="L88" s="311"/>
      <c r="M88" s="311"/>
      <c r="N88" s="311"/>
      <c r="O88" s="311"/>
      <c r="P88" s="311"/>
      <c r="Q88" s="311"/>
      <c r="R88" s="311"/>
      <c r="S88" s="311"/>
      <c r="T88" s="311"/>
      <c r="U88" s="311"/>
      <c r="V88" s="311"/>
      <c r="W88" s="311"/>
      <c r="X88" s="311"/>
      <c r="Y88" s="311"/>
      <c r="Z88" s="311"/>
      <c r="AA88" s="311"/>
      <c r="AB88" s="311"/>
      <c r="AC88" s="311"/>
      <c r="AD88" s="311"/>
      <c r="AE88" s="311"/>
      <c r="AF88" s="311"/>
      <c r="AG88" s="311"/>
      <c r="AH88" s="311"/>
      <c r="AI88" s="311"/>
      <c r="AJ88" s="311"/>
      <c r="AK88" s="311"/>
      <c r="AL88" s="311"/>
      <c r="AM88" s="311"/>
      <c r="AN88" s="311"/>
      <c r="AO88" s="311"/>
      <c r="AP88" s="311"/>
      <c r="AQ88" s="311"/>
      <c r="AR88" s="311"/>
      <c r="AS88" s="311"/>
      <c r="AT88" s="311"/>
      <c r="AU88" s="311"/>
      <c r="AV88" s="311"/>
      <c r="AW88" s="311"/>
      <c r="AX88" s="311"/>
      <c r="AY88" s="311"/>
      <c r="AZ88" s="311"/>
      <c r="BA88" s="311"/>
      <c r="BB88" s="311"/>
      <c r="BC88" s="311"/>
      <c r="BD88" s="311"/>
      <c r="BE88" s="311"/>
      <c r="BF88" s="311"/>
      <c r="BG88" s="311"/>
      <c r="BH88" s="311"/>
      <c r="BI88" s="311"/>
      <c r="BJ88" s="311"/>
      <c r="BK88" s="311"/>
      <c r="BL88" s="311"/>
      <c r="BM88" s="311"/>
      <c r="BN88" s="311"/>
      <c r="BO88" s="311"/>
      <c r="BP88" s="311"/>
      <c r="BQ88" s="311"/>
      <c r="BR88" s="311"/>
      <c r="BS88" s="311"/>
      <c r="BT88" s="311"/>
      <c r="BU88" s="311"/>
      <c r="BV88" s="311"/>
      <c r="BW88" s="311"/>
      <c r="BX88" s="311"/>
      <c r="BY88" s="323">
        <f t="shared" si="36"/>
        <v>0</v>
      </c>
      <c r="BZ88" s="618"/>
      <c r="CA88" s="265"/>
      <c r="CB88" s="289" t="e">
        <f t="shared" si="37"/>
        <v>#N/A</v>
      </c>
      <c r="CC88" s="618"/>
    </row>
    <row r="89" spans="2:81">
      <c r="B89" s="629"/>
      <c r="C89" s="285" t="s">
        <v>331</v>
      </c>
      <c r="D89" s="286"/>
      <c r="E89" s="287">
        <f t="shared" ref="E89:BX89" si="38">SUM(E90:E96)</f>
        <v>0</v>
      </c>
      <c r="F89" s="287">
        <f t="shared" si="38"/>
        <v>0</v>
      </c>
      <c r="G89" s="287">
        <f t="shared" si="38"/>
        <v>0</v>
      </c>
      <c r="H89" s="287">
        <f t="shared" si="38"/>
        <v>0</v>
      </c>
      <c r="I89" s="287">
        <f t="shared" si="38"/>
        <v>0</v>
      </c>
      <c r="J89" s="287">
        <f t="shared" si="38"/>
        <v>0</v>
      </c>
      <c r="K89" s="287">
        <f t="shared" si="38"/>
        <v>0</v>
      </c>
      <c r="L89" s="287">
        <f t="shared" si="38"/>
        <v>0</v>
      </c>
      <c r="M89" s="287">
        <f t="shared" si="38"/>
        <v>0</v>
      </c>
      <c r="N89" s="287">
        <f t="shared" si="38"/>
        <v>0</v>
      </c>
      <c r="O89" s="287">
        <f t="shared" si="38"/>
        <v>0</v>
      </c>
      <c r="P89" s="287">
        <f t="shared" si="38"/>
        <v>0</v>
      </c>
      <c r="Q89" s="287">
        <f t="shared" si="38"/>
        <v>0</v>
      </c>
      <c r="R89" s="287">
        <f t="shared" si="38"/>
        <v>0</v>
      </c>
      <c r="S89" s="287">
        <f t="shared" si="38"/>
        <v>0</v>
      </c>
      <c r="T89" s="287">
        <f t="shared" si="38"/>
        <v>0</v>
      </c>
      <c r="U89" s="287">
        <f t="shared" si="38"/>
        <v>0</v>
      </c>
      <c r="V89" s="287">
        <f t="shared" si="38"/>
        <v>0</v>
      </c>
      <c r="W89" s="287">
        <f t="shared" si="38"/>
        <v>0</v>
      </c>
      <c r="X89" s="287">
        <f t="shared" si="38"/>
        <v>0</v>
      </c>
      <c r="Y89" s="287">
        <f t="shared" si="38"/>
        <v>0</v>
      </c>
      <c r="Z89" s="287">
        <f t="shared" si="38"/>
        <v>0</v>
      </c>
      <c r="AA89" s="287">
        <f t="shared" si="38"/>
        <v>0</v>
      </c>
      <c r="AB89" s="287">
        <f t="shared" si="38"/>
        <v>0</v>
      </c>
      <c r="AC89" s="287">
        <f t="shared" si="38"/>
        <v>-133900000</v>
      </c>
      <c r="AD89" s="287">
        <f t="shared" si="38"/>
        <v>0</v>
      </c>
      <c r="AE89" s="287">
        <f t="shared" si="38"/>
        <v>0</v>
      </c>
      <c r="AF89" s="287">
        <f t="shared" si="38"/>
        <v>0</v>
      </c>
      <c r="AG89" s="287">
        <f t="shared" si="38"/>
        <v>0</v>
      </c>
      <c r="AH89" s="287">
        <f t="shared" si="38"/>
        <v>0</v>
      </c>
      <c r="AI89" s="287">
        <f t="shared" si="38"/>
        <v>0</v>
      </c>
      <c r="AJ89" s="287">
        <f t="shared" si="38"/>
        <v>0</v>
      </c>
      <c r="AK89" s="287">
        <f t="shared" si="38"/>
        <v>0</v>
      </c>
      <c r="AL89" s="287">
        <f t="shared" si="38"/>
        <v>0</v>
      </c>
      <c r="AM89" s="287">
        <f t="shared" si="38"/>
        <v>0</v>
      </c>
      <c r="AN89" s="287">
        <f t="shared" si="38"/>
        <v>0</v>
      </c>
      <c r="AO89" s="287">
        <f t="shared" si="38"/>
        <v>0</v>
      </c>
      <c r="AP89" s="287">
        <f t="shared" si="38"/>
        <v>0</v>
      </c>
      <c r="AQ89" s="287">
        <f t="shared" si="38"/>
        <v>0</v>
      </c>
      <c r="AR89" s="287">
        <f t="shared" si="38"/>
        <v>0</v>
      </c>
      <c r="AS89" s="287">
        <f t="shared" si="38"/>
        <v>0</v>
      </c>
      <c r="AT89" s="287">
        <f t="shared" si="38"/>
        <v>0</v>
      </c>
      <c r="AU89" s="287">
        <f t="shared" si="38"/>
        <v>0</v>
      </c>
      <c r="AV89" s="287">
        <f t="shared" si="38"/>
        <v>0</v>
      </c>
      <c r="AW89" s="287">
        <f t="shared" si="38"/>
        <v>0</v>
      </c>
      <c r="AX89" s="287">
        <f t="shared" si="38"/>
        <v>0</v>
      </c>
      <c r="AY89" s="287">
        <f t="shared" si="38"/>
        <v>0</v>
      </c>
      <c r="AZ89" s="287">
        <f t="shared" si="38"/>
        <v>0</v>
      </c>
      <c r="BA89" s="287">
        <f t="shared" si="38"/>
        <v>0</v>
      </c>
      <c r="BB89" s="287">
        <f t="shared" si="38"/>
        <v>0</v>
      </c>
      <c r="BC89" s="287">
        <f t="shared" si="38"/>
        <v>0</v>
      </c>
      <c r="BD89" s="287">
        <f t="shared" si="38"/>
        <v>0</v>
      </c>
      <c r="BE89" s="287">
        <f t="shared" si="38"/>
        <v>0</v>
      </c>
      <c r="BF89" s="287">
        <f t="shared" si="38"/>
        <v>0</v>
      </c>
      <c r="BG89" s="287">
        <f t="shared" si="38"/>
        <v>0</v>
      </c>
      <c r="BH89" s="287">
        <f t="shared" si="38"/>
        <v>0</v>
      </c>
      <c r="BI89" s="287">
        <f t="shared" si="38"/>
        <v>0</v>
      </c>
      <c r="BJ89" s="287">
        <f t="shared" si="38"/>
        <v>0</v>
      </c>
      <c r="BK89" s="287">
        <f t="shared" si="38"/>
        <v>0</v>
      </c>
      <c r="BL89" s="287">
        <f t="shared" si="38"/>
        <v>0</v>
      </c>
      <c r="BM89" s="287">
        <f t="shared" si="38"/>
        <v>0</v>
      </c>
      <c r="BN89" s="287">
        <f t="shared" si="38"/>
        <v>0</v>
      </c>
      <c r="BO89" s="287">
        <f t="shared" si="38"/>
        <v>0</v>
      </c>
      <c r="BP89" s="287">
        <f t="shared" si="38"/>
        <v>0</v>
      </c>
      <c r="BQ89" s="287">
        <f t="shared" si="38"/>
        <v>0</v>
      </c>
      <c r="BR89" s="287">
        <f t="shared" si="38"/>
        <v>0</v>
      </c>
      <c r="BS89" s="287">
        <f t="shared" si="38"/>
        <v>0</v>
      </c>
      <c r="BT89" s="287">
        <f t="shared" si="38"/>
        <v>0</v>
      </c>
      <c r="BU89" s="287">
        <f t="shared" si="38"/>
        <v>0</v>
      </c>
      <c r="BV89" s="287">
        <f t="shared" si="38"/>
        <v>0</v>
      </c>
      <c r="BW89" s="287">
        <f t="shared" si="38"/>
        <v>0</v>
      </c>
      <c r="BX89" s="287">
        <f t="shared" si="38"/>
        <v>0</v>
      </c>
      <c r="BY89" s="637" t="e">
        <f>SUM(BZ18:BZ61)</f>
        <v>#REF!</v>
      </c>
      <c r="BZ89" s="624"/>
      <c r="CA89" s="265"/>
      <c r="CB89" s="265"/>
      <c r="CC89" s="265"/>
    </row>
    <row r="90" spans="2:81" outlineLevel="1">
      <c r="B90" s="629"/>
      <c r="C90" s="290" t="s">
        <v>332</v>
      </c>
      <c r="D90" s="291" t="s">
        <v>262</v>
      </c>
      <c r="E90" s="292"/>
      <c r="F90" s="292"/>
      <c r="G90" s="292"/>
      <c r="H90" s="292"/>
      <c r="I90" s="292"/>
      <c r="J90" s="292"/>
      <c r="K90" s="292"/>
      <c r="L90" s="292"/>
      <c r="M90" s="292"/>
      <c r="N90" s="292"/>
      <c r="O90" s="292"/>
      <c r="P90" s="292"/>
      <c r="Q90" s="292"/>
      <c r="R90" s="292"/>
      <c r="S90" s="292"/>
      <c r="T90" s="292"/>
      <c r="U90" s="292"/>
      <c r="V90" s="292"/>
      <c r="W90" s="292"/>
      <c r="X90" s="292"/>
      <c r="Y90" s="292"/>
      <c r="Z90" s="292"/>
      <c r="AA90" s="292"/>
      <c r="AB90" s="292"/>
      <c r="AC90" s="292">
        <f t="shared" ref="AC90:AC91" si="39">-BY5</f>
        <v>0</v>
      </c>
      <c r="AD90" s="292"/>
      <c r="AE90" s="292"/>
      <c r="AF90" s="292"/>
      <c r="AG90" s="292"/>
      <c r="AH90" s="292"/>
      <c r="AI90" s="292"/>
      <c r="AJ90" s="292"/>
      <c r="AK90" s="292"/>
      <c r="AL90" s="292"/>
      <c r="AM90" s="292"/>
      <c r="AN90" s="292"/>
      <c r="AO90" s="292"/>
      <c r="AP90" s="292"/>
      <c r="AQ90" s="292"/>
      <c r="AR90" s="292"/>
      <c r="AS90" s="292"/>
      <c r="AT90" s="292"/>
      <c r="AU90" s="292"/>
      <c r="AV90" s="292"/>
      <c r="AW90" s="292"/>
      <c r="AX90" s="292"/>
      <c r="AY90" s="292"/>
      <c r="AZ90" s="292"/>
      <c r="BA90" s="292"/>
      <c r="BB90" s="292"/>
      <c r="BC90" s="314"/>
      <c r="BD90" s="292"/>
      <c r="BE90" s="292"/>
      <c r="BF90" s="292"/>
      <c r="BG90" s="292"/>
      <c r="BH90" s="292"/>
      <c r="BI90" s="292"/>
      <c r="BJ90" s="292"/>
      <c r="BK90" s="292"/>
      <c r="BL90" s="292"/>
      <c r="BM90" s="292"/>
      <c r="BN90" s="292"/>
      <c r="BO90" s="292"/>
      <c r="BP90" s="292"/>
      <c r="BQ90" s="292"/>
      <c r="BR90" s="292"/>
      <c r="BS90" s="292"/>
      <c r="BT90" s="292"/>
      <c r="BU90" s="292"/>
      <c r="BV90" s="292"/>
      <c r="BW90" s="292"/>
      <c r="BX90" s="297"/>
      <c r="BY90" s="321">
        <f t="shared" ref="BY90:BY96" si="40">SUM(E90:BX90)</f>
        <v>0</v>
      </c>
      <c r="BZ90" s="638">
        <f>SUM(BY90:BY96)</f>
        <v>-133900000</v>
      </c>
      <c r="CA90" s="265"/>
      <c r="CB90" s="265"/>
      <c r="CC90" s="265"/>
    </row>
    <row r="91" spans="2:81" outlineLevel="1">
      <c r="B91" s="629"/>
      <c r="C91" s="290" t="s">
        <v>333</v>
      </c>
      <c r="D91" s="291" t="s">
        <v>262</v>
      </c>
      <c r="E91" s="292"/>
      <c r="F91" s="292"/>
      <c r="G91" s="292"/>
      <c r="H91" s="292"/>
      <c r="I91" s="292"/>
      <c r="J91" s="292"/>
      <c r="K91" s="292"/>
      <c r="L91" s="292"/>
      <c r="M91" s="292"/>
      <c r="N91" s="292"/>
      <c r="O91" s="292"/>
      <c r="P91" s="292"/>
      <c r="Q91" s="292"/>
      <c r="R91" s="292"/>
      <c r="S91" s="292"/>
      <c r="T91" s="292"/>
      <c r="U91" s="292"/>
      <c r="V91" s="292"/>
      <c r="W91" s="292"/>
      <c r="X91" s="292"/>
      <c r="Y91" s="292"/>
      <c r="Z91" s="292"/>
      <c r="AA91" s="292"/>
      <c r="AB91" s="292"/>
      <c r="AC91" s="292">
        <f t="shared" si="39"/>
        <v>-19900000</v>
      </c>
      <c r="AD91" s="292"/>
      <c r="AE91" s="292"/>
      <c r="AF91" s="292"/>
      <c r="AG91" s="292"/>
      <c r="AH91" s="292"/>
      <c r="AI91" s="292"/>
      <c r="AJ91" s="292"/>
      <c r="AK91" s="292"/>
      <c r="AL91" s="292"/>
      <c r="AM91" s="292"/>
      <c r="AN91" s="292"/>
      <c r="AO91" s="292"/>
      <c r="AP91" s="292"/>
      <c r="AQ91" s="292"/>
      <c r="AR91" s="292"/>
      <c r="AS91" s="292"/>
      <c r="AT91" s="292"/>
      <c r="AU91" s="292"/>
      <c r="AV91" s="292"/>
      <c r="AW91" s="292"/>
      <c r="AX91" s="292"/>
      <c r="AY91" s="292"/>
      <c r="AZ91" s="292"/>
      <c r="BA91" s="292"/>
      <c r="BB91" s="292"/>
      <c r="BC91" s="292"/>
      <c r="BD91" s="292"/>
      <c r="BE91" s="292"/>
      <c r="BF91" s="292"/>
      <c r="BG91" s="292"/>
      <c r="BH91" s="292"/>
      <c r="BI91" s="292"/>
      <c r="BJ91" s="292"/>
      <c r="BK91" s="292"/>
      <c r="BL91" s="292"/>
      <c r="BM91" s="292"/>
      <c r="BN91" s="292"/>
      <c r="BO91" s="292"/>
      <c r="BP91" s="292"/>
      <c r="BQ91" s="292"/>
      <c r="BR91" s="292"/>
      <c r="BS91" s="292"/>
      <c r="BT91" s="292"/>
      <c r="BU91" s="292"/>
      <c r="BV91" s="292"/>
      <c r="BW91" s="292"/>
      <c r="BX91" s="297"/>
      <c r="BY91" s="315">
        <f t="shared" si="40"/>
        <v>-19900000</v>
      </c>
      <c r="BZ91" s="631"/>
      <c r="CA91" s="265"/>
      <c r="CB91" s="265"/>
      <c r="CC91" s="265"/>
    </row>
    <row r="92" spans="2:81" outlineLevel="1">
      <c r="B92" s="629"/>
      <c r="C92" s="290" t="s">
        <v>334</v>
      </c>
      <c r="D92" s="291" t="s">
        <v>262</v>
      </c>
      <c r="E92" s="292"/>
      <c r="F92" s="292"/>
      <c r="G92" s="292"/>
      <c r="H92" s="292"/>
      <c r="I92" s="292"/>
      <c r="J92" s="292"/>
      <c r="K92" s="292"/>
      <c r="L92" s="292"/>
      <c r="M92" s="292"/>
      <c r="N92" s="292"/>
      <c r="O92" s="292"/>
      <c r="P92" s="292"/>
      <c r="Q92" s="292"/>
      <c r="R92" s="292"/>
      <c r="S92" s="292"/>
      <c r="T92" s="292"/>
      <c r="U92" s="292"/>
      <c r="V92" s="292"/>
      <c r="W92" s="292"/>
      <c r="X92" s="292"/>
      <c r="Y92" s="292"/>
      <c r="Z92" s="292"/>
      <c r="AA92" s="292"/>
      <c r="AB92" s="292"/>
      <c r="AC92" s="292"/>
      <c r="AD92" s="292"/>
      <c r="AE92" s="292"/>
      <c r="AF92" s="292"/>
      <c r="AG92" s="292"/>
      <c r="AH92" s="292"/>
      <c r="AI92" s="292"/>
      <c r="AJ92" s="292"/>
      <c r="AK92" s="292"/>
      <c r="AL92" s="292"/>
      <c r="AM92" s="292"/>
      <c r="AN92" s="292"/>
      <c r="AO92" s="292"/>
      <c r="AP92" s="292"/>
      <c r="AQ92" s="292"/>
      <c r="AR92" s="292"/>
      <c r="AS92" s="292"/>
      <c r="AT92" s="292"/>
      <c r="AU92" s="292"/>
      <c r="AV92" s="292"/>
      <c r="AW92" s="292"/>
      <c r="AX92" s="292"/>
      <c r="AY92" s="292"/>
      <c r="AZ92" s="292"/>
      <c r="BA92" s="292"/>
      <c r="BB92" s="292"/>
      <c r="BC92" s="292"/>
      <c r="BD92" s="292"/>
      <c r="BE92" s="292"/>
      <c r="BF92" s="292"/>
      <c r="BG92" s="292"/>
      <c r="BH92" s="292"/>
      <c r="BI92" s="292"/>
      <c r="BJ92" s="292"/>
      <c r="BK92" s="292"/>
      <c r="BL92" s="292"/>
      <c r="BM92" s="292"/>
      <c r="BN92" s="292"/>
      <c r="BO92" s="292"/>
      <c r="BP92" s="292"/>
      <c r="BQ92" s="292"/>
      <c r="BR92" s="292"/>
      <c r="BS92" s="292"/>
      <c r="BT92" s="292"/>
      <c r="BU92" s="292"/>
      <c r="BV92" s="292"/>
      <c r="BW92" s="292"/>
      <c r="BX92" s="297"/>
      <c r="BY92" s="315">
        <f t="shared" si="40"/>
        <v>0</v>
      </c>
      <c r="BZ92" s="631"/>
      <c r="CA92" s="265"/>
      <c r="CB92" s="265"/>
      <c r="CC92" s="265"/>
    </row>
    <row r="93" spans="2:81" outlineLevel="1">
      <c r="B93" s="629"/>
      <c r="C93" s="290" t="s">
        <v>335</v>
      </c>
      <c r="D93" s="291" t="s">
        <v>262</v>
      </c>
      <c r="E93" s="292"/>
      <c r="F93" s="292"/>
      <c r="G93" s="292"/>
      <c r="H93" s="292"/>
      <c r="I93" s="292"/>
      <c r="J93" s="292"/>
      <c r="K93" s="292"/>
      <c r="L93" s="292"/>
      <c r="M93" s="292"/>
      <c r="N93" s="292"/>
      <c r="O93" s="292"/>
      <c r="P93" s="292"/>
      <c r="Q93" s="292"/>
      <c r="R93" s="292"/>
      <c r="S93" s="292"/>
      <c r="T93" s="292"/>
      <c r="U93" s="292"/>
      <c r="V93" s="292"/>
      <c r="W93" s="292"/>
      <c r="X93" s="292"/>
      <c r="Y93" s="292"/>
      <c r="Z93" s="292"/>
      <c r="AA93" s="292"/>
      <c r="AB93" s="292"/>
      <c r="AC93" s="292"/>
      <c r="AD93" s="292"/>
      <c r="AE93" s="292"/>
      <c r="AF93" s="292"/>
      <c r="AG93" s="292"/>
      <c r="AH93" s="292"/>
      <c r="AI93" s="292"/>
      <c r="AJ93" s="292"/>
      <c r="AK93" s="292"/>
      <c r="AL93" s="292"/>
      <c r="AM93" s="292"/>
      <c r="AN93" s="292"/>
      <c r="AO93" s="292"/>
      <c r="AP93" s="292"/>
      <c r="AQ93" s="292"/>
      <c r="AR93" s="292"/>
      <c r="AS93" s="292"/>
      <c r="AT93" s="292"/>
      <c r="AU93" s="292"/>
      <c r="AV93" s="292"/>
      <c r="AW93" s="292"/>
      <c r="AX93" s="292"/>
      <c r="AY93" s="292"/>
      <c r="AZ93" s="292"/>
      <c r="BA93" s="292"/>
      <c r="BB93" s="292"/>
      <c r="BC93" s="292"/>
      <c r="BD93" s="292"/>
      <c r="BE93" s="292"/>
      <c r="BF93" s="292"/>
      <c r="BG93" s="292"/>
      <c r="BH93" s="292"/>
      <c r="BI93" s="292"/>
      <c r="BJ93" s="292"/>
      <c r="BK93" s="292"/>
      <c r="BL93" s="292"/>
      <c r="BM93" s="292"/>
      <c r="BN93" s="292"/>
      <c r="BO93" s="292"/>
      <c r="BP93" s="292"/>
      <c r="BQ93" s="292"/>
      <c r="BR93" s="292"/>
      <c r="BS93" s="292"/>
      <c r="BT93" s="292"/>
      <c r="BU93" s="292"/>
      <c r="BV93" s="292"/>
      <c r="BW93" s="292"/>
      <c r="BX93" s="297"/>
      <c r="BY93" s="315">
        <f t="shared" si="40"/>
        <v>0</v>
      </c>
      <c r="BZ93" s="631"/>
      <c r="CA93" s="265"/>
      <c r="CB93" s="265"/>
      <c r="CC93" s="265"/>
    </row>
    <row r="94" spans="2:81" outlineLevel="1">
      <c r="B94" s="629"/>
      <c r="C94" s="290" t="s">
        <v>336</v>
      </c>
      <c r="D94" s="291" t="s">
        <v>262</v>
      </c>
      <c r="E94" s="292"/>
      <c r="F94" s="292"/>
      <c r="G94" s="292"/>
      <c r="H94" s="292"/>
      <c r="I94" s="292"/>
      <c r="J94" s="292"/>
      <c r="K94" s="292"/>
      <c r="L94" s="292"/>
      <c r="M94" s="292"/>
      <c r="N94" s="292"/>
      <c r="O94" s="292"/>
      <c r="P94" s="292"/>
      <c r="Q94" s="292"/>
      <c r="R94" s="292"/>
      <c r="S94" s="292"/>
      <c r="T94" s="292"/>
      <c r="U94" s="292"/>
      <c r="V94" s="292"/>
      <c r="W94" s="292"/>
      <c r="X94" s="292"/>
      <c r="Y94" s="292"/>
      <c r="Z94" s="292"/>
      <c r="AA94" s="292"/>
      <c r="AB94" s="292"/>
      <c r="AC94" s="292"/>
      <c r="AD94" s="292"/>
      <c r="AE94" s="292"/>
      <c r="AF94" s="292"/>
      <c r="AG94" s="292"/>
      <c r="AH94" s="292"/>
      <c r="AI94" s="292"/>
      <c r="AJ94" s="292"/>
      <c r="AK94" s="292"/>
      <c r="AL94" s="292"/>
      <c r="AM94" s="292"/>
      <c r="AN94" s="292"/>
      <c r="AO94" s="292"/>
      <c r="AP94" s="292"/>
      <c r="AQ94" s="292"/>
      <c r="AR94" s="292"/>
      <c r="AS94" s="292"/>
      <c r="AT94" s="292"/>
      <c r="AU94" s="292"/>
      <c r="AV94" s="292"/>
      <c r="AW94" s="292"/>
      <c r="AX94" s="292"/>
      <c r="AY94" s="292"/>
      <c r="AZ94" s="292"/>
      <c r="BA94" s="292"/>
      <c r="BB94" s="292"/>
      <c r="BC94" s="314"/>
      <c r="BD94" s="292"/>
      <c r="BE94" s="292"/>
      <c r="BF94" s="292"/>
      <c r="BG94" s="292"/>
      <c r="BH94" s="292"/>
      <c r="BI94" s="292"/>
      <c r="BJ94" s="292"/>
      <c r="BK94" s="292"/>
      <c r="BL94" s="292"/>
      <c r="BM94" s="292"/>
      <c r="BN94" s="292"/>
      <c r="BO94" s="292"/>
      <c r="BP94" s="292"/>
      <c r="BQ94" s="292"/>
      <c r="BR94" s="292"/>
      <c r="BS94" s="292"/>
      <c r="BT94" s="292"/>
      <c r="BU94" s="292"/>
      <c r="BV94" s="292"/>
      <c r="BW94" s="292"/>
      <c r="BX94" s="297"/>
      <c r="BY94" s="315">
        <f t="shared" si="40"/>
        <v>0</v>
      </c>
      <c r="BZ94" s="631"/>
      <c r="CA94" s="265"/>
      <c r="CB94" s="265"/>
      <c r="CC94" s="265"/>
    </row>
    <row r="95" spans="2:81" outlineLevel="1">
      <c r="B95" s="629"/>
      <c r="C95" s="290" t="s">
        <v>337</v>
      </c>
      <c r="D95" s="291" t="s">
        <v>262</v>
      </c>
      <c r="E95" s="292"/>
      <c r="F95" s="292"/>
      <c r="G95" s="292"/>
      <c r="H95" s="292"/>
      <c r="I95" s="292"/>
      <c r="J95" s="292"/>
      <c r="K95" s="292"/>
      <c r="L95" s="292"/>
      <c r="M95" s="292"/>
      <c r="N95" s="292"/>
      <c r="O95" s="292"/>
      <c r="P95" s="292"/>
      <c r="Q95" s="292"/>
      <c r="R95" s="292"/>
      <c r="S95" s="292"/>
      <c r="T95" s="292"/>
      <c r="U95" s="292"/>
      <c r="V95" s="292"/>
      <c r="W95" s="292"/>
      <c r="X95" s="292"/>
      <c r="Y95" s="292"/>
      <c r="Z95" s="292"/>
      <c r="AA95" s="292"/>
      <c r="AB95" s="292"/>
      <c r="AC95" s="292"/>
      <c r="AD95" s="292"/>
      <c r="AE95" s="292"/>
      <c r="AF95" s="292"/>
      <c r="AG95" s="292"/>
      <c r="AH95" s="292"/>
      <c r="AI95" s="292"/>
      <c r="AJ95" s="292"/>
      <c r="AK95" s="292"/>
      <c r="AL95" s="292"/>
      <c r="AM95" s="292"/>
      <c r="AN95" s="292"/>
      <c r="AO95" s="292"/>
      <c r="AP95" s="292"/>
      <c r="AQ95" s="292"/>
      <c r="AR95" s="292"/>
      <c r="AS95" s="292"/>
      <c r="AT95" s="292"/>
      <c r="AU95" s="292"/>
      <c r="AV95" s="292"/>
      <c r="AW95" s="292"/>
      <c r="AX95" s="292"/>
      <c r="AY95" s="292"/>
      <c r="AZ95" s="292"/>
      <c r="BA95" s="292"/>
      <c r="BB95" s="292"/>
      <c r="BC95" s="314"/>
      <c r="BD95" s="292"/>
      <c r="BE95" s="292"/>
      <c r="BF95" s="292"/>
      <c r="BG95" s="292"/>
      <c r="BH95" s="292"/>
      <c r="BI95" s="292"/>
      <c r="BJ95" s="292"/>
      <c r="BK95" s="292"/>
      <c r="BL95" s="292"/>
      <c r="BM95" s="292"/>
      <c r="BN95" s="292"/>
      <c r="BO95" s="292"/>
      <c r="BP95" s="292"/>
      <c r="BQ95" s="292"/>
      <c r="BR95" s="292"/>
      <c r="BS95" s="292"/>
      <c r="BT95" s="292"/>
      <c r="BU95" s="292"/>
      <c r="BV95" s="292"/>
      <c r="BW95" s="292"/>
      <c r="BX95" s="297"/>
      <c r="BY95" s="324">
        <f t="shared" si="40"/>
        <v>0</v>
      </c>
      <c r="BZ95" s="631"/>
      <c r="CA95" s="265"/>
      <c r="CB95" s="265"/>
      <c r="CC95" s="265"/>
    </row>
    <row r="96" spans="2:81" outlineLevel="1">
      <c r="B96" s="627"/>
      <c r="C96" s="507" t="s">
        <v>338</v>
      </c>
      <c r="D96" s="509" t="s">
        <v>262</v>
      </c>
      <c r="E96" s="310"/>
      <c r="F96" s="310"/>
      <c r="G96" s="310"/>
      <c r="H96" s="310"/>
      <c r="I96" s="310"/>
      <c r="J96" s="310"/>
      <c r="K96" s="310"/>
      <c r="L96" s="310"/>
      <c r="M96" s="310"/>
      <c r="N96" s="310"/>
      <c r="O96" s="310"/>
      <c r="P96" s="310"/>
      <c r="Q96" s="310"/>
      <c r="R96" s="310"/>
      <c r="S96" s="310"/>
      <c r="T96" s="310"/>
      <c r="U96" s="310"/>
      <c r="V96" s="310"/>
      <c r="W96" s="310"/>
      <c r="X96" s="310"/>
      <c r="Y96" s="310"/>
      <c r="Z96" s="310"/>
      <c r="AA96" s="310"/>
      <c r="AB96" s="310"/>
      <c r="AC96" s="310">
        <f>-BY11</f>
        <v>-114000000</v>
      </c>
      <c r="AD96" s="310"/>
      <c r="AE96" s="310"/>
      <c r="AF96" s="310"/>
      <c r="AG96" s="310"/>
      <c r="AH96" s="310"/>
      <c r="AI96" s="310"/>
      <c r="AJ96" s="310"/>
      <c r="AK96" s="310"/>
      <c r="AL96" s="310"/>
      <c r="AM96" s="310"/>
      <c r="AN96" s="310"/>
      <c r="AO96" s="310"/>
      <c r="AP96" s="310"/>
      <c r="AQ96" s="310"/>
      <c r="AR96" s="310"/>
      <c r="AS96" s="310"/>
      <c r="AT96" s="310"/>
      <c r="AU96" s="310"/>
      <c r="AV96" s="310"/>
      <c r="AW96" s="310"/>
      <c r="AX96" s="310"/>
      <c r="AY96" s="310"/>
      <c r="AZ96" s="310"/>
      <c r="BA96" s="310"/>
      <c r="BB96" s="310"/>
      <c r="BC96" s="310"/>
      <c r="BD96" s="310"/>
      <c r="BE96" s="310"/>
      <c r="BF96" s="310"/>
      <c r="BG96" s="310"/>
      <c r="BH96" s="310"/>
      <c r="BI96" s="310"/>
      <c r="BJ96" s="310"/>
      <c r="BK96" s="310"/>
      <c r="BL96" s="310"/>
      <c r="BM96" s="310"/>
      <c r="BN96" s="310"/>
      <c r="BO96" s="310"/>
      <c r="BP96" s="310"/>
      <c r="BQ96" s="310"/>
      <c r="BR96" s="310"/>
      <c r="BS96" s="310"/>
      <c r="BT96" s="310"/>
      <c r="BU96" s="310"/>
      <c r="BV96" s="310"/>
      <c r="BW96" s="310"/>
      <c r="BX96" s="311"/>
      <c r="BY96" s="301">
        <f t="shared" si="40"/>
        <v>-114000000</v>
      </c>
      <c r="BZ96" s="632"/>
      <c r="CA96" s="265"/>
      <c r="CB96" s="265"/>
      <c r="CC96" s="265"/>
    </row>
    <row r="97" spans="2:81" ht="16">
      <c r="B97" s="625" t="s">
        <v>339</v>
      </c>
      <c r="C97" s="618"/>
      <c r="D97" s="510" t="s">
        <v>262</v>
      </c>
      <c r="E97" s="325">
        <f t="shared" ref="E97:BX97" si="41">(E18+E24+E27+E35+E38+E48+E54+E62+E86+E89)</f>
        <v>0</v>
      </c>
      <c r="F97" s="325">
        <f t="shared" si="41"/>
        <v>0</v>
      </c>
      <c r="G97" s="325">
        <f t="shared" si="41"/>
        <v>0</v>
      </c>
      <c r="H97" s="325">
        <f t="shared" si="41"/>
        <v>0</v>
      </c>
      <c r="I97" s="325">
        <f t="shared" si="41"/>
        <v>0</v>
      </c>
      <c r="J97" s="325">
        <f t="shared" si="41"/>
        <v>0</v>
      </c>
      <c r="K97" s="325">
        <f t="shared" si="41"/>
        <v>0</v>
      </c>
      <c r="L97" s="325">
        <f t="shared" si="41"/>
        <v>0</v>
      </c>
      <c r="M97" s="325">
        <f t="shared" si="41"/>
        <v>0</v>
      </c>
      <c r="N97" s="325">
        <f t="shared" si="41"/>
        <v>0</v>
      </c>
      <c r="O97" s="325">
        <f t="shared" si="41"/>
        <v>0</v>
      </c>
      <c r="P97" s="325">
        <f t="shared" si="41"/>
        <v>0</v>
      </c>
      <c r="Q97" s="325">
        <f t="shared" si="41"/>
        <v>0</v>
      </c>
      <c r="R97" s="325">
        <f t="shared" si="41"/>
        <v>0</v>
      </c>
      <c r="S97" s="325" t="e">
        <f t="shared" si="41"/>
        <v>#REF!</v>
      </c>
      <c r="T97" s="325" t="e">
        <f t="shared" si="41"/>
        <v>#REF!</v>
      </c>
      <c r="U97" s="325" t="e">
        <f t="shared" si="41"/>
        <v>#REF!</v>
      </c>
      <c r="V97" s="325" t="e">
        <f t="shared" si="41"/>
        <v>#REF!</v>
      </c>
      <c r="W97" s="325" t="e">
        <f t="shared" si="41"/>
        <v>#REF!</v>
      </c>
      <c r="X97" s="325" t="e">
        <f t="shared" si="41"/>
        <v>#REF!</v>
      </c>
      <c r="Y97" s="325" t="e">
        <f t="shared" si="41"/>
        <v>#REF!</v>
      </c>
      <c r="Z97" s="325" t="e">
        <f t="shared" si="41"/>
        <v>#REF!</v>
      </c>
      <c r="AA97" s="325" t="e">
        <f t="shared" si="41"/>
        <v>#REF!</v>
      </c>
      <c r="AB97" s="325" t="e">
        <f t="shared" si="41"/>
        <v>#REF!</v>
      </c>
      <c r="AC97" s="325">
        <f t="shared" si="41"/>
        <v>-148065197.66121718</v>
      </c>
      <c r="AD97" s="325">
        <f t="shared" si="41"/>
        <v>-10874444.444444444</v>
      </c>
      <c r="AE97" s="325">
        <f t="shared" si="41"/>
        <v>-10874444.444444444</v>
      </c>
      <c r="AF97" s="325">
        <f t="shared" si="41"/>
        <v>0</v>
      </c>
      <c r="AG97" s="325">
        <f t="shared" si="41"/>
        <v>0</v>
      </c>
      <c r="AH97" s="325">
        <f t="shared" si="41"/>
        <v>0</v>
      </c>
      <c r="AI97" s="325">
        <f t="shared" si="41"/>
        <v>0</v>
      </c>
      <c r="AJ97" s="325">
        <f t="shared" si="41"/>
        <v>0</v>
      </c>
      <c r="AK97" s="325">
        <f t="shared" si="41"/>
        <v>0</v>
      </c>
      <c r="AL97" s="325">
        <f t="shared" si="41"/>
        <v>0</v>
      </c>
      <c r="AM97" s="325">
        <f t="shared" si="41"/>
        <v>0</v>
      </c>
      <c r="AN97" s="325">
        <f t="shared" si="41"/>
        <v>0</v>
      </c>
      <c r="AO97" s="325">
        <f t="shared" si="41"/>
        <v>0</v>
      </c>
      <c r="AP97" s="325">
        <f t="shared" si="41"/>
        <v>0</v>
      </c>
      <c r="AQ97" s="325">
        <f t="shared" si="41"/>
        <v>0</v>
      </c>
      <c r="AR97" s="325">
        <f t="shared" si="41"/>
        <v>0</v>
      </c>
      <c r="AS97" s="325">
        <f t="shared" si="41"/>
        <v>0</v>
      </c>
      <c r="AT97" s="325">
        <f t="shared" si="41"/>
        <v>0</v>
      </c>
      <c r="AU97" s="325">
        <f t="shared" si="41"/>
        <v>0</v>
      </c>
      <c r="AV97" s="325">
        <f t="shared" si="41"/>
        <v>0</v>
      </c>
      <c r="AW97" s="325">
        <f t="shared" si="41"/>
        <v>0</v>
      </c>
      <c r="AX97" s="325">
        <f t="shared" si="41"/>
        <v>0</v>
      </c>
      <c r="AY97" s="325">
        <f t="shared" si="41"/>
        <v>0</v>
      </c>
      <c r="AZ97" s="325">
        <f t="shared" si="41"/>
        <v>0</v>
      </c>
      <c r="BA97" s="325">
        <f t="shared" si="41"/>
        <v>0</v>
      </c>
      <c r="BB97" s="325">
        <f t="shared" si="41"/>
        <v>0</v>
      </c>
      <c r="BC97" s="325">
        <f t="shared" si="41"/>
        <v>0</v>
      </c>
      <c r="BD97" s="325">
        <f t="shared" si="41"/>
        <v>0</v>
      </c>
      <c r="BE97" s="325">
        <f t="shared" si="41"/>
        <v>0</v>
      </c>
      <c r="BF97" s="325">
        <f t="shared" si="41"/>
        <v>0</v>
      </c>
      <c r="BG97" s="325">
        <f t="shared" si="41"/>
        <v>0</v>
      </c>
      <c r="BH97" s="325">
        <f t="shared" si="41"/>
        <v>0</v>
      </c>
      <c r="BI97" s="325">
        <f t="shared" si="41"/>
        <v>0</v>
      </c>
      <c r="BJ97" s="325">
        <f t="shared" si="41"/>
        <v>0</v>
      </c>
      <c r="BK97" s="325">
        <f t="shared" si="41"/>
        <v>0</v>
      </c>
      <c r="BL97" s="325">
        <f t="shared" si="41"/>
        <v>0</v>
      </c>
      <c r="BM97" s="325">
        <f t="shared" si="41"/>
        <v>0</v>
      </c>
      <c r="BN97" s="325">
        <f t="shared" si="41"/>
        <v>0</v>
      </c>
      <c r="BO97" s="325">
        <f t="shared" si="41"/>
        <v>0</v>
      </c>
      <c r="BP97" s="325">
        <f t="shared" si="41"/>
        <v>0</v>
      </c>
      <c r="BQ97" s="325">
        <f t="shared" si="41"/>
        <v>0</v>
      </c>
      <c r="BR97" s="325">
        <f t="shared" si="41"/>
        <v>0</v>
      </c>
      <c r="BS97" s="325">
        <f t="shared" si="41"/>
        <v>0</v>
      </c>
      <c r="BT97" s="325">
        <f t="shared" si="41"/>
        <v>0</v>
      </c>
      <c r="BU97" s="325">
        <f t="shared" si="41"/>
        <v>0</v>
      </c>
      <c r="BV97" s="325">
        <f t="shared" si="41"/>
        <v>0</v>
      </c>
      <c r="BW97" s="325">
        <f t="shared" si="41"/>
        <v>0</v>
      </c>
      <c r="BX97" s="325">
        <f t="shared" si="41"/>
        <v>0</v>
      </c>
      <c r="BY97" s="626">
        <f>BZ90</f>
        <v>-133900000</v>
      </c>
      <c r="BZ97" s="627"/>
      <c r="CA97" s="265"/>
      <c r="CB97" s="265"/>
      <c r="CC97" s="265"/>
    </row>
    <row r="98" spans="2:81" ht="16">
      <c r="B98" s="617" t="s">
        <v>340</v>
      </c>
      <c r="C98" s="618"/>
      <c r="D98" s="326"/>
      <c r="E98" s="327">
        <f t="shared" ref="E98:BX98" si="42">E17+E97</f>
        <v>0</v>
      </c>
      <c r="F98" s="327">
        <f t="shared" si="42"/>
        <v>0</v>
      </c>
      <c r="G98" s="327">
        <f t="shared" si="42"/>
        <v>0</v>
      </c>
      <c r="H98" s="327">
        <f t="shared" si="42"/>
        <v>0</v>
      </c>
      <c r="I98" s="327">
        <f t="shared" si="42"/>
        <v>0</v>
      </c>
      <c r="J98" s="327">
        <f t="shared" si="42"/>
        <v>0</v>
      </c>
      <c r="K98" s="327">
        <f t="shared" si="42"/>
        <v>0</v>
      </c>
      <c r="L98" s="327">
        <f t="shared" si="42"/>
        <v>0</v>
      </c>
      <c r="M98" s="328">
        <f t="shared" si="42"/>
        <v>0</v>
      </c>
      <c r="N98" s="327">
        <f t="shared" si="42"/>
        <v>0</v>
      </c>
      <c r="O98" s="328">
        <f t="shared" si="42"/>
        <v>0</v>
      </c>
      <c r="P98" s="328">
        <f t="shared" si="42"/>
        <v>0</v>
      </c>
      <c r="Q98" s="328">
        <f t="shared" si="42"/>
        <v>0</v>
      </c>
      <c r="R98" s="328">
        <f t="shared" si="42"/>
        <v>0</v>
      </c>
      <c r="S98" s="328" t="e">
        <f t="shared" si="42"/>
        <v>#REF!</v>
      </c>
      <c r="T98" s="328" t="e">
        <f t="shared" si="42"/>
        <v>#REF!</v>
      </c>
      <c r="U98" s="327" t="e">
        <f t="shared" si="42"/>
        <v>#REF!</v>
      </c>
      <c r="V98" s="327" t="e">
        <f t="shared" si="42"/>
        <v>#REF!</v>
      </c>
      <c r="W98" s="327" t="e">
        <f t="shared" si="42"/>
        <v>#REF!</v>
      </c>
      <c r="X98" s="328" t="e">
        <f t="shared" si="42"/>
        <v>#REF!</v>
      </c>
      <c r="Y98" s="328" t="e">
        <f t="shared" si="42"/>
        <v>#REF!</v>
      </c>
      <c r="Z98" s="328" t="e">
        <f t="shared" si="42"/>
        <v>#REF!</v>
      </c>
      <c r="AA98" s="328" t="e">
        <f t="shared" si="42"/>
        <v>#REF!</v>
      </c>
      <c r="AB98" s="328" t="e">
        <f t="shared" si="42"/>
        <v>#REF!</v>
      </c>
      <c r="AC98" s="327" t="e">
        <f t="shared" si="42"/>
        <v>#REF!</v>
      </c>
      <c r="AD98" s="328" t="e">
        <f t="shared" si="42"/>
        <v>#REF!</v>
      </c>
      <c r="AE98" s="328">
        <f t="shared" si="42"/>
        <v>184826377.38256872</v>
      </c>
      <c r="AF98" s="328">
        <f t="shared" si="42"/>
        <v>0</v>
      </c>
      <c r="AG98" s="328">
        <f t="shared" si="42"/>
        <v>0</v>
      </c>
      <c r="AH98" s="328">
        <f t="shared" si="42"/>
        <v>0</v>
      </c>
      <c r="AI98" s="328">
        <f t="shared" si="42"/>
        <v>0</v>
      </c>
      <c r="AJ98" s="328">
        <f t="shared" si="42"/>
        <v>0</v>
      </c>
      <c r="AK98" s="328">
        <f t="shared" si="42"/>
        <v>0</v>
      </c>
      <c r="AL98" s="328">
        <f t="shared" si="42"/>
        <v>0</v>
      </c>
      <c r="AM98" s="328">
        <f t="shared" si="42"/>
        <v>0</v>
      </c>
      <c r="AN98" s="328">
        <f t="shared" si="42"/>
        <v>0</v>
      </c>
      <c r="AO98" s="327">
        <f t="shared" si="42"/>
        <v>0</v>
      </c>
      <c r="AP98" s="328">
        <f t="shared" si="42"/>
        <v>0</v>
      </c>
      <c r="AQ98" s="328">
        <f t="shared" si="42"/>
        <v>0</v>
      </c>
      <c r="AR98" s="328">
        <f t="shared" si="42"/>
        <v>0</v>
      </c>
      <c r="AS98" s="327">
        <f t="shared" si="42"/>
        <v>0</v>
      </c>
      <c r="AT98" s="327">
        <f t="shared" si="42"/>
        <v>0</v>
      </c>
      <c r="AU98" s="327">
        <f t="shared" si="42"/>
        <v>0</v>
      </c>
      <c r="AV98" s="327">
        <f t="shared" si="42"/>
        <v>0</v>
      </c>
      <c r="AW98" s="327">
        <f t="shared" si="42"/>
        <v>0</v>
      </c>
      <c r="AX98" s="327">
        <f t="shared" si="42"/>
        <v>0</v>
      </c>
      <c r="AY98" s="327">
        <f t="shared" si="42"/>
        <v>0</v>
      </c>
      <c r="AZ98" s="327">
        <f t="shared" si="42"/>
        <v>0</v>
      </c>
      <c r="BA98" s="327">
        <f t="shared" si="42"/>
        <v>0</v>
      </c>
      <c r="BB98" s="327">
        <f t="shared" si="42"/>
        <v>0</v>
      </c>
      <c r="BC98" s="327">
        <f t="shared" si="42"/>
        <v>0</v>
      </c>
      <c r="BD98" s="327">
        <f t="shared" si="42"/>
        <v>0</v>
      </c>
      <c r="BE98" s="327">
        <f t="shared" si="42"/>
        <v>0</v>
      </c>
      <c r="BF98" s="327">
        <f t="shared" si="42"/>
        <v>0</v>
      </c>
      <c r="BG98" s="327">
        <f t="shared" si="42"/>
        <v>0</v>
      </c>
      <c r="BH98" s="327">
        <f t="shared" si="42"/>
        <v>0</v>
      </c>
      <c r="BI98" s="327">
        <f t="shared" si="42"/>
        <v>0</v>
      </c>
      <c r="BJ98" s="327">
        <f t="shared" si="42"/>
        <v>0</v>
      </c>
      <c r="BK98" s="327">
        <f t="shared" si="42"/>
        <v>0</v>
      </c>
      <c r="BL98" s="329">
        <f t="shared" si="42"/>
        <v>0</v>
      </c>
      <c r="BM98" s="329">
        <f t="shared" si="42"/>
        <v>0</v>
      </c>
      <c r="BN98" s="329">
        <f t="shared" si="42"/>
        <v>0</v>
      </c>
      <c r="BO98" s="329">
        <f t="shared" si="42"/>
        <v>0</v>
      </c>
      <c r="BP98" s="329">
        <f t="shared" si="42"/>
        <v>0</v>
      </c>
      <c r="BQ98" s="329">
        <f t="shared" si="42"/>
        <v>0</v>
      </c>
      <c r="BR98" s="329">
        <f t="shared" si="42"/>
        <v>0</v>
      </c>
      <c r="BS98" s="329">
        <f t="shared" si="42"/>
        <v>0</v>
      </c>
      <c r="BT98" s="329">
        <f t="shared" si="42"/>
        <v>0</v>
      </c>
      <c r="BU98" s="329">
        <f t="shared" si="42"/>
        <v>0</v>
      </c>
      <c r="BV98" s="329">
        <f t="shared" si="42"/>
        <v>0</v>
      </c>
      <c r="BW98" s="329">
        <f t="shared" si="42"/>
        <v>0</v>
      </c>
      <c r="BX98" s="329">
        <f t="shared" si="42"/>
        <v>0</v>
      </c>
      <c r="BY98" s="619" t="e">
        <f>BY17+BY89+BY97</f>
        <v>#REF!</v>
      </c>
      <c r="BZ98" s="620"/>
      <c r="CA98" s="265"/>
      <c r="CB98" s="265"/>
      <c r="CC98" s="265"/>
    </row>
    <row r="99" spans="2:81">
      <c r="B99" s="621" t="s">
        <v>341</v>
      </c>
      <c r="C99" s="618"/>
      <c r="D99" s="330"/>
      <c r="E99" s="331">
        <f>E98</f>
        <v>0</v>
      </c>
      <c r="F99" s="331">
        <f t="shared" ref="F99:BX99" si="43">F98+E99</f>
        <v>0</v>
      </c>
      <c r="G99" s="331">
        <f t="shared" si="43"/>
        <v>0</v>
      </c>
      <c r="H99" s="331">
        <f t="shared" si="43"/>
        <v>0</v>
      </c>
      <c r="I99" s="331">
        <f t="shared" si="43"/>
        <v>0</v>
      </c>
      <c r="J99" s="331">
        <f t="shared" si="43"/>
        <v>0</v>
      </c>
      <c r="K99" s="331">
        <f t="shared" si="43"/>
        <v>0</v>
      </c>
      <c r="L99" s="331">
        <f t="shared" si="43"/>
        <v>0</v>
      </c>
      <c r="M99" s="331">
        <f t="shared" si="43"/>
        <v>0</v>
      </c>
      <c r="N99" s="331">
        <f t="shared" si="43"/>
        <v>0</v>
      </c>
      <c r="O99" s="331">
        <f t="shared" si="43"/>
        <v>0</v>
      </c>
      <c r="P99" s="331">
        <f t="shared" si="43"/>
        <v>0</v>
      </c>
      <c r="Q99" s="331">
        <f t="shared" si="43"/>
        <v>0</v>
      </c>
      <c r="R99" s="331">
        <f t="shared" si="43"/>
        <v>0</v>
      </c>
      <c r="S99" s="331" t="e">
        <f t="shared" si="43"/>
        <v>#REF!</v>
      </c>
      <c r="T99" s="331" t="e">
        <f t="shared" si="43"/>
        <v>#REF!</v>
      </c>
      <c r="U99" s="331" t="e">
        <f t="shared" si="43"/>
        <v>#REF!</v>
      </c>
      <c r="V99" s="331" t="e">
        <f t="shared" si="43"/>
        <v>#REF!</v>
      </c>
      <c r="W99" s="331" t="e">
        <f t="shared" si="43"/>
        <v>#REF!</v>
      </c>
      <c r="X99" s="331" t="e">
        <f t="shared" si="43"/>
        <v>#REF!</v>
      </c>
      <c r="Y99" s="331" t="e">
        <f t="shared" si="43"/>
        <v>#REF!</v>
      </c>
      <c r="Z99" s="331" t="e">
        <f t="shared" si="43"/>
        <v>#REF!</v>
      </c>
      <c r="AA99" s="331" t="e">
        <f t="shared" si="43"/>
        <v>#REF!</v>
      </c>
      <c r="AB99" s="331" t="e">
        <f t="shared" si="43"/>
        <v>#REF!</v>
      </c>
      <c r="AC99" s="331" t="e">
        <f t="shared" si="43"/>
        <v>#REF!</v>
      </c>
      <c r="AD99" s="331" t="e">
        <f t="shared" si="43"/>
        <v>#REF!</v>
      </c>
      <c r="AE99" s="331" t="e">
        <f t="shared" si="43"/>
        <v>#REF!</v>
      </c>
      <c r="AF99" s="331" t="e">
        <f t="shared" si="43"/>
        <v>#REF!</v>
      </c>
      <c r="AG99" s="331" t="e">
        <f t="shared" si="43"/>
        <v>#REF!</v>
      </c>
      <c r="AH99" s="331" t="e">
        <f t="shared" si="43"/>
        <v>#REF!</v>
      </c>
      <c r="AI99" s="331" t="e">
        <f t="shared" si="43"/>
        <v>#REF!</v>
      </c>
      <c r="AJ99" s="331" t="e">
        <f t="shared" si="43"/>
        <v>#REF!</v>
      </c>
      <c r="AK99" s="331" t="e">
        <f t="shared" si="43"/>
        <v>#REF!</v>
      </c>
      <c r="AL99" s="331" t="e">
        <f t="shared" si="43"/>
        <v>#REF!</v>
      </c>
      <c r="AM99" s="331" t="e">
        <f t="shared" si="43"/>
        <v>#REF!</v>
      </c>
      <c r="AN99" s="331" t="e">
        <f t="shared" si="43"/>
        <v>#REF!</v>
      </c>
      <c r="AO99" s="331" t="e">
        <f t="shared" si="43"/>
        <v>#REF!</v>
      </c>
      <c r="AP99" s="331" t="e">
        <f t="shared" si="43"/>
        <v>#REF!</v>
      </c>
      <c r="AQ99" s="331" t="e">
        <f t="shared" si="43"/>
        <v>#REF!</v>
      </c>
      <c r="AR99" s="331" t="e">
        <f t="shared" si="43"/>
        <v>#REF!</v>
      </c>
      <c r="AS99" s="331" t="e">
        <f t="shared" si="43"/>
        <v>#REF!</v>
      </c>
      <c r="AT99" s="331" t="e">
        <f t="shared" si="43"/>
        <v>#REF!</v>
      </c>
      <c r="AU99" s="331" t="e">
        <f t="shared" si="43"/>
        <v>#REF!</v>
      </c>
      <c r="AV99" s="331" t="e">
        <f t="shared" si="43"/>
        <v>#REF!</v>
      </c>
      <c r="AW99" s="331" t="e">
        <f t="shared" si="43"/>
        <v>#REF!</v>
      </c>
      <c r="AX99" s="331" t="e">
        <f t="shared" si="43"/>
        <v>#REF!</v>
      </c>
      <c r="AY99" s="331" t="e">
        <f t="shared" si="43"/>
        <v>#REF!</v>
      </c>
      <c r="AZ99" s="331" t="e">
        <f t="shared" si="43"/>
        <v>#REF!</v>
      </c>
      <c r="BA99" s="331" t="e">
        <f t="shared" si="43"/>
        <v>#REF!</v>
      </c>
      <c r="BB99" s="331" t="e">
        <f t="shared" si="43"/>
        <v>#REF!</v>
      </c>
      <c r="BC99" s="331" t="e">
        <f t="shared" si="43"/>
        <v>#REF!</v>
      </c>
      <c r="BD99" s="331" t="e">
        <f t="shared" si="43"/>
        <v>#REF!</v>
      </c>
      <c r="BE99" s="331" t="e">
        <f t="shared" si="43"/>
        <v>#REF!</v>
      </c>
      <c r="BF99" s="331" t="e">
        <f t="shared" si="43"/>
        <v>#REF!</v>
      </c>
      <c r="BG99" s="331" t="e">
        <f t="shared" si="43"/>
        <v>#REF!</v>
      </c>
      <c r="BH99" s="331" t="e">
        <f t="shared" si="43"/>
        <v>#REF!</v>
      </c>
      <c r="BI99" s="331" t="e">
        <f t="shared" si="43"/>
        <v>#REF!</v>
      </c>
      <c r="BJ99" s="331" t="e">
        <f t="shared" si="43"/>
        <v>#REF!</v>
      </c>
      <c r="BK99" s="331" t="e">
        <f t="shared" si="43"/>
        <v>#REF!</v>
      </c>
      <c r="BL99" s="331" t="e">
        <f t="shared" si="43"/>
        <v>#REF!</v>
      </c>
      <c r="BM99" s="331" t="e">
        <f t="shared" si="43"/>
        <v>#REF!</v>
      </c>
      <c r="BN99" s="331" t="e">
        <f t="shared" si="43"/>
        <v>#REF!</v>
      </c>
      <c r="BO99" s="331" t="e">
        <f t="shared" si="43"/>
        <v>#REF!</v>
      </c>
      <c r="BP99" s="331" t="e">
        <f t="shared" si="43"/>
        <v>#REF!</v>
      </c>
      <c r="BQ99" s="331" t="e">
        <f t="shared" si="43"/>
        <v>#REF!</v>
      </c>
      <c r="BR99" s="331" t="e">
        <f t="shared" si="43"/>
        <v>#REF!</v>
      </c>
      <c r="BS99" s="331" t="e">
        <f t="shared" si="43"/>
        <v>#REF!</v>
      </c>
      <c r="BT99" s="331" t="e">
        <f t="shared" si="43"/>
        <v>#REF!</v>
      </c>
      <c r="BU99" s="331" t="e">
        <f t="shared" si="43"/>
        <v>#REF!</v>
      </c>
      <c r="BV99" s="331" t="e">
        <f t="shared" si="43"/>
        <v>#REF!</v>
      </c>
      <c r="BW99" s="331" t="e">
        <f t="shared" si="43"/>
        <v>#REF!</v>
      </c>
      <c r="BX99" s="331" t="e">
        <f t="shared" si="43"/>
        <v>#REF!</v>
      </c>
      <c r="BY99" s="265"/>
      <c r="BZ99" s="265"/>
      <c r="CA99" s="265"/>
      <c r="CB99" s="265"/>
      <c r="CC99" s="265"/>
    </row>
    <row r="100" spans="2:81">
      <c r="B100" s="265"/>
      <c r="C100" s="265"/>
      <c r="D100" s="265"/>
      <c r="E100" s="265"/>
      <c r="F100" s="265"/>
      <c r="G100" s="265"/>
      <c r="H100" s="265"/>
      <c r="I100" s="265"/>
      <c r="J100" s="265"/>
      <c r="K100" s="265"/>
      <c r="L100" s="265"/>
      <c r="M100" s="265"/>
      <c r="N100" s="265"/>
      <c r="O100" s="265"/>
      <c r="P100" s="265"/>
      <c r="Q100" s="265"/>
      <c r="R100" s="265"/>
      <c r="S100" s="265"/>
      <c r="T100" s="265"/>
      <c r="U100" s="265"/>
      <c r="V100" s="265"/>
      <c r="W100" s="265"/>
      <c r="X100" s="265"/>
      <c r="Y100" s="265"/>
      <c r="Z100" s="265"/>
      <c r="AA100" s="265"/>
      <c r="AB100" s="265"/>
      <c r="AC100" s="265"/>
      <c r="AD100" s="265"/>
      <c r="AE100" s="265"/>
      <c r="AF100" s="265"/>
      <c r="AG100" s="265"/>
      <c r="AH100" s="265"/>
      <c r="AI100" s="265"/>
      <c r="AJ100" s="265"/>
      <c r="AK100" s="265"/>
      <c r="AL100" s="265"/>
      <c r="AM100" s="265"/>
      <c r="AN100" s="265"/>
      <c r="AO100" s="265"/>
      <c r="AP100" s="265"/>
      <c r="AQ100" s="265"/>
      <c r="AR100" s="265"/>
      <c r="AS100" s="265"/>
      <c r="AT100" s="265"/>
      <c r="AU100" s="265"/>
      <c r="AV100" s="265"/>
      <c r="AW100" s="265"/>
      <c r="AX100" s="265"/>
      <c r="AY100" s="265"/>
      <c r="AZ100" s="265"/>
      <c r="BA100" s="265"/>
      <c r="BB100" s="265"/>
      <c r="BC100" s="265"/>
      <c r="BD100" s="265"/>
      <c r="BE100" s="265"/>
      <c r="BF100" s="265"/>
      <c r="BG100" s="265"/>
      <c r="BH100" s="265"/>
      <c r="BI100" s="265"/>
      <c r="BJ100" s="265"/>
      <c r="BK100" s="265"/>
      <c r="BL100" s="265"/>
      <c r="BM100" s="265"/>
      <c r="BN100" s="265"/>
      <c r="BO100" s="265"/>
      <c r="BP100" s="265"/>
      <c r="BQ100" s="265"/>
      <c r="BR100" s="265"/>
      <c r="BS100" s="265"/>
      <c r="BT100" s="265"/>
      <c r="BU100" s="265"/>
      <c r="BV100" s="265"/>
      <c r="BW100" s="265"/>
      <c r="BX100" s="265"/>
      <c r="BY100" s="332"/>
      <c r="BZ100" s="265"/>
      <c r="CA100" s="265"/>
      <c r="CB100" s="265"/>
      <c r="CC100" s="265"/>
    </row>
    <row r="101" spans="2:81">
      <c r="B101" s="265"/>
      <c r="C101" s="265"/>
      <c r="D101" s="333" t="s">
        <v>365</v>
      </c>
      <c r="E101" s="333"/>
      <c r="F101" s="333"/>
      <c r="G101" s="333"/>
      <c r="H101" s="333"/>
      <c r="I101" s="333"/>
      <c r="J101" s="333"/>
      <c r="K101" s="333"/>
      <c r="L101" s="333"/>
      <c r="M101" s="333"/>
      <c r="N101" s="333"/>
      <c r="O101" s="333"/>
      <c r="P101" s="333"/>
      <c r="Q101" s="333"/>
      <c r="R101" s="333"/>
      <c r="S101" s="333"/>
      <c r="T101" s="333"/>
      <c r="U101" s="333"/>
      <c r="V101" s="334"/>
      <c r="W101" s="334"/>
      <c r="X101" s="334"/>
      <c r="Y101" s="334"/>
      <c r="Z101" s="334"/>
      <c r="AA101" s="334"/>
      <c r="AB101" s="334"/>
      <c r="AC101" s="334"/>
      <c r="AD101" s="334"/>
      <c r="AE101" s="334"/>
      <c r="AF101" s="334"/>
      <c r="AG101" s="334"/>
      <c r="AH101" s="334"/>
      <c r="AI101" s="334"/>
      <c r="AJ101" s="334"/>
      <c r="AK101" s="334"/>
      <c r="AL101" s="334"/>
      <c r="AM101" s="334"/>
      <c r="AN101" s="334"/>
      <c r="AO101" s="334"/>
      <c r="AP101" s="334"/>
      <c r="AQ101" s="334"/>
      <c r="AR101" s="334"/>
      <c r="AS101" s="334"/>
      <c r="AT101" s="334"/>
      <c r="AU101" s="334"/>
      <c r="AV101" s="334"/>
      <c r="AW101" s="334"/>
      <c r="AX101" s="334"/>
      <c r="AY101" s="334"/>
      <c r="AZ101" s="334"/>
      <c r="BA101" s="334"/>
      <c r="BB101" s="334"/>
      <c r="BC101" s="334"/>
      <c r="BD101" s="334"/>
      <c r="BE101" s="334"/>
      <c r="BF101" s="334"/>
      <c r="BG101" s="334"/>
      <c r="BH101" s="334"/>
      <c r="BI101" s="334"/>
      <c r="BJ101" s="334"/>
      <c r="BK101" s="334"/>
      <c r="BL101" s="334"/>
      <c r="BM101" s="334"/>
      <c r="BN101" s="334"/>
      <c r="BO101" s="334"/>
      <c r="BP101" s="334"/>
      <c r="BQ101" s="334"/>
      <c r="BR101" s="334"/>
      <c r="BS101" s="334"/>
      <c r="BT101" s="334"/>
      <c r="BU101" s="334"/>
      <c r="BV101" s="334"/>
      <c r="BW101" s="334"/>
      <c r="BX101" s="334"/>
      <c r="BY101" s="332"/>
      <c r="BZ101" s="265"/>
      <c r="CA101" s="265"/>
      <c r="CB101" s="265"/>
      <c r="CC101" s="265"/>
    </row>
    <row r="102" spans="2:81">
      <c r="B102" s="265"/>
      <c r="C102" s="265"/>
      <c r="D102" s="265"/>
      <c r="E102" s="265"/>
      <c r="F102" s="265"/>
      <c r="G102" s="265"/>
      <c r="H102" s="265"/>
      <c r="I102" s="265"/>
      <c r="J102" s="265"/>
      <c r="K102" s="265"/>
      <c r="L102" s="265"/>
      <c r="M102" s="265"/>
      <c r="N102" s="265"/>
      <c r="O102" s="265"/>
      <c r="P102" s="265"/>
      <c r="Q102" s="265"/>
      <c r="R102" s="265"/>
      <c r="S102" s="265"/>
      <c r="T102" s="265"/>
      <c r="U102" s="265"/>
      <c r="V102" s="265"/>
      <c r="W102" s="265"/>
      <c r="X102" s="265"/>
      <c r="Y102" s="265"/>
      <c r="Z102" s="265"/>
      <c r="AA102" s="265"/>
      <c r="AB102" s="265"/>
      <c r="AC102" s="265"/>
      <c r="AD102" s="265"/>
      <c r="AE102" s="265"/>
      <c r="AF102" s="265"/>
      <c r="AG102" s="265"/>
      <c r="AH102" s="265"/>
      <c r="AI102" s="265"/>
      <c r="AJ102" s="265"/>
      <c r="AK102" s="265"/>
      <c r="AL102" s="265"/>
      <c r="AM102" s="265"/>
      <c r="AN102" s="265"/>
      <c r="AO102" s="265"/>
      <c r="AP102" s="265"/>
      <c r="AQ102" s="265"/>
      <c r="AR102" s="265"/>
      <c r="AS102" s="265"/>
      <c r="AT102" s="265"/>
      <c r="AU102" s="265"/>
      <c r="AV102" s="265"/>
      <c r="AW102" s="265"/>
      <c r="AX102" s="265"/>
      <c r="AY102" s="265"/>
      <c r="AZ102" s="265"/>
      <c r="BA102" s="265"/>
      <c r="BB102" s="265"/>
      <c r="BC102" s="265"/>
      <c r="BD102" s="265"/>
      <c r="BE102" s="265"/>
      <c r="BF102" s="265"/>
      <c r="BG102" s="265"/>
      <c r="BH102" s="265"/>
      <c r="BI102" s="265"/>
      <c r="BJ102" s="265"/>
      <c r="BK102" s="265"/>
      <c r="BL102" s="265"/>
      <c r="BM102" s="265"/>
      <c r="BN102" s="265"/>
      <c r="BO102" s="265"/>
      <c r="BP102" s="265"/>
      <c r="BQ102" s="265"/>
      <c r="BR102" s="265"/>
      <c r="BS102" s="265"/>
      <c r="BT102" s="265"/>
      <c r="BU102" s="265"/>
      <c r="BV102" s="265"/>
      <c r="BW102" s="265"/>
      <c r="BX102" s="265"/>
      <c r="BY102" s="332"/>
      <c r="BZ102" s="265"/>
      <c r="CA102" s="265"/>
      <c r="CB102" s="265"/>
      <c r="CC102" s="265"/>
    </row>
    <row r="103" spans="2:81">
      <c r="B103" s="265"/>
      <c r="C103" s="335" t="s">
        <v>366</v>
      </c>
      <c r="D103" s="511"/>
      <c r="E103" s="512">
        <f>E111+E126+E142+E159</f>
        <v>0</v>
      </c>
      <c r="F103" s="512">
        <f t="shared" ref="F103:BW103" si="44">F111+F159</f>
        <v>0</v>
      </c>
      <c r="G103" s="512">
        <f t="shared" si="44"/>
        <v>0</v>
      </c>
      <c r="H103" s="512">
        <f t="shared" si="44"/>
        <v>0</v>
      </c>
      <c r="I103" s="512">
        <f t="shared" si="44"/>
        <v>0</v>
      </c>
      <c r="J103" s="512">
        <f t="shared" si="44"/>
        <v>0</v>
      </c>
      <c r="K103" s="512">
        <f t="shared" si="44"/>
        <v>0</v>
      </c>
      <c r="L103" s="512">
        <f t="shared" si="44"/>
        <v>0</v>
      </c>
      <c r="M103" s="512">
        <f t="shared" si="44"/>
        <v>0</v>
      </c>
      <c r="N103" s="512">
        <f t="shared" si="44"/>
        <v>0</v>
      </c>
      <c r="O103" s="512">
        <f t="shared" si="44"/>
        <v>0</v>
      </c>
      <c r="P103" s="512">
        <f t="shared" si="44"/>
        <v>0</v>
      </c>
      <c r="Q103" s="512">
        <f t="shared" si="44"/>
        <v>0</v>
      </c>
      <c r="R103" s="512">
        <f t="shared" si="44"/>
        <v>0</v>
      </c>
      <c r="S103" s="512">
        <f t="shared" si="44"/>
        <v>0</v>
      </c>
      <c r="T103" s="512">
        <f t="shared" si="44"/>
        <v>0</v>
      </c>
      <c r="U103" s="512">
        <f t="shared" si="44"/>
        <v>0</v>
      </c>
      <c r="V103" s="512">
        <f t="shared" si="44"/>
        <v>0</v>
      </c>
      <c r="W103" s="512">
        <f t="shared" si="44"/>
        <v>0</v>
      </c>
      <c r="X103" s="512">
        <f t="shared" si="44"/>
        <v>0</v>
      </c>
      <c r="Y103" s="512">
        <f t="shared" si="44"/>
        <v>0</v>
      </c>
      <c r="Z103" s="512">
        <f t="shared" si="44"/>
        <v>0</v>
      </c>
      <c r="AA103" s="512">
        <f t="shared" si="44"/>
        <v>0</v>
      </c>
      <c r="AB103" s="512">
        <f t="shared" si="44"/>
        <v>0</v>
      </c>
      <c r="AC103" s="512">
        <f t="shared" si="44"/>
        <v>0</v>
      </c>
      <c r="AD103" s="512">
        <f t="shared" si="44"/>
        <v>0</v>
      </c>
      <c r="AE103" s="512">
        <f t="shared" si="44"/>
        <v>0</v>
      </c>
      <c r="AF103" s="512">
        <f t="shared" si="44"/>
        <v>0</v>
      </c>
      <c r="AG103" s="512">
        <f t="shared" si="44"/>
        <v>0</v>
      </c>
      <c r="AH103" s="512">
        <f t="shared" si="44"/>
        <v>0</v>
      </c>
      <c r="AI103" s="512">
        <f t="shared" si="44"/>
        <v>0</v>
      </c>
      <c r="AJ103" s="512">
        <f t="shared" si="44"/>
        <v>0</v>
      </c>
      <c r="AK103" s="512">
        <f t="shared" si="44"/>
        <v>0</v>
      </c>
      <c r="AL103" s="512">
        <f t="shared" si="44"/>
        <v>0</v>
      </c>
      <c r="AM103" s="512">
        <f t="shared" si="44"/>
        <v>0</v>
      </c>
      <c r="AN103" s="512">
        <f t="shared" si="44"/>
        <v>0</v>
      </c>
      <c r="AO103" s="512">
        <f t="shared" si="44"/>
        <v>0</v>
      </c>
      <c r="AP103" s="512">
        <f t="shared" si="44"/>
        <v>0</v>
      </c>
      <c r="AQ103" s="512">
        <f t="shared" si="44"/>
        <v>0</v>
      </c>
      <c r="AR103" s="512">
        <f t="shared" si="44"/>
        <v>0</v>
      </c>
      <c r="AS103" s="512">
        <f t="shared" si="44"/>
        <v>0</v>
      </c>
      <c r="AT103" s="512">
        <f t="shared" si="44"/>
        <v>0</v>
      </c>
      <c r="AU103" s="512">
        <f t="shared" si="44"/>
        <v>0</v>
      </c>
      <c r="AV103" s="512">
        <f t="shared" si="44"/>
        <v>0</v>
      </c>
      <c r="AW103" s="512">
        <f t="shared" si="44"/>
        <v>0</v>
      </c>
      <c r="AX103" s="512">
        <f t="shared" si="44"/>
        <v>0</v>
      </c>
      <c r="AY103" s="512">
        <f t="shared" si="44"/>
        <v>0</v>
      </c>
      <c r="AZ103" s="512">
        <f t="shared" si="44"/>
        <v>0</v>
      </c>
      <c r="BA103" s="512">
        <f t="shared" si="44"/>
        <v>0</v>
      </c>
      <c r="BB103" s="512">
        <f t="shared" si="44"/>
        <v>0</v>
      </c>
      <c r="BC103" s="512">
        <f t="shared" si="44"/>
        <v>0</v>
      </c>
      <c r="BD103" s="512">
        <f t="shared" si="44"/>
        <v>0</v>
      </c>
      <c r="BE103" s="512">
        <f t="shared" si="44"/>
        <v>0</v>
      </c>
      <c r="BF103" s="512">
        <f t="shared" si="44"/>
        <v>0</v>
      </c>
      <c r="BG103" s="512">
        <f t="shared" si="44"/>
        <v>0</v>
      </c>
      <c r="BH103" s="512">
        <f t="shared" si="44"/>
        <v>0</v>
      </c>
      <c r="BI103" s="512">
        <f t="shared" si="44"/>
        <v>0</v>
      </c>
      <c r="BJ103" s="512">
        <f t="shared" si="44"/>
        <v>0</v>
      </c>
      <c r="BK103" s="512">
        <f t="shared" si="44"/>
        <v>0</v>
      </c>
      <c r="BL103" s="512">
        <f t="shared" si="44"/>
        <v>0</v>
      </c>
      <c r="BM103" s="512">
        <f t="shared" si="44"/>
        <v>0</v>
      </c>
      <c r="BN103" s="512">
        <f t="shared" si="44"/>
        <v>0</v>
      </c>
      <c r="BO103" s="512">
        <f t="shared" si="44"/>
        <v>0</v>
      </c>
      <c r="BP103" s="512">
        <f t="shared" si="44"/>
        <v>0</v>
      </c>
      <c r="BQ103" s="512">
        <f t="shared" si="44"/>
        <v>0</v>
      </c>
      <c r="BR103" s="512">
        <f t="shared" si="44"/>
        <v>0</v>
      </c>
      <c r="BS103" s="512">
        <f t="shared" si="44"/>
        <v>0</v>
      </c>
      <c r="BT103" s="512">
        <f t="shared" si="44"/>
        <v>0</v>
      </c>
      <c r="BU103" s="512">
        <f t="shared" si="44"/>
        <v>0</v>
      </c>
      <c r="BV103" s="512">
        <f t="shared" si="44"/>
        <v>0</v>
      </c>
      <c r="BW103" s="512">
        <f t="shared" si="44"/>
        <v>0</v>
      </c>
      <c r="BX103" s="512" t="e">
        <f>BX111+BX159+BX99</f>
        <v>#REF!</v>
      </c>
      <c r="BY103" s="332"/>
      <c r="BZ103" s="265"/>
      <c r="CA103" s="265"/>
      <c r="CB103" s="265"/>
      <c r="CC103" s="265"/>
    </row>
    <row r="104" spans="2:81">
      <c r="B104" s="265"/>
      <c r="C104" s="513" t="s">
        <v>352</v>
      </c>
      <c r="D104" s="672" t="e">
        <f>IRR(E103:BX103)*12</f>
        <v>#VALUE!</v>
      </c>
      <c r="E104" s="624"/>
      <c r="F104" s="265"/>
      <c r="G104" s="265"/>
      <c r="H104" s="265"/>
      <c r="I104" s="265"/>
      <c r="J104" s="265"/>
      <c r="K104" s="265"/>
      <c r="L104" s="265"/>
      <c r="M104" s="265"/>
      <c r="N104" s="265"/>
      <c r="O104" s="265"/>
      <c r="P104" s="265"/>
      <c r="Q104" s="265"/>
      <c r="R104" s="265"/>
      <c r="S104" s="265"/>
      <c r="T104" s="265"/>
      <c r="U104" s="265"/>
      <c r="V104" s="265"/>
      <c r="W104" s="265"/>
      <c r="X104" s="265"/>
      <c r="Y104" s="265"/>
      <c r="Z104" s="265"/>
      <c r="AA104" s="265"/>
      <c r="AB104" s="265"/>
      <c r="AC104" s="265"/>
      <c r="AD104" s="265"/>
      <c r="AE104" s="265"/>
      <c r="AF104" s="265"/>
      <c r="AG104" s="265"/>
      <c r="AH104" s="265"/>
      <c r="AI104" s="265"/>
      <c r="AJ104" s="265"/>
      <c r="AK104" s="265"/>
      <c r="AL104" s="265"/>
      <c r="AM104" s="265"/>
      <c r="AN104" s="265"/>
      <c r="AO104" s="265"/>
      <c r="AP104" s="265"/>
      <c r="AQ104" s="265"/>
      <c r="AR104" s="265"/>
      <c r="AS104" s="265"/>
      <c r="AT104" s="265"/>
      <c r="AU104" s="265"/>
      <c r="AV104" s="265"/>
      <c r="AW104" s="265"/>
      <c r="AX104" s="265"/>
      <c r="AY104" s="265"/>
      <c r="AZ104" s="265"/>
      <c r="BA104" s="265"/>
      <c r="BB104" s="265"/>
      <c r="BC104" s="265"/>
      <c r="BD104" s="265"/>
      <c r="BE104" s="265"/>
      <c r="BF104" s="265"/>
      <c r="BG104" s="265"/>
      <c r="BH104" s="265"/>
      <c r="BI104" s="265"/>
      <c r="BJ104" s="265"/>
      <c r="BK104" s="265"/>
      <c r="BL104" s="265"/>
      <c r="BM104" s="265"/>
      <c r="BN104" s="265"/>
      <c r="BO104" s="265"/>
      <c r="BP104" s="265"/>
      <c r="BQ104" s="265"/>
      <c r="BR104" s="265"/>
      <c r="BS104" s="265"/>
      <c r="BT104" s="265"/>
      <c r="BU104" s="265"/>
      <c r="BV104" s="265"/>
      <c r="BW104" s="265"/>
      <c r="BX104" s="265"/>
      <c r="BY104" s="332"/>
      <c r="BZ104" s="265"/>
      <c r="CA104" s="265"/>
      <c r="CB104" s="265"/>
      <c r="CC104" s="265"/>
    </row>
    <row r="105" spans="2:81">
      <c r="B105" s="265"/>
      <c r="C105" s="265"/>
      <c r="D105" s="265"/>
      <c r="E105" s="265"/>
      <c r="F105" s="265"/>
      <c r="G105" s="265"/>
      <c r="H105" s="265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5"/>
      <c r="U105" s="265"/>
      <c r="V105" s="265"/>
      <c r="W105" s="265"/>
      <c r="X105" s="265"/>
      <c r="Y105" s="265"/>
      <c r="Z105" s="265"/>
      <c r="AA105" s="265"/>
      <c r="AB105" s="265"/>
      <c r="AC105" s="265"/>
      <c r="AD105" s="265"/>
      <c r="AE105" s="265"/>
      <c r="AF105" s="265"/>
      <c r="AG105" s="265"/>
      <c r="AH105" s="265"/>
      <c r="AI105" s="265"/>
      <c r="AJ105" s="265"/>
      <c r="AK105" s="265"/>
      <c r="AL105" s="265"/>
      <c r="AM105" s="265"/>
      <c r="AN105" s="265"/>
      <c r="AO105" s="265"/>
      <c r="AP105" s="265"/>
      <c r="AQ105" s="265"/>
      <c r="AR105" s="265"/>
      <c r="AS105" s="265"/>
      <c r="AT105" s="265"/>
      <c r="AU105" s="265"/>
      <c r="AV105" s="265"/>
      <c r="AW105" s="265"/>
      <c r="AX105" s="265"/>
      <c r="AY105" s="265"/>
      <c r="AZ105" s="265"/>
      <c r="BA105" s="265"/>
      <c r="BB105" s="265"/>
      <c r="BC105" s="265"/>
      <c r="BD105" s="265"/>
      <c r="BE105" s="265"/>
      <c r="BF105" s="265"/>
      <c r="BG105" s="265"/>
      <c r="BH105" s="265"/>
      <c r="BI105" s="265"/>
      <c r="BJ105" s="265"/>
      <c r="BK105" s="265"/>
      <c r="BL105" s="265"/>
      <c r="BM105" s="265"/>
      <c r="BN105" s="265"/>
      <c r="BO105" s="265"/>
      <c r="BP105" s="265"/>
      <c r="BQ105" s="265"/>
      <c r="BR105" s="265"/>
      <c r="BS105" s="265"/>
      <c r="BT105" s="265"/>
      <c r="BU105" s="265"/>
      <c r="BV105" s="265"/>
      <c r="BW105" s="265"/>
      <c r="BX105" s="265"/>
      <c r="BY105" s="332"/>
      <c r="BZ105" s="265"/>
      <c r="CA105" s="265"/>
      <c r="CB105" s="265"/>
      <c r="CC105" s="265"/>
    </row>
    <row r="106" spans="2:81">
      <c r="B106" s="265"/>
      <c r="C106" s="265"/>
      <c r="D106" s="265"/>
      <c r="E106" s="265"/>
      <c r="F106" s="265"/>
      <c r="G106" s="265"/>
      <c r="H106" s="265"/>
      <c r="I106" s="265"/>
      <c r="J106" s="265"/>
      <c r="K106" s="265"/>
      <c r="L106" s="265"/>
      <c r="M106" s="265"/>
      <c r="N106" s="265"/>
      <c r="O106" s="265"/>
      <c r="P106" s="265"/>
      <c r="Q106" s="265"/>
      <c r="R106" s="265"/>
      <c r="S106" s="265"/>
      <c r="T106" s="265"/>
      <c r="U106" s="265"/>
      <c r="V106" s="265"/>
      <c r="W106" s="265"/>
      <c r="X106" s="265"/>
      <c r="Y106" s="265"/>
      <c r="Z106" s="265"/>
      <c r="AA106" s="265"/>
      <c r="AB106" s="265"/>
      <c r="AC106" s="265"/>
      <c r="AD106" s="265"/>
      <c r="AE106" s="265"/>
      <c r="AF106" s="265"/>
      <c r="AG106" s="265"/>
      <c r="AH106" s="265"/>
      <c r="AI106" s="265"/>
      <c r="AJ106" s="265"/>
      <c r="AK106" s="265"/>
      <c r="AL106" s="265"/>
      <c r="AM106" s="265"/>
      <c r="AN106" s="265"/>
      <c r="AO106" s="265"/>
      <c r="AP106" s="265"/>
      <c r="AQ106" s="265"/>
      <c r="AR106" s="265"/>
      <c r="AS106" s="265"/>
      <c r="AT106" s="265"/>
      <c r="AU106" s="265"/>
      <c r="AV106" s="265"/>
      <c r="AW106" s="265"/>
      <c r="AX106" s="265"/>
      <c r="AY106" s="265"/>
      <c r="AZ106" s="265"/>
      <c r="BA106" s="265"/>
      <c r="BB106" s="265"/>
      <c r="BC106" s="265"/>
      <c r="BD106" s="265"/>
      <c r="BE106" s="265"/>
      <c r="BF106" s="265"/>
      <c r="BG106" s="265"/>
      <c r="BH106" s="265"/>
      <c r="BI106" s="265"/>
      <c r="BJ106" s="265"/>
      <c r="BK106" s="265"/>
      <c r="BL106" s="265"/>
      <c r="BM106" s="265"/>
      <c r="BN106" s="265"/>
      <c r="BO106" s="265"/>
      <c r="BP106" s="265"/>
      <c r="BQ106" s="265"/>
      <c r="BR106" s="265"/>
      <c r="BS106" s="265"/>
      <c r="BT106" s="265"/>
      <c r="BU106" s="265"/>
      <c r="BV106" s="265"/>
      <c r="BW106" s="265"/>
      <c r="BX106" s="265"/>
      <c r="BY106" s="332"/>
      <c r="BZ106" s="265"/>
      <c r="CA106" s="265"/>
      <c r="CB106" s="265"/>
      <c r="CC106" s="265"/>
    </row>
    <row r="107" spans="2:81" ht="17">
      <c r="B107" s="265"/>
      <c r="C107" s="335" t="s">
        <v>345</v>
      </c>
      <c r="D107" s="622"/>
      <c r="E107" s="623"/>
      <c r="F107" s="623"/>
      <c r="G107" s="623"/>
      <c r="H107" s="623"/>
      <c r="I107" s="623"/>
      <c r="J107" s="623"/>
      <c r="K107" s="623"/>
      <c r="L107" s="623"/>
      <c r="M107" s="623"/>
      <c r="N107" s="623"/>
      <c r="O107" s="623"/>
      <c r="P107" s="623"/>
      <c r="Q107" s="623"/>
      <c r="R107" s="623"/>
      <c r="S107" s="623"/>
      <c r="T107" s="623"/>
      <c r="U107" s="623"/>
      <c r="V107" s="623"/>
      <c r="W107" s="623"/>
      <c r="X107" s="623"/>
      <c r="Y107" s="623"/>
      <c r="Z107" s="623"/>
      <c r="AA107" s="623"/>
      <c r="AB107" s="623"/>
      <c r="AC107" s="623"/>
      <c r="AD107" s="623"/>
      <c r="AE107" s="623"/>
      <c r="AF107" s="623"/>
      <c r="AG107" s="623"/>
      <c r="AH107" s="623"/>
      <c r="AI107" s="623"/>
      <c r="AJ107" s="623"/>
      <c r="AK107" s="623"/>
      <c r="AL107" s="623"/>
      <c r="AM107" s="623"/>
      <c r="AN107" s="623"/>
      <c r="AO107" s="623"/>
      <c r="AP107" s="623"/>
      <c r="AQ107" s="623"/>
      <c r="AR107" s="623"/>
      <c r="AS107" s="623"/>
      <c r="AT107" s="623"/>
      <c r="AU107" s="623"/>
      <c r="AV107" s="623"/>
      <c r="AW107" s="623"/>
      <c r="AX107" s="623"/>
      <c r="AY107" s="623"/>
      <c r="AZ107" s="623"/>
      <c r="BA107" s="623"/>
      <c r="BB107" s="623"/>
      <c r="BC107" s="623"/>
      <c r="BD107" s="623"/>
      <c r="BE107" s="623"/>
      <c r="BF107" s="623"/>
      <c r="BG107" s="623"/>
      <c r="BH107" s="623"/>
      <c r="BI107" s="623"/>
      <c r="BJ107" s="623"/>
      <c r="BK107" s="623"/>
      <c r="BL107" s="623"/>
      <c r="BM107" s="623"/>
      <c r="BN107" s="623"/>
      <c r="BO107" s="623"/>
      <c r="BP107" s="623"/>
      <c r="BQ107" s="623"/>
      <c r="BR107" s="623"/>
      <c r="BS107" s="623"/>
      <c r="BT107" s="623"/>
      <c r="BU107" s="623"/>
      <c r="BV107" s="623"/>
      <c r="BW107" s="624"/>
      <c r="BX107" s="514" t="e">
        <f>BX99*C108</f>
        <v>#REF!</v>
      </c>
      <c r="BY107" s="332"/>
      <c r="BZ107" s="265"/>
      <c r="CA107" s="265"/>
      <c r="CB107" s="265"/>
      <c r="CC107" s="265"/>
    </row>
    <row r="108" spans="2:81" ht="19">
      <c r="B108" s="265"/>
      <c r="C108" s="515">
        <v>0.2</v>
      </c>
      <c r="D108" s="265"/>
      <c r="E108" s="265"/>
      <c r="F108" s="265"/>
      <c r="G108" s="265"/>
      <c r="H108" s="265"/>
      <c r="I108" s="265"/>
      <c r="J108" s="265"/>
      <c r="K108" s="265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  <c r="Z108" s="265"/>
      <c r="AA108" s="265"/>
      <c r="AB108" s="265"/>
      <c r="AC108" s="265"/>
      <c r="AD108" s="265"/>
      <c r="AE108" s="265"/>
      <c r="AF108" s="265"/>
      <c r="AG108" s="265"/>
      <c r="AH108" s="265"/>
      <c r="AI108" s="265"/>
      <c r="AJ108" s="265"/>
      <c r="AK108" s="265"/>
      <c r="AL108" s="265"/>
      <c r="AM108" s="265"/>
      <c r="AN108" s="265"/>
      <c r="AO108" s="265"/>
      <c r="AP108" s="265"/>
      <c r="AQ108" s="265"/>
      <c r="AR108" s="265"/>
      <c r="AS108" s="265"/>
      <c r="AT108" s="265"/>
      <c r="AU108" s="265"/>
      <c r="AV108" s="265"/>
      <c r="AW108" s="265"/>
      <c r="AX108" s="265"/>
      <c r="AY108" s="265"/>
      <c r="AZ108" s="265"/>
      <c r="BA108" s="265"/>
      <c r="BB108" s="265"/>
      <c r="BC108" s="265"/>
      <c r="BD108" s="265"/>
      <c r="BE108" s="265"/>
      <c r="BF108" s="265"/>
      <c r="BG108" s="265"/>
      <c r="BH108" s="265"/>
      <c r="BI108" s="265"/>
      <c r="BJ108" s="265"/>
      <c r="BK108" s="265"/>
      <c r="BL108" s="265"/>
      <c r="BM108" s="265"/>
      <c r="BN108" s="265"/>
      <c r="BO108" s="265"/>
      <c r="BP108" s="265"/>
      <c r="BQ108" s="265"/>
      <c r="BR108" s="265"/>
      <c r="BS108" s="265"/>
      <c r="BT108" s="265"/>
      <c r="BU108" s="265"/>
      <c r="BV108" s="265"/>
      <c r="BW108" s="265"/>
      <c r="BX108" s="265"/>
      <c r="BY108" s="332"/>
      <c r="BZ108" s="265"/>
      <c r="CA108" s="265"/>
      <c r="CB108" s="265"/>
      <c r="CC108" s="265"/>
    </row>
    <row r="109" spans="2:81">
      <c r="B109" s="265"/>
      <c r="C109" s="265"/>
      <c r="D109" s="265"/>
      <c r="E109" s="265"/>
      <c r="F109" s="265"/>
      <c r="G109" s="265"/>
      <c r="H109" s="265"/>
      <c r="I109" s="265"/>
      <c r="J109" s="265"/>
      <c r="K109" s="265"/>
      <c r="L109" s="265"/>
      <c r="M109" s="265"/>
      <c r="N109" s="265"/>
      <c r="O109" s="265"/>
      <c r="P109" s="265"/>
      <c r="Q109" s="265"/>
      <c r="R109" s="265"/>
      <c r="S109" s="265"/>
      <c r="T109" s="265"/>
      <c r="U109" s="265"/>
      <c r="V109" s="265"/>
      <c r="W109" s="265"/>
      <c r="X109" s="265"/>
      <c r="Y109" s="265"/>
      <c r="Z109" s="265"/>
      <c r="AA109" s="265"/>
      <c r="AB109" s="265"/>
      <c r="AC109" s="265"/>
      <c r="AD109" s="265"/>
      <c r="AE109" s="265"/>
      <c r="AF109" s="265"/>
      <c r="AG109" s="265"/>
      <c r="AH109" s="265"/>
      <c r="AI109" s="265"/>
      <c r="AJ109" s="265"/>
      <c r="AK109" s="265"/>
      <c r="AL109" s="265"/>
      <c r="AM109" s="265"/>
      <c r="AN109" s="265"/>
      <c r="AO109" s="265"/>
      <c r="AP109" s="265"/>
      <c r="AQ109" s="265"/>
      <c r="AR109" s="265"/>
      <c r="AS109" s="265"/>
      <c r="AT109" s="265"/>
      <c r="AU109" s="265"/>
      <c r="AV109" s="265"/>
      <c r="AW109" s="265"/>
      <c r="AX109" s="265"/>
      <c r="AY109" s="265"/>
      <c r="AZ109" s="265"/>
      <c r="BA109" s="265"/>
      <c r="BB109" s="265"/>
      <c r="BC109" s="265"/>
      <c r="BD109" s="265"/>
      <c r="BE109" s="265"/>
      <c r="BF109" s="265"/>
      <c r="BG109" s="265"/>
      <c r="BH109" s="265"/>
      <c r="BI109" s="265"/>
      <c r="BJ109" s="265"/>
      <c r="BK109" s="265"/>
      <c r="BL109" s="265"/>
      <c r="BM109" s="265"/>
      <c r="BN109" s="265"/>
      <c r="BO109" s="265"/>
      <c r="BP109" s="265"/>
      <c r="BQ109" s="265"/>
      <c r="BR109" s="265"/>
      <c r="BS109" s="265"/>
      <c r="BT109" s="265"/>
      <c r="BU109" s="265"/>
      <c r="BV109" s="265"/>
      <c r="BW109" s="265"/>
      <c r="BX109" s="265"/>
      <c r="BY109" s="332"/>
      <c r="BZ109" s="265"/>
      <c r="CA109" s="265"/>
      <c r="CB109" s="265"/>
      <c r="CC109" s="265"/>
    </row>
    <row r="110" spans="2:81">
      <c r="B110" s="265"/>
      <c r="C110" s="337"/>
      <c r="D110" s="337"/>
      <c r="E110" s="337"/>
      <c r="F110" s="337"/>
      <c r="G110" s="337"/>
      <c r="H110" s="337"/>
      <c r="I110" s="337"/>
      <c r="J110" s="337"/>
      <c r="K110" s="337"/>
      <c r="L110" s="337"/>
      <c r="M110" s="337"/>
      <c r="N110" s="337"/>
      <c r="O110" s="337"/>
      <c r="P110" s="337"/>
      <c r="Q110" s="337"/>
      <c r="R110" s="337"/>
      <c r="S110" s="337"/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7"/>
      <c r="AE110" s="337"/>
      <c r="AF110" s="337"/>
      <c r="AG110" s="337"/>
      <c r="AH110" s="337"/>
      <c r="AI110" s="337"/>
      <c r="AJ110" s="337"/>
      <c r="AK110" s="337"/>
      <c r="AL110" s="337"/>
      <c r="AM110" s="337"/>
      <c r="AN110" s="337"/>
      <c r="AO110" s="337"/>
      <c r="AP110" s="337"/>
      <c r="AQ110" s="337"/>
      <c r="AR110" s="337"/>
      <c r="AS110" s="337"/>
      <c r="AT110" s="337"/>
      <c r="AU110" s="337"/>
      <c r="AV110" s="337"/>
      <c r="AW110" s="337"/>
      <c r="AX110" s="337"/>
      <c r="AY110" s="337"/>
      <c r="AZ110" s="337"/>
      <c r="BA110" s="337"/>
      <c r="BB110" s="337"/>
      <c r="BC110" s="337"/>
      <c r="BD110" s="337"/>
      <c r="BE110" s="337"/>
      <c r="BF110" s="337"/>
      <c r="BG110" s="337"/>
      <c r="BH110" s="337"/>
      <c r="BI110" s="337"/>
      <c r="BJ110" s="337"/>
      <c r="BK110" s="337"/>
      <c r="BL110" s="337"/>
      <c r="BM110" s="265"/>
      <c r="BN110" s="265"/>
      <c r="BO110" s="265"/>
      <c r="BP110" s="265"/>
      <c r="BQ110" s="265"/>
      <c r="BR110" s="265"/>
      <c r="BS110" s="265"/>
      <c r="BT110" s="265"/>
      <c r="BU110" s="265"/>
      <c r="BV110" s="265"/>
      <c r="BW110" s="265"/>
      <c r="BX110" s="265"/>
      <c r="BY110" s="265"/>
      <c r="BZ110" s="265"/>
      <c r="CA110" s="265"/>
      <c r="CB110" s="265"/>
      <c r="CC110" s="265"/>
    </row>
    <row r="111" spans="2:81">
      <c r="B111" s="338"/>
      <c r="C111" s="335" t="s">
        <v>346</v>
      </c>
      <c r="D111" s="511"/>
      <c r="E111" s="512">
        <f t="shared" ref="E111:O111" si="45">-(E5+E90)</f>
        <v>0</v>
      </c>
      <c r="F111" s="512">
        <f t="shared" si="45"/>
        <v>0</v>
      </c>
      <c r="G111" s="512">
        <f t="shared" si="45"/>
        <v>0</v>
      </c>
      <c r="H111" s="512">
        <f t="shared" si="45"/>
        <v>0</v>
      </c>
      <c r="I111" s="512">
        <f t="shared" si="45"/>
        <v>0</v>
      </c>
      <c r="J111" s="512">
        <f t="shared" si="45"/>
        <v>0</v>
      </c>
      <c r="K111" s="512">
        <f t="shared" si="45"/>
        <v>0</v>
      </c>
      <c r="L111" s="512">
        <f t="shared" si="45"/>
        <v>0</v>
      </c>
      <c r="M111" s="512">
        <f t="shared" si="45"/>
        <v>0</v>
      </c>
      <c r="N111" s="512">
        <f t="shared" si="45"/>
        <v>0</v>
      </c>
      <c r="O111" s="512">
        <f t="shared" si="45"/>
        <v>0</v>
      </c>
      <c r="P111" s="512">
        <f>-(P5+P6+P90+P91)</f>
        <v>0</v>
      </c>
      <c r="Q111" s="512">
        <f t="shared" ref="Q111:BX111" si="46">-(Q5+Q90)</f>
        <v>0</v>
      </c>
      <c r="R111" s="512">
        <f t="shared" si="46"/>
        <v>0</v>
      </c>
      <c r="S111" s="512">
        <f t="shared" si="46"/>
        <v>0</v>
      </c>
      <c r="T111" s="512">
        <f t="shared" si="46"/>
        <v>0</v>
      </c>
      <c r="U111" s="512">
        <f t="shared" si="46"/>
        <v>0</v>
      </c>
      <c r="V111" s="512">
        <f t="shared" si="46"/>
        <v>0</v>
      </c>
      <c r="W111" s="512">
        <f t="shared" si="46"/>
        <v>0</v>
      </c>
      <c r="X111" s="512">
        <f t="shared" si="46"/>
        <v>0</v>
      </c>
      <c r="Y111" s="512">
        <f t="shared" si="46"/>
        <v>0</v>
      </c>
      <c r="Z111" s="512">
        <f t="shared" si="46"/>
        <v>0</v>
      </c>
      <c r="AA111" s="512">
        <f t="shared" si="46"/>
        <v>0</v>
      </c>
      <c r="AB111" s="512">
        <f t="shared" si="46"/>
        <v>0</v>
      </c>
      <c r="AC111" s="512">
        <f t="shared" si="46"/>
        <v>0</v>
      </c>
      <c r="AD111" s="512">
        <f t="shared" si="46"/>
        <v>0</v>
      </c>
      <c r="AE111" s="512">
        <f t="shared" si="46"/>
        <v>0</v>
      </c>
      <c r="AF111" s="512">
        <f t="shared" si="46"/>
        <v>0</v>
      </c>
      <c r="AG111" s="512">
        <f t="shared" si="46"/>
        <v>0</v>
      </c>
      <c r="AH111" s="512">
        <f t="shared" si="46"/>
        <v>0</v>
      </c>
      <c r="AI111" s="512">
        <f t="shared" si="46"/>
        <v>0</v>
      </c>
      <c r="AJ111" s="512">
        <f t="shared" si="46"/>
        <v>0</v>
      </c>
      <c r="AK111" s="512">
        <f t="shared" si="46"/>
        <v>0</v>
      </c>
      <c r="AL111" s="512">
        <f t="shared" si="46"/>
        <v>0</v>
      </c>
      <c r="AM111" s="512">
        <f t="shared" si="46"/>
        <v>0</v>
      </c>
      <c r="AN111" s="512">
        <f t="shared" si="46"/>
        <v>0</v>
      </c>
      <c r="AO111" s="512">
        <f t="shared" si="46"/>
        <v>0</v>
      </c>
      <c r="AP111" s="512">
        <f t="shared" si="46"/>
        <v>0</v>
      </c>
      <c r="AQ111" s="512">
        <f t="shared" si="46"/>
        <v>0</v>
      </c>
      <c r="AR111" s="512">
        <f t="shared" si="46"/>
        <v>0</v>
      </c>
      <c r="AS111" s="512">
        <f t="shared" si="46"/>
        <v>0</v>
      </c>
      <c r="AT111" s="512">
        <f t="shared" si="46"/>
        <v>0</v>
      </c>
      <c r="AU111" s="512">
        <f t="shared" si="46"/>
        <v>0</v>
      </c>
      <c r="AV111" s="512">
        <f t="shared" si="46"/>
        <v>0</v>
      </c>
      <c r="AW111" s="512">
        <f t="shared" si="46"/>
        <v>0</v>
      </c>
      <c r="AX111" s="512">
        <f t="shared" si="46"/>
        <v>0</v>
      </c>
      <c r="AY111" s="512">
        <f t="shared" si="46"/>
        <v>0</v>
      </c>
      <c r="AZ111" s="512">
        <f t="shared" si="46"/>
        <v>0</v>
      </c>
      <c r="BA111" s="512">
        <f t="shared" si="46"/>
        <v>0</v>
      </c>
      <c r="BB111" s="512">
        <f t="shared" si="46"/>
        <v>0</v>
      </c>
      <c r="BC111" s="512">
        <f t="shared" si="46"/>
        <v>0</v>
      </c>
      <c r="BD111" s="512">
        <f t="shared" si="46"/>
        <v>0</v>
      </c>
      <c r="BE111" s="512">
        <f t="shared" si="46"/>
        <v>0</v>
      </c>
      <c r="BF111" s="512">
        <f t="shared" si="46"/>
        <v>0</v>
      </c>
      <c r="BG111" s="512">
        <f t="shared" si="46"/>
        <v>0</v>
      </c>
      <c r="BH111" s="512">
        <f t="shared" si="46"/>
        <v>0</v>
      </c>
      <c r="BI111" s="512">
        <f t="shared" si="46"/>
        <v>0</v>
      </c>
      <c r="BJ111" s="512">
        <f t="shared" si="46"/>
        <v>0</v>
      </c>
      <c r="BK111" s="512">
        <f t="shared" si="46"/>
        <v>0</v>
      </c>
      <c r="BL111" s="512">
        <f t="shared" si="46"/>
        <v>0</v>
      </c>
      <c r="BM111" s="512">
        <f t="shared" si="46"/>
        <v>0</v>
      </c>
      <c r="BN111" s="512">
        <f t="shared" si="46"/>
        <v>0</v>
      </c>
      <c r="BO111" s="512">
        <f t="shared" si="46"/>
        <v>0</v>
      </c>
      <c r="BP111" s="512">
        <f t="shared" si="46"/>
        <v>0</v>
      </c>
      <c r="BQ111" s="512">
        <f t="shared" si="46"/>
        <v>0</v>
      </c>
      <c r="BR111" s="512">
        <f t="shared" si="46"/>
        <v>0</v>
      </c>
      <c r="BS111" s="512">
        <f t="shared" si="46"/>
        <v>0</v>
      </c>
      <c r="BT111" s="512">
        <f t="shared" si="46"/>
        <v>0</v>
      </c>
      <c r="BU111" s="512">
        <f t="shared" si="46"/>
        <v>0</v>
      </c>
      <c r="BV111" s="512">
        <f t="shared" si="46"/>
        <v>0</v>
      </c>
      <c r="BW111" s="512">
        <f t="shared" si="46"/>
        <v>0</v>
      </c>
      <c r="BX111" s="512">
        <f t="shared" si="46"/>
        <v>0</v>
      </c>
      <c r="BY111" s="265"/>
      <c r="BZ111" s="265"/>
      <c r="CA111" s="265"/>
      <c r="CB111" s="265"/>
      <c r="CC111" s="265"/>
    </row>
    <row r="112" spans="2:81">
      <c r="B112" s="338"/>
      <c r="C112" s="335" t="s">
        <v>347</v>
      </c>
      <c r="D112" s="516"/>
      <c r="E112" s="511"/>
      <c r="F112" s="511"/>
      <c r="G112" s="511"/>
      <c r="H112" s="511"/>
      <c r="I112" s="511"/>
      <c r="J112" s="511"/>
      <c r="K112" s="511"/>
      <c r="L112" s="511"/>
      <c r="M112" s="511"/>
      <c r="N112" s="511"/>
      <c r="O112" s="511"/>
      <c r="P112" s="511"/>
      <c r="Q112" s="511"/>
      <c r="R112" s="511"/>
      <c r="S112" s="511"/>
      <c r="T112" s="511"/>
      <c r="U112" s="511"/>
      <c r="V112" s="511"/>
      <c r="W112" s="511"/>
      <c r="X112" s="511"/>
      <c r="Y112" s="511"/>
      <c r="Z112" s="511"/>
      <c r="AA112" s="511"/>
      <c r="AB112" s="511"/>
      <c r="AC112" s="511"/>
      <c r="AD112" s="511"/>
      <c r="AE112" s="511"/>
      <c r="AF112" s="511"/>
      <c r="AG112" s="511"/>
      <c r="AH112" s="511"/>
      <c r="AI112" s="511"/>
      <c r="AJ112" s="511"/>
      <c r="AK112" s="511"/>
      <c r="AL112" s="511"/>
      <c r="AM112" s="511"/>
      <c r="AN112" s="511"/>
      <c r="AO112" s="511"/>
      <c r="AP112" s="511"/>
      <c r="AQ112" s="511"/>
      <c r="AR112" s="511"/>
      <c r="AS112" s="511"/>
      <c r="AT112" s="511"/>
      <c r="AU112" s="511"/>
      <c r="AV112" s="511"/>
      <c r="AW112" s="511"/>
      <c r="AX112" s="511"/>
      <c r="AY112" s="511"/>
      <c r="AZ112" s="511"/>
      <c r="BA112" s="511"/>
      <c r="BB112" s="511"/>
      <c r="BC112" s="511"/>
      <c r="BD112" s="511"/>
      <c r="BE112" s="511"/>
      <c r="BF112" s="511"/>
      <c r="BG112" s="511"/>
      <c r="BH112" s="511"/>
      <c r="BI112" s="511"/>
      <c r="BJ112" s="511"/>
      <c r="BK112" s="511"/>
      <c r="BL112" s="511"/>
      <c r="BM112" s="511"/>
      <c r="BN112" s="511"/>
      <c r="BO112" s="511"/>
      <c r="BP112" s="511"/>
      <c r="BQ112" s="511"/>
      <c r="BR112" s="511"/>
      <c r="BS112" s="511"/>
      <c r="BT112" s="511"/>
      <c r="BU112" s="511"/>
      <c r="BV112" s="511"/>
      <c r="BW112" s="511"/>
      <c r="BX112" s="511"/>
      <c r="BY112" s="265"/>
      <c r="BZ112" s="265"/>
      <c r="CA112" s="265"/>
      <c r="CB112" s="265"/>
      <c r="CC112" s="265"/>
    </row>
    <row r="113" spans="3:76">
      <c r="C113" s="335" t="s">
        <v>348</v>
      </c>
      <c r="D113" s="516"/>
      <c r="E113" s="511">
        <f t="shared" ref="E113:BX113" si="47">-E55</f>
        <v>0</v>
      </c>
      <c r="F113" s="511">
        <f t="shared" si="47"/>
        <v>0</v>
      </c>
      <c r="G113" s="511">
        <f t="shared" si="47"/>
        <v>0</v>
      </c>
      <c r="H113" s="511">
        <f t="shared" si="47"/>
        <v>0</v>
      </c>
      <c r="I113" s="511">
        <f t="shared" si="47"/>
        <v>0</v>
      </c>
      <c r="J113" s="511">
        <f t="shared" si="47"/>
        <v>0</v>
      </c>
      <c r="K113" s="511">
        <f t="shared" si="47"/>
        <v>0</v>
      </c>
      <c r="L113" s="511">
        <f t="shared" si="47"/>
        <v>0</v>
      </c>
      <c r="M113" s="511">
        <f t="shared" si="47"/>
        <v>0</v>
      </c>
      <c r="N113" s="511">
        <f t="shared" si="47"/>
        <v>0</v>
      </c>
      <c r="O113" s="511">
        <f t="shared" si="47"/>
        <v>0</v>
      </c>
      <c r="P113" s="511">
        <f t="shared" si="47"/>
        <v>0</v>
      </c>
      <c r="Q113" s="511">
        <f t="shared" si="47"/>
        <v>0</v>
      </c>
      <c r="R113" s="511">
        <f t="shared" si="47"/>
        <v>0</v>
      </c>
      <c r="S113" s="511">
        <f t="shared" si="47"/>
        <v>0</v>
      </c>
      <c r="T113" s="511">
        <f t="shared" si="47"/>
        <v>0</v>
      </c>
      <c r="U113" s="511">
        <f t="shared" si="47"/>
        <v>0</v>
      </c>
      <c r="V113" s="511">
        <f t="shared" si="47"/>
        <v>0</v>
      </c>
      <c r="W113" s="511">
        <f t="shared" si="47"/>
        <v>0</v>
      </c>
      <c r="X113" s="511">
        <f t="shared" si="47"/>
        <v>0</v>
      </c>
      <c r="Y113" s="511">
        <f t="shared" si="47"/>
        <v>0</v>
      </c>
      <c r="Z113" s="511">
        <f t="shared" si="47"/>
        <v>0</v>
      </c>
      <c r="AA113" s="511">
        <f t="shared" si="47"/>
        <v>0</v>
      </c>
      <c r="AB113" s="511">
        <f t="shared" si="47"/>
        <v>0</v>
      </c>
      <c r="AC113" s="511">
        <f t="shared" si="47"/>
        <v>0</v>
      </c>
      <c r="AD113" s="511">
        <f t="shared" si="47"/>
        <v>0</v>
      </c>
      <c r="AE113" s="511">
        <f t="shared" si="47"/>
        <v>0</v>
      </c>
      <c r="AF113" s="511">
        <f t="shared" si="47"/>
        <v>0</v>
      </c>
      <c r="AG113" s="511">
        <f t="shared" si="47"/>
        <v>0</v>
      </c>
      <c r="AH113" s="511">
        <f t="shared" si="47"/>
        <v>0</v>
      </c>
      <c r="AI113" s="511">
        <f t="shared" si="47"/>
        <v>0</v>
      </c>
      <c r="AJ113" s="511">
        <f t="shared" si="47"/>
        <v>0</v>
      </c>
      <c r="AK113" s="511">
        <f t="shared" si="47"/>
        <v>0</v>
      </c>
      <c r="AL113" s="511">
        <f t="shared" si="47"/>
        <v>0</v>
      </c>
      <c r="AM113" s="511">
        <f t="shared" si="47"/>
        <v>0</v>
      </c>
      <c r="AN113" s="511">
        <f t="shared" si="47"/>
        <v>0</v>
      </c>
      <c r="AO113" s="511">
        <f t="shared" si="47"/>
        <v>0</v>
      </c>
      <c r="AP113" s="511">
        <f t="shared" si="47"/>
        <v>0</v>
      </c>
      <c r="AQ113" s="511">
        <f t="shared" si="47"/>
        <v>0</v>
      </c>
      <c r="AR113" s="511">
        <f t="shared" si="47"/>
        <v>0</v>
      </c>
      <c r="AS113" s="511">
        <f t="shared" si="47"/>
        <v>0</v>
      </c>
      <c r="AT113" s="511">
        <f t="shared" si="47"/>
        <v>0</v>
      </c>
      <c r="AU113" s="511">
        <f t="shared" si="47"/>
        <v>0</v>
      </c>
      <c r="AV113" s="511">
        <f t="shared" si="47"/>
        <v>0</v>
      </c>
      <c r="AW113" s="511">
        <f t="shared" si="47"/>
        <v>0</v>
      </c>
      <c r="AX113" s="511">
        <f t="shared" si="47"/>
        <v>0</v>
      </c>
      <c r="AY113" s="511">
        <f t="shared" si="47"/>
        <v>0</v>
      </c>
      <c r="AZ113" s="511">
        <f t="shared" si="47"/>
        <v>0</v>
      </c>
      <c r="BA113" s="511">
        <f t="shared" si="47"/>
        <v>0</v>
      </c>
      <c r="BB113" s="511">
        <f t="shared" si="47"/>
        <v>0</v>
      </c>
      <c r="BC113" s="511">
        <f t="shared" si="47"/>
        <v>0</v>
      </c>
      <c r="BD113" s="511">
        <f t="shared" si="47"/>
        <v>0</v>
      </c>
      <c r="BE113" s="511">
        <f t="shared" si="47"/>
        <v>0</v>
      </c>
      <c r="BF113" s="511">
        <f t="shared" si="47"/>
        <v>0</v>
      </c>
      <c r="BG113" s="511">
        <f t="shared" si="47"/>
        <v>0</v>
      </c>
      <c r="BH113" s="511">
        <f t="shared" si="47"/>
        <v>0</v>
      </c>
      <c r="BI113" s="511">
        <f t="shared" si="47"/>
        <v>0</v>
      </c>
      <c r="BJ113" s="511">
        <f t="shared" si="47"/>
        <v>0</v>
      </c>
      <c r="BK113" s="511">
        <f t="shared" si="47"/>
        <v>0</v>
      </c>
      <c r="BL113" s="511">
        <f t="shared" si="47"/>
        <v>0</v>
      </c>
      <c r="BM113" s="511">
        <f t="shared" si="47"/>
        <v>0</v>
      </c>
      <c r="BN113" s="511">
        <f t="shared" si="47"/>
        <v>0</v>
      </c>
      <c r="BO113" s="511">
        <f t="shared" si="47"/>
        <v>0</v>
      </c>
      <c r="BP113" s="511">
        <f t="shared" si="47"/>
        <v>0</v>
      </c>
      <c r="BQ113" s="511">
        <f t="shared" si="47"/>
        <v>0</v>
      </c>
      <c r="BR113" s="511">
        <f t="shared" si="47"/>
        <v>0</v>
      </c>
      <c r="BS113" s="511">
        <f t="shared" si="47"/>
        <v>0</v>
      </c>
      <c r="BT113" s="511">
        <f t="shared" si="47"/>
        <v>0</v>
      </c>
      <c r="BU113" s="511">
        <f t="shared" si="47"/>
        <v>0</v>
      </c>
      <c r="BV113" s="511">
        <f t="shared" si="47"/>
        <v>0</v>
      </c>
      <c r="BW113" s="511">
        <f t="shared" si="47"/>
        <v>0</v>
      </c>
      <c r="BX113" s="511">
        <f t="shared" si="47"/>
        <v>0</v>
      </c>
    </row>
    <row r="114" spans="3:76">
      <c r="C114" s="335" t="s">
        <v>349</v>
      </c>
      <c r="D114" s="516"/>
      <c r="E114" s="511"/>
      <c r="F114" s="511"/>
      <c r="G114" s="511"/>
      <c r="H114" s="511"/>
      <c r="I114" s="511"/>
      <c r="J114" s="511"/>
      <c r="K114" s="511"/>
      <c r="L114" s="511"/>
      <c r="M114" s="511"/>
      <c r="N114" s="511"/>
      <c r="O114" s="511"/>
      <c r="P114" s="511"/>
      <c r="Q114" s="511"/>
      <c r="R114" s="511"/>
      <c r="S114" s="511"/>
      <c r="T114" s="511"/>
      <c r="U114" s="511"/>
      <c r="V114" s="511"/>
      <c r="W114" s="511"/>
      <c r="X114" s="511"/>
      <c r="Y114" s="511"/>
      <c r="Z114" s="511"/>
      <c r="AA114" s="511"/>
      <c r="AB114" s="511"/>
      <c r="AC114" s="511"/>
      <c r="AD114" s="511"/>
      <c r="AE114" s="511"/>
      <c r="AF114" s="511"/>
      <c r="AG114" s="511"/>
      <c r="AH114" s="511"/>
      <c r="AI114" s="511"/>
      <c r="AJ114" s="511"/>
      <c r="AK114" s="511"/>
      <c r="AL114" s="511"/>
      <c r="AM114" s="511"/>
      <c r="AN114" s="511"/>
      <c r="AO114" s="511"/>
      <c r="AP114" s="511"/>
      <c r="AQ114" s="511"/>
      <c r="AR114" s="511"/>
      <c r="AS114" s="511"/>
      <c r="AT114" s="511"/>
      <c r="AU114" s="511"/>
      <c r="AV114" s="511"/>
      <c r="AW114" s="511"/>
      <c r="AX114" s="511"/>
      <c r="AY114" s="511"/>
      <c r="AZ114" s="511"/>
      <c r="BA114" s="511"/>
      <c r="BB114" s="511"/>
      <c r="BC114" s="511"/>
      <c r="BD114" s="511"/>
      <c r="BE114" s="511"/>
      <c r="BF114" s="511"/>
      <c r="BG114" s="511"/>
      <c r="BH114" s="511"/>
      <c r="BI114" s="511"/>
      <c r="BJ114" s="511"/>
      <c r="BK114" s="511"/>
      <c r="BL114" s="511"/>
      <c r="BM114" s="511"/>
      <c r="BN114" s="511"/>
      <c r="BO114" s="511"/>
      <c r="BP114" s="511"/>
      <c r="BQ114" s="511"/>
      <c r="BR114" s="511"/>
      <c r="BS114" s="511"/>
      <c r="BT114" s="511"/>
      <c r="BU114" s="511"/>
      <c r="BV114" s="511"/>
      <c r="BW114" s="511"/>
      <c r="BX114" s="511" t="e">
        <f>IF(D104&gt;0.25,(BX99-BX107)*D116,BX99*D116)</f>
        <v>#VALUE!</v>
      </c>
    </row>
    <row r="115" spans="3:76">
      <c r="C115" s="335" t="s">
        <v>345</v>
      </c>
      <c r="D115" s="516"/>
      <c r="E115" s="511"/>
      <c r="F115" s="511"/>
      <c r="G115" s="511"/>
      <c r="H115" s="511"/>
      <c r="I115" s="511"/>
      <c r="J115" s="511"/>
      <c r="K115" s="511"/>
      <c r="L115" s="511"/>
      <c r="M115" s="511"/>
      <c r="N115" s="511"/>
      <c r="O115" s="511"/>
      <c r="P115" s="511"/>
      <c r="Q115" s="511"/>
      <c r="R115" s="511"/>
      <c r="S115" s="511"/>
      <c r="T115" s="511"/>
      <c r="U115" s="511"/>
      <c r="V115" s="511"/>
      <c r="W115" s="511"/>
      <c r="X115" s="511"/>
      <c r="Y115" s="511"/>
      <c r="Z115" s="511"/>
      <c r="AA115" s="511"/>
      <c r="AB115" s="511"/>
      <c r="AC115" s="511"/>
      <c r="AD115" s="511"/>
      <c r="AE115" s="511"/>
      <c r="AF115" s="511"/>
      <c r="AG115" s="511"/>
      <c r="AH115" s="511"/>
      <c r="AI115" s="511"/>
      <c r="AJ115" s="511"/>
      <c r="AK115" s="511"/>
      <c r="AL115" s="511"/>
      <c r="AM115" s="511"/>
      <c r="AN115" s="511"/>
      <c r="AO115" s="511"/>
      <c r="AP115" s="511"/>
      <c r="AQ115" s="511"/>
      <c r="AR115" s="511"/>
      <c r="AS115" s="511"/>
      <c r="AT115" s="511"/>
      <c r="AU115" s="511"/>
      <c r="AV115" s="511"/>
      <c r="AW115" s="511"/>
      <c r="AX115" s="511"/>
      <c r="AY115" s="511"/>
      <c r="AZ115" s="511"/>
      <c r="BA115" s="511"/>
      <c r="BB115" s="511"/>
      <c r="BC115" s="511"/>
      <c r="BD115" s="511"/>
      <c r="BE115" s="511"/>
      <c r="BF115" s="511"/>
      <c r="BG115" s="511"/>
      <c r="BH115" s="511"/>
      <c r="BI115" s="511"/>
      <c r="BJ115" s="511"/>
      <c r="BK115" s="511"/>
      <c r="BL115" s="511"/>
      <c r="BM115" s="511"/>
      <c r="BN115" s="511"/>
      <c r="BO115" s="511"/>
      <c r="BP115" s="511"/>
      <c r="BQ115" s="511"/>
      <c r="BR115" s="511"/>
      <c r="BS115" s="511"/>
      <c r="BT115" s="511"/>
      <c r="BU115" s="511"/>
      <c r="BV115" s="511"/>
      <c r="BW115" s="511"/>
      <c r="BX115" s="511" t="e">
        <f>IF(D104&gt;0.25,BX107,0)</f>
        <v>#VALUE!</v>
      </c>
    </row>
    <row r="116" spans="3:76">
      <c r="C116" s="513" t="s">
        <v>350</v>
      </c>
      <c r="D116" s="516">
        <v>0</v>
      </c>
      <c r="E116" s="283"/>
      <c r="F116" s="283"/>
      <c r="G116" s="283"/>
      <c r="H116" s="283"/>
      <c r="I116" s="283"/>
      <c r="J116" s="283"/>
      <c r="K116" s="283"/>
      <c r="L116" s="283"/>
      <c r="M116" s="283"/>
      <c r="N116" s="283"/>
      <c r="O116" s="283"/>
      <c r="P116" s="283"/>
      <c r="Q116" s="283"/>
      <c r="R116" s="283"/>
      <c r="S116" s="283"/>
      <c r="T116" s="283"/>
      <c r="U116" s="283"/>
      <c r="V116" s="283"/>
      <c r="W116" s="283"/>
      <c r="X116" s="283"/>
      <c r="Y116" s="283"/>
      <c r="Z116" s="283"/>
      <c r="AA116" s="283"/>
      <c r="AB116" s="283"/>
      <c r="AC116" s="283"/>
      <c r="AD116" s="283"/>
      <c r="AE116" s="283"/>
      <c r="AF116" s="283"/>
      <c r="AG116" s="283"/>
      <c r="AH116" s="283"/>
      <c r="AI116" s="283"/>
      <c r="AJ116" s="283"/>
      <c r="AK116" s="283"/>
      <c r="AL116" s="283"/>
      <c r="AM116" s="283"/>
      <c r="AN116" s="283"/>
      <c r="AO116" s="283"/>
      <c r="AP116" s="283"/>
      <c r="AQ116" s="283"/>
      <c r="AR116" s="283"/>
      <c r="AS116" s="283"/>
      <c r="AT116" s="283"/>
      <c r="AU116" s="283"/>
      <c r="AV116" s="283"/>
      <c r="AW116" s="283"/>
      <c r="AX116" s="283"/>
      <c r="AY116" s="283"/>
      <c r="AZ116" s="283"/>
      <c r="BA116" s="283"/>
      <c r="BB116" s="283"/>
      <c r="BC116" s="339"/>
      <c r="BD116" s="283"/>
      <c r="BE116" s="283"/>
      <c r="BF116" s="283"/>
      <c r="BG116" s="283"/>
      <c r="BH116" s="283"/>
      <c r="BI116" s="283"/>
      <c r="BJ116" s="283"/>
      <c r="BK116" s="283"/>
      <c r="BL116" s="283"/>
      <c r="BM116" s="283"/>
      <c r="BN116" s="283"/>
      <c r="BO116" s="283"/>
      <c r="BP116" s="283"/>
      <c r="BQ116" s="283"/>
      <c r="BR116" s="283"/>
      <c r="BS116" s="283"/>
      <c r="BT116" s="283"/>
      <c r="BU116" s="283"/>
      <c r="BV116" s="283"/>
      <c r="BW116" s="283"/>
      <c r="BX116" s="283"/>
    </row>
    <row r="117" spans="3:76">
      <c r="C117" s="335" t="s">
        <v>351</v>
      </c>
      <c r="D117" s="336"/>
      <c r="E117" s="517">
        <f t="shared" ref="E117:BW117" si="48">E111+E112+E113+E114+E116</f>
        <v>0</v>
      </c>
      <c r="F117" s="517">
        <f t="shared" si="48"/>
        <v>0</v>
      </c>
      <c r="G117" s="517">
        <f t="shared" si="48"/>
        <v>0</v>
      </c>
      <c r="H117" s="517">
        <f t="shared" si="48"/>
        <v>0</v>
      </c>
      <c r="I117" s="517">
        <f t="shared" si="48"/>
        <v>0</v>
      </c>
      <c r="J117" s="517">
        <f t="shared" si="48"/>
        <v>0</v>
      </c>
      <c r="K117" s="517">
        <f t="shared" si="48"/>
        <v>0</v>
      </c>
      <c r="L117" s="517">
        <f t="shared" si="48"/>
        <v>0</v>
      </c>
      <c r="M117" s="517">
        <f t="shared" si="48"/>
        <v>0</v>
      </c>
      <c r="N117" s="517">
        <f t="shared" si="48"/>
        <v>0</v>
      </c>
      <c r="O117" s="517">
        <f t="shared" si="48"/>
        <v>0</v>
      </c>
      <c r="P117" s="517">
        <f t="shared" si="48"/>
        <v>0</v>
      </c>
      <c r="Q117" s="517">
        <f t="shared" si="48"/>
        <v>0</v>
      </c>
      <c r="R117" s="517">
        <f t="shared" si="48"/>
        <v>0</v>
      </c>
      <c r="S117" s="517">
        <f t="shared" si="48"/>
        <v>0</v>
      </c>
      <c r="T117" s="517">
        <f t="shared" si="48"/>
        <v>0</v>
      </c>
      <c r="U117" s="517">
        <f t="shared" si="48"/>
        <v>0</v>
      </c>
      <c r="V117" s="517">
        <f t="shared" si="48"/>
        <v>0</v>
      </c>
      <c r="W117" s="517">
        <f t="shared" si="48"/>
        <v>0</v>
      </c>
      <c r="X117" s="517">
        <f t="shared" si="48"/>
        <v>0</v>
      </c>
      <c r="Y117" s="517">
        <f t="shared" si="48"/>
        <v>0</v>
      </c>
      <c r="Z117" s="517">
        <f t="shared" si="48"/>
        <v>0</v>
      </c>
      <c r="AA117" s="517">
        <f t="shared" si="48"/>
        <v>0</v>
      </c>
      <c r="AB117" s="517">
        <f t="shared" si="48"/>
        <v>0</v>
      </c>
      <c r="AC117" s="517">
        <f t="shared" si="48"/>
        <v>0</v>
      </c>
      <c r="AD117" s="517">
        <f t="shared" si="48"/>
        <v>0</v>
      </c>
      <c r="AE117" s="517">
        <f t="shared" si="48"/>
        <v>0</v>
      </c>
      <c r="AF117" s="517">
        <f t="shared" si="48"/>
        <v>0</v>
      </c>
      <c r="AG117" s="517">
        <f t="shared" si="48"/>
        <v>0</v>
      </c>
      <c r="AH117" s="517">
        <f t="shared" si="48"/>
        <v>0</v>
      </c>
      <c r="AI117" s="517">
        <f t="shared" si="48"/>
        <v>0</v>
      </c>
      <c r="AJ117" s="517">
        <f t="shared" si="48"/>
        <v>0</v>
      </c>
      <c r="AK117" s="517">
        <f t="shared" si="48"/>
        <v>0</v>
      </c>
      <c r="AL117" s="517">
        <f t="shared" si="48"/>
        <v>0</v>
      </c>
      <c r="AM117" s="517">
        <f t="shared" si="48"/>
        <v>0</v>
      </c>
      <c r="AN117" s="517">
        <f t="shared" si="48"/>
        <v>0</v>
      </c>
      <c r="AO117" s="517">
        <f t="shared" si="48"/>
        <v>0</v>
      </c>
      <c r="AP117" s="517">
        <f t="shared" si="48"/>
        <v>0</v>
      </c>
      <c r="AQ117" s="517">
        <f t="shared" si="48"/>
        <v>0</v>
      </c>
      <c r="AR117" s="517">
        <f t="shared" si="48"/>
        <v>0</v>
      </c>
      <c r="AS117" s="517">
        <f t="shared" si="48"/>
        <v>0</v>
      </c>
      <c r="AT117" s="517">
        <f t="shared" si="48"/>
        <v>0</v>
      </c>
      <c r="AU117" s="517">
        <f t="shared" si="48"/>
        <v>0</v>
      </c>
      <c r="AV117" s="517">
        <f t="shared" si="48"/>
        <v>0</v>
      </c>
      <c r="AW117" s="517">
        <f t="shared" si="48"/>
        <v>0</v>
      </c>
      <c r="AX117" s="517">
        <f t="shared" si="48"/>
        <v>0</v>
      </c>
      <c r="AY117" s="517">
        <f t="shared" si="48"/>
        <v>0</v>
      </c>
      <c r="AZ117" s="517">
        <f t="shared" si="48"/>
        <v>0</v>
      </c>
      <c r="BA117" s="517">
        <f t="shared" si="48"/>
        <v>0</v>
      </c>
      <c r="BB117" s="517">
        <f t="shared" si="48"/>
        <v>0</v>
      </c>
      <c r="BC117" s="517">
        <f t="shared" si="48"/>
        <v>0</v>
      </c>
      <c r="BD117" s="517">
        <f t="shared" si="48"/>
        <v>0</v>
      </c>
      <c r="BE117" s="517">
        <f t="shared" si="48"/>
        <v>0</v>
      </c>
      <c r="BF117" s="517">
        <f t="shared" si="48"/>
        <v>0</v>
      </c>
      <c r="BG117" s="517">
        <f t="shared" si="48"/>
        <v>0</v>
      </c>
      <c r="BH117" s="517">
        <f t="shared" si="48"/>
        <v>0</v>
      </c>
      <c r="BI117" s="517">
        <f t="shared" si="48"/>
        <v>0</v>
      </c>
      <c r="BJ117" s="517">
        <f t="shared" si="48"/>
        <v>0</v>
      </c>
      <c r="BK117" s="517">
        <f t="shared" si="48"/>
        <v>0</v>
      </c>
      <c r="BL117" s="517">
        <f t="shared" si="48"/>
        <v>0</v>
      </c>
      <c r="BM117" s="517">
        <f t="shared" si="48"/>
        <v>0</v>
      </c>
      <c r="BN117" s="517">
        <f t="shared" si="48"/>
        <v>0</v>
      </c>
      <c r="BO117" s="517">
        <f t="shared" si="48"/>
        <v>0</v>
      </c>
      <c r="BP117" s="517">
        <f t="shared" si="48"/>
        <v>0</v>
      </c>
      <c r="BQ117" s="517">
        <f t="shared" si="48"/>
        <v>0</v>
      </c>
      <c r="BR117" s="517">
        <f t="shared" si="48"/>
        <v>0</v>
      </c>
      <c r="BS117" s="517">
        <f t="shared" si="48"/>
        <v>0</v>
      </c>
      <c r="BT117" s="517">
        <f t="shared" si="48"/>
        <v>0</v>
      </c>
      <c r="BU117" s="517">
        <f t="shared" si="48"/>
        <v>0</v>
      </c>
      <c r="BV117" s="517">
        <f t="shared" si="48"/>
        <v>0</v>
      </c>
      <c r="BW117" s="517">
        <f t="shared" si="48"/>
        <v>0</v>
      </c>
      <c r="BX117" s="517" t="e">
        <f>BX111+BX112+BX113+BX114+BX115+BX116</f>
        <v>#VALUE!</v>
      </c>
    </row>
    <row r="118" spans="3:76">
      <c r="C118" s="513" t="s">
        <v>352</v>
      </c>
      <c r="D118" s="518" t="e">
        <f>IRR(E117:BX117)*12</f>
        <v>#VALUE!</v>
      </c>
      <c r="E118" s="265"/>
      <c r="F118" s="265"/>
      <c r="G118" s="265"/>
      <c r="H118" s="265"/>
      <c r="I118" s="265"/>
      <c r="J118" s="265"/>
      <c r="K118" s="265"/>
      <c r="L118" s="265"/>
      <c r="M118" s="265"/>
      <c r="N118" s="265"/>
      <c r="O118" s="265"/>
      <c r="P118" s="265"/>
      <c r="Q118" s="265"/>
      <c r="R118" s="265"/>
      <c r="S118" s="265"/>
      <c r="T118" s="265"/>
      <c r="U118" s="265"/>
      <c r="V118" s="265"/>
      <c r="W118" s="265"/>
      <c r="X118" s="265"/>
      <c r="Y118" s="265"/>
      <c r="Z118" s="265"/>
      <c r="AA118" s="265"/>
      <c r="AB118" s="265"/>
      <c r="AC118" s="265"/>
      <c r="AD118" s="265"/>
      <c r="AE118" s="265"/>
      <c r="AF118" s="265"/>
      <c r="AG118" s="265"/>
      <c r="AH118" s="265"/>
      <c r="AI118" s="265"/>
      <c r="AJ118" s="265"/>
      <c r="AK118" s="265"/>
      <c r="AL118" s="265"/>
      <c r="AM118" s="265"/>
      <c r="AN118" s="265"/>
      <c r="AO118" s="265"/>
      <c r="AP118" s="265"/>
      <c r="AQ118" s="265"/>
      <c r="AR118" s="265"/>
      <c r="AS118" s="265"/>
      <c r="AT118" s="265"/>
      <c r="AU118" s="265"/>
      <c r="AV118" s="265"/>
      <c r="AW118" s="265"/>
      <c r="AX118" s="265"/>
      <c r="AY118" s="265"/>
      <c r="AZ118" s="265"/>
      <c r="BA118" s="265"/>
      <c r="BB118" s="265"/>
      <c r="BC118" s="265"/>
      <c r="BD118" s="265"/>
      <c r="BE118" s="265"/>
      <c r="BF118" s="265"/>
      <c r="BG118" s="265"/>
      <c r="BH118" s="265"/>
      <c r="BI118" s="265"/>
      <c r="BJ118" s="265"/>
      <c r="BK118" s="265"/>
      <c r="BL118" s="265"/>
      <c r="BM118" s="265"/>
      <c r="BN118" s="265"/>
      <c r="BO118" s="265"/>
      <c r="BP118" s="265"/>
      <c r="BQ118" s="265"/>
      <c r="BR118" s="265"/>
      <c r="BS118" s="265"/>
      <c r="BT118" s="265"/>
      <c r="BU118" s="265"/>
      <c r="BV118" s="265"/>
      <c r="BW118" s="265"/>
      <c r="BX118" s="265"/>
    </row>
    <row r="119" spans="3:76">
      <c r="C119" s="519" t="s">
        <v>353</v>
      </c>
      <c r="D119" s="520">
        <f>-MIN(E111:BL111)</f>
        <v>0</v>
      </c>
      <c r="E119" s="265"/>
      <c r="F119" s="265"/>
      <c r="G119" s="265"/>
      <c r="H119" s="265"/>
      <c r="I119" s="265"/>
      <c r="J119" s="265"/>
      <c r="K119" s="265"/>
      <c r="L119" s="265"/>
      <c r="M119" s="265"/>
      <c r="N119" s="265"/>
      <c r="O119" s="265"/>
      <c r="P119" s="265"/>
      <c r="Q119" s="265"/>
      <c r="R119" s="265"/>
      <c r="S119" s="265"/>
      <c r="T119" s="265"/>
      <c r="U119" s="265"/>
      <c r="V119" s="265"/>
      <c r="W119" s="265"/>
      <c r="X119" s="265"/>
      <c r="Y119" s="265"/>
      <c r="Z119" s="265"/>
      <c r="AA119" s="265"/>
      <c r="AB119" s="265"/>
      <c r="AC119" s="265"/>
      <c r="AD119" s="265"/>
      <c r="AE119" s="265"/>
      <c r="AF119" s="265"/>
      <c r="AG119" s="265"/>
      <c r="AH119" s="265"/>
      <c r="AI119" s="265"/>
      <c r="AJ119" s="265"/>
      <c r="AK119" s="265"/>
      <c r="AL119" s="265"/>
      <c r="AM119" s="265"/>
      <c r="AN119" s="265"/>
      <c r="AO119" s="265"/>
      <c r="AP119" s="265"/>
      <c r="AQ119" s="265"/>
      <c r="AR119" s="265"/>
      <c r="AS119" s="265"/>
      <c r="AT119" s="265"/>
      <c r="AU119" s="265"/>
      <c r="AV119" s="265"/>
      <c r="AW119" s="265"/>
      <c r="AX119" s="265"/>
      <c r="AY119" s="265"/>
      <c r="AZ119" s="265"/>
      <c r="BA119" s="265"/>
      <c r="BB119" s="265"/>
      <c r="BC119" s="265"/>
      <c r="BD119" s="265"/>
      <c r="BE119" s="265"/>
      <c r="BF119" s="265"/>
      <c r="BG119" s="265"/>
      <c r="BH119" s="265"/>
      <c r="BI119" s="265"/>
      <c r="BJ119" s="265"/>
      <c r="BK119" s="265"/>
      <c r="BL119" s="265"/>
      <c r="BM119" s="265"/>
      <c r="BN119" s="265"/>
      <c r="BO119" s="265"/>
      <c r="BP119" s="265"/>
      <c r="BQ119" s="265"/>
      <c r="BR119" s="265"/>
      <c r="BS119" s="265"/>
      <c r="BT119" s="265"/>
      <c r="BU119" s="265"/>
      <c r="BV119" s="265"/>
      <c r="BW119" s="265"/>
      <c r="BX119" s="265"/>
    </row>
    <row r="120" spans="3:76">
      <c r="C120" s="513" t="s">
        <v>354</v>
      </c>
      <c r="D120" s="521">
        <f>D119</f>
        <v>0</v>
      </c>
      <c r="E120" s="265"/>
      <c r="F120" s="265"/>
      <c r="G120" s="265"/>
      <c r="H120" s="265"/>
      <c r="I120" s="265"/>
      <c r="J120" s="265"/>
      <c r="K120" s="265"/>
      <c r="L120" s="265"/>
      <c r="M120" s="265"/>
      <c r="N120" s="265"/>
      <c r="O120" s="265"/>
      <c r="P120" s="265"/>
      <c r="Q120" s="265"/>
      <c r="R120" s="265"/>
      <c r="S120" s="265"/>
      <c r="T120" s="265"/>
      <c r="U120" s="265"/>
      <c r="V120" s="265"/>
      <c r="W120" s="265"/>
      <c r="X120" s="265"/>
      <c r="Y120" s="265"/>
      <c r="Z120" s="265"/>
      <c r="AA120" s="265"/>
      <c r="AB120" s="265"/>
      <c r="AC120" s="265"/>
      <c r="AD120" s="265"/>
      <c r="AE120" s="265"/>
      <c r="AF120" s="265"/>
      <c r="AG120" s="265"/>
      <c r="AH120" s="265"/>
      <c r="AI120" s="265"/>
      <c r="AJ120" s="265"/>
      <c r="AK120" s="265"/>
      <c r="AL120" s="265"/>
      <c r="AM120" s="265"/>
      <c r="AN120" s="265"/>
      <c r="AO120" s="265"/>
      <c r="AP120" s="265"/>
      <c r="AQ120" s="265"/>
      <c r="AR120" s="265"/>
      <c r="AS120" s="265"/>
      <c r="AT120" s="265"/>
      <c r="AU120" s="265"/>
      <c r="AV120" s="265"/>
      <c r="AW120" s="265"/>
      <c r="AX120" s="265"/>
      <c r="AY120" s="265"/>
      <c r="AZ120" s="265"/>
      <c r="BA120" s="265"/>
      <c r="BB120" s="265"/>
      <c r="BC120" s="265"/>
      <c r="BD120" s="265"/>
      <c r="BE120" s="265"/>
      <c r="BF120" s="265"/>
      <c r="BG120" s="265"/>
      <c r="BH120" s="265"/>
      <c r="BI120" s="265"/>
      <c r="BJ120" s="265"/>
      <c r="BK120" s="265"/>
      <c r="BL120" s="265"/>
      <c r="BM120" s="265"/>
      <c r="BN120" s="265"/>
      <c r="BO120" s="265"/>
      <c r="BP120" s="265"/>
      <c r="BQ120" s="265"/>
      <c r="BR120" s="265"/>
      <c r="BS120" s="265"/>
      <c r="BT120" s="265"/>
      <c r="BU120" s="265"/>
      <c r="BV120" s="265"/>
      <c r="BW120" s="265"/>
      <c r="BX120" s="265"/>
    </row>
    <row r="121" spans="3:76">
      <c r="C121" s="513" t="s">
        <v>355</v>
      </c>
      <c r="D121" s="521" t="e">
        <f>BX113+BX114+BX115</f>
        <v>#VALUE!</v>
      </c>
      <c r="E121" s="265"/>
      <c r="F121" s="265"/>
      <c r="G121" s="265"/>
      <c r="H121" s="265"/>
      <c r="I121" s="265"/>
      <c r="J121" s="265"/>
      <c r="K121" s="265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5"/>
      <c r="AA121" s="265"/>
      <c r="AB121" s="265"/>
      <c r="AC121" s="265"/>
      <c r="AD121" s="265"/>
      <c r="AE121" s="265"/>
      <c r="AF121" s="265"/>
      <c r="AG121" s="265"/>
      <c r="AH121" s="265"/>
      <c r="AI121" s="265"/>
      <c r="AJ121" s="265"/>
      <c r="AK121" s="265"/>
      <c r="AL121" s="265"/>
      <c r="AM121" s="265"/>
      <c r="AN121" s="265"/>
      <c r="AO121" s="265"/>
      <c r="AP121" s="265"/>
      <c r="AQ121" s="265"/>
      <c r="AR121" s="265"/>
      <c r="AS121" s="265"/>
      <c r="AT121" s="265"/>
      <c r="AU121" s="265"/>
      <c r="AV121" s="265"/>
      <c r="AW121" s="265"/>
      <c r="AX121" s="265"/>
      <c r="AY121" s="265"/>
      <c r="AZ121" s="265"/>
      <c r="BA121" s="265"/>
      <c r="BB121" s="265"/>
      <c r="BC121" s="265"/>
      <c r="BD121" s="265"/>
      <c r="BE121" s="265"/>
      <c r="BF121" s="265"/>
      <c r="BG121" s="265"/>
      <c r="BH121" s="265"/>
      <c r="BI121" s="265"/>
      <c r="BJ121" s="265"/>
      <c r="BK121" s="265"/>
      <c r="BL121" s="265"/>
      <c r="BM121" s="265"/>
      <c r="BN121" s="265"/>
      <c r="BO121" s="265"/>
      <c r="BP121" s="265"/>
      <c r="BQ121" s="265"/>
      <c r="BR121" s="265"/>
      <c r="BS121" s="265"/>
      <c r="BT121" s="265"/>
      <c r="BU121" s="265"/>
      <c r="BV121" s="265"/>
      <c r="BW121" s="265"/>
      <c r="BX121" s="265"/>
    </row>
    <row r="122" spans="3:76">
      <c r="C122" s="513" t="s">
        <v>356</v>
      </c>
      <c r="D122" s="518" t="e">
        <f>D121/D120</f>
        <v>#VALUE!</v>
      </c>
      <c r="E122" s="265"/>
      <c r="F122" s="265"/>
      <c r="G122" s="265"/>
      <c r="H122" s="265"/>
      <c r="I122" s="265"/>
      <c r="J122" s="265"/>
      <c r="K122" s="265"/>
      <c r="L122" s="265"/>
      <c r="M122" s="265"/>
      <c r="N122" s="265"/>
      <c r="O122" s="265"/>
      <c r="P122" s="265"/>
      <c r="Q122" s="265"/>
      <c r="R122" s="265"/>
      <c r="S122" s="265"/>
      <c r="T122" s="265"/>
      <c r="U122" s="265"/>
      <c r="V122" s="265"/>
      <c r="W122" s="265"/>
      <c r="X122" s="265"/>
      <c r="Y122" s="265"/>
      <c r="Z122" s="265"/>
      <c r="AA122" s="265"/>
      <c r="AB122" s="265"/>
      <c r="AC122" s="265"/>
      <c r="AD122" s="265"/>
      <c r="AE122" s="265"/>
      <c r="AF122" s="265"/>
      <c r="AG122" s="265"/>
      <c r="AH122" s="265"/>
      <c r="AI122" s="265"/>
      <c r="AJ122" s="265"/>
      <c r="AK122" s="265"/>
      <c r="AL122" s="265"/>
      <c r="AM122" s="265"/>
      <c r="AN122" s="265"/>
      <c r="AO122" s="265"/>
      <c r="AP122" s="265"/>
      <c r="AQ122" s="265"/>
      <c r="AR122" s="265"/>
      <c r="AS122" s="265"/>
      <c r="AT122" s="265"/>
      <c r="AU122" s="265"/>
      <c r="AV122" s="265"/>
      <c r="AW122" s="265"/>
      <c r="AX122" s="265"/>
      <c r="AY122" s="265"/>
      <c r="AZ122" s="265"/>
      <c r="BA122" s="265"/>
      <c r="BB122" s="265"/>
      <c r="BC122" s="265"/>
      <c r="BD122" s="265"/>
      <c r="BE122" s="265"/>
      <c r="BF122" s="265"/>
      <c r="BG122" s="265"/>
      <c r="BH122" s="265"/>
      <c r="BI122" s="265"/>
      <c r="BJ122" s="265"/>
      <c r="BK122" s="265"/>
      <c r="BL122" s="265"/>
      <c r="BM122" s="265"/>
      <c r="BN122" s="265"/>
      <c r="BO122" s="265"/>
      <c r="BP122" s="265"/>
      <c r="BQ122" s="265"/>
      <c r="BR122" s="265"/>
      <c r="BS122" s="265"/>
      <c r="BT122" s="265"/>
      <c r="BU122" s="265"/>
      <c r="BV122" s="265"/>
      <c r="BW122" s="265"/>
      <c r="BX122" s="265"/>
    </row>
    <row r="123" spans="3:76">
      <c r="E123" s="265"/>
      <c r="F123" s="265"/>
      <c r="G123" s="265"/>
      <c r="H123" s="265"/>
      <c r="I123" s="265"/>
      <c r="J123" s="265"/>
      <c r="K123" s="265"/>
      <c r="L123" s="265"/>
      <c r="M123" s="265"/>
      <c r="N123" s="265"/>
      <c r="O123" s="265"/>
      <c r="P123" s="265"/>
      <c r="Q123" s="265"/>
      <c r="R123" s="265"/>
      <c r="S123" s="265"/>
      <c r="T123" s="265"/>
      <c r="U123" s="265"/>
      <c r="V123" s="265"/>
      <c r="W123" s="265"/>
      <c r="X123" s="265"/>
      <c r="Y123" s="265"/>
      <c r="Z123" s="265"/>
      <c r="AA123" s="265"/>
      <c r="AB123" s="265"/>
      <c r="AC123" s="265"/>
      <c r="AD123" s="265"/>
      <c r="AE123" s="265"/>
      <c r="AF123" s="265"/>
      <c r="AG123" s="265"/>
      <c r="AH123" s="265"/>
      <c r="AI123" s="265"/>
      <c r="AJ123" s="265"/>
      <c r="AK123" s="265"/>
      <c r="AL123" s="265"/>
      <c r="AM123" s="265"/>
      <c r="AN123" s="265"/>
      <c r="AO123" s="265"/>
      <c r="AP123" s="265"/>
      <c r="AQ123" s="265"/>
      <c r="AR123" s="265"/>
      <c r="AS123" s="265"/>
      <c r="AT123" s="265"/>
      <c r="AU123" s="265"/>
      <c r="AV123" s="265"/>
      <c r="AW123" s="265"/>
      <c r="AX123" s="265"/>
      <c r="AY123" s="265"/>
      <c r="AZ123" s="265"/>
      <c r="BA123" s="265"/>
      <c r="BB123" s="265"/>
      <c r="BC123" s="265"/>
      <c r="BD123" s="265"/>
      <c r="BE123" s="265"/>
      <c r="BF123" s="265"/>
      <c r="BG123" s="265"/>
      <c r="BH123" s="265"/>
      <c r="BI123" s="265"/>
      <c r="BJ123" s="265"/>
      <c r="BK123" s="265"/>
      <c r="BL123" s="265"/>
      <c r="BM123" s="265"/>
      <c r="BN123" s="265"/>
      <c r="BO123" s="265"/>
      <c r="BP123" s="265"/>
      <c r="BQ123" s="265"/>
      <c r="BR123" s="265"/>
      <c r="BS123" s="265"/>
      <c r="BT123" s="265"/>
      <c r="BU123" s="265"/>
      <c r="BV123" s="265"/>
      <c r="BW123" s="265"/>
      <c r="BX123" s="265"/>
    </row>
    <row r="124" spans="3:76">
      <c r="E124" s="265"/>
      <c r="F124" s="265"/>
      <c r="G124" s="265"/>
      <c r="H124" s="265"/>
      <c r="I124" s="265"/>
      <c r="J124" s="265"/>
      <c r="K124" s="265"/>
      <c r="L124" s="265"/>
      <c r="M124" s="265"/>
      <c r="N124" s="265"/>
      <c r="O124" s="265"/>
      <c r="P124" s="265"/>
      <c r="Q124" s="265"/>
      <c r="R124" s="265"/>
      <c r="S124" s="265"/>
      <c r="T124" s="265"/>
      <c r="U124" s="265"/>
      <c r="V124" s="265"/>
      <c r="W124" s="265"/>
      <c r="X124" s="265"/>
      <c r="Y124" s="265"/>
      <c r="Z124" s="265"/>
      <c r="AA124" s="265"/>
      <c r="AB124" s="265"/>
      <c r="AC124" s="265"/>
      <c r="AD124" s="265"/>
      <c r="AE124" s="265"/>
      <c r="AF124" s="265"/>
      <c r="AG124" s="265"/>
      <c r="AH124" s="265"/>
      <c r="AI124" s="265"/>
      <c r="AJ124" s="265"/>
      <c r="AK124" s="265"/>
      <c r="AL124" s="265"/>
      <c r="AM124" s="265"/>
      <c r="AN124" s="265"/>
      <c r="AO124" s="265"/>
      <c r="AP124" s="265"/>
      <c r="AQ124" s="265"/>
      <c r="AR124" s="265"/>
      <c r="AS124" s="265"/>
      <c r="AT124" s="265"/>
      <c r="AU124" s="265"/>
      <c r="AV124" s="265"/>
      <c r="AW124" s="265"/>
      <c r="AX124" s="265"/>
      <c r="AY124" s="265"/>
      <c r="AZ124" s="265"/>
      <c r="BA124" s="265"/>
      <c r="BB124" s="265"/>
      <c r="BC124" s="265"/>
      <c r="BD124" s="265"/>
      <c r="BE124" s="265"/>
      <c r="BF124" s="265"/>
      <c r="BG124" s="265"/>
      <c r="BH124" s="265"/>
      <c r="BI124" s="265"/>
      <c r="BJ124" s="265"/>
      <c r="BK124" s="265"/>
      <c r="BL124" s="265"/>
      <c r="BM124" s="265"/>
      <c r="BN124" s="265"/>
      <c r="BO124" s="265"/>
      <c r="BP124" s="265"/>
      <c r="BQ124" s="265"/>
      <c r="BR124" s="265"/>
      <c r="BS124" s="265"/>
      <c r="BT124" s="265"/>
      <c r="BU124" s="265"/>
      <c r="BV124" s="265"/>
      <c r="BW124" s="265"/>
      <c r="BX124" s="265"/>
    </row>
    <row r="125" spans="3:76">
      <c r="E125" s="265"/>
      <c r="F125" s="265"/>
      <c r="G125" s="265"/>
      <c r="H125" s="265"/>
      <c r="I125" s="265"/>
      <c r="J125" s="265"/>
      <c r="K125" s="265"/>
      <c r="L125" s="265"/>
      <c r="M125" s="265"/>
      <c r="N125" s="265"/>
      <c r="O125" s="265"/>
      <c r="P125" s="265"/>
      <c r="Q125" s="265"/>
      <c r="R125" s="265"/>
      <c r="S125" s="265"/>
      <c r="T125" s="265"/>
      <c r="U125" s="265"/>
      <c r="V125" s="265"/>
      <c r="W125" s="265"/>
      <c r="X125" s="265"/>
      <c r="Y125" s="265"/>
      <c r="Z125" s="265"/>
      <c r="AA125" s="265"/>
      <c r="AB125" s="265"/>
      <c r="AC125" s="265"/>
      <c r="AD125" s="265"/>
      <c r="AE125" s="265"/>
      <c r="AF125" s="265"/>
      <c r="AG125" s="265"/>
      <c r="AH125" s="265"/>
      <c r="AI125" s="265"/>
      <c r="AJ125" s="265"/>
      <c r="AK125" s="265"/>
      <c r="AL125" s="265"/>
      <c r="AM125" s="265"/>
      <c r="AN125" s="265"/>
      <c r="AO125" s="265"/>
      <c r="AP125" s="265"/>
      <c r="AQ125" s="265"/>
      <c r="AR125" s="265"/>
      <c r="AS125" s="265"/>
      <c r="AT125" s="265"/>
      <c r="AU125" s="265"/>
      <c r="AV125" s="265"/>
      <c r="AW125" s="265"/>
      <c r="AX125" s="265"/>
      <c r="AY125" s="265"/>
      <c r="AZ125" s="265"/>
      <c r="BA125" s="265"/>
      <c r="BB125" s="265"/>
      <c r="BC125" s="265"/>
      <c r="BD125" s="265"/>
      <c r="BE125" s="265"/>
      <c r="BF125" s="265"/>
      <c r="BG125" s="265"/>
      <c r="BH125" s="265"/>
      <c r="BI125" s="265"/>
      <c r="BJ125" s="265"/>
      <c r="BK125" s="265"/>
      <c r="BL125" s="265"/>
      <c r="BM125" s="265"/>
      <c r="BN125" s="265"/>
      <c r="BO125" s="265"/>
      <c r="BP125" s="265"/>
      <c r="BQ125" s="265"/>
      <c r="BR125" s="265"/>
      <c r="BS125" s="265"/>
      <c r="BT125" s="265"/>
      <c r="BU125" s="265"/>
      <c r="BV125" s="265"/>
      <c r="BW125" s="265"/>
      <c r="BX125" s="265"/>
    </row>
    <row r="126" spans="3:76">
      <c r="C126" s="335" t="s">
        <v>357</v>
      </c>
      <c r="D126" s="511"/>
      <c r="E126" s="511">
        <f t="shared" ref="E126:BX126" si="49">-(E6+E91)</f>
        <v>0</v>
      </c>
      <c r="F126" s="511">
        <f t="shared" si="49"/>
        <v>0</v>
      </c>
      <c r="G126" s="511">
        <f t="shared" si="49"/>
        <v>0</v>
      </c>
      <c r="H126" s="511">
        <f t="shared" si="49"/>
        <v>0</v>
      </c>
      <c r="I126" s="511">
        <f t="shared" si="49"/>
        <v>0</v>
      </c>
      <c r="J126" s="511">
        <f t="shared" si="49"/>
        <v>0</v>
      </c>
      <c r="K126" s="511">
        <f t="shared" si="49"/>
        <v>0</v>
      </c>
      <c r="L126" s="511">
        <f t="shared" si="49"/>
        <v>0</v>
      </c>
      <c r="M126" s="511">
        <f t="shared" si="49"/>
        <v>0</v>
      </c>
      <c r="N126" s="511">
        <f t="shared" si="49"/>
        <v>0</v>
      </c>
      <c r="O126" s="511">
        <f t="shared" si="49"/>
        <v>0</v>
      </c>
      <c r="P126" s="511">
        <f t="shared" si="49"/>
        <v>0</v>
      </c>
      <c r="Q126" s="511">
        <f t="shared" si="49"/>
        <v>0</v>
      </c>
      <c r="R126" s="511">
        <f t="shared" si="49"/>
        <v>0</v>
      </c>
      <c r="S126" s="511">
        <f t="shared" si="49"/>
        <v>-1200000</v>
      </c>
      <c r="T126" s="511">
        <f t="shared" si="49"/>
        <v>-15000000</v>
      </c>
      <c r="U126" s="511">
        <f t="shared" si="49"/>
        <v>-3700000</v>
      </c>
      <c r="V126" s="511">
        <f t="shared" si="49"/>
        <v>0</v>
      </c>
      <c r="W126" s="511">
        <f t="shared" si="49"/>
        <v>0</v>
      </c>
      <c r="X126" s="511">
        <f t="shared" si="49"/>
        <v>0</v>
      </c>
      <c r="Y126" s="511">
        <f t="shared" si="49"/>
        <v>0</v>
      </c>
      <c r="Z126" s="511">
        <f t="shared" si="49"/>
        <v>0</v>
      </c>
      <c r="AA126" s="511">
        <f t="shared" si="49"/>
        <v>0</v>
      </c>
      <c r="AB126" s="511">
        <f t="shared" si="49"/>
        <v>0</v>
      </c>
      <c r="AC126" s="511">
        <f t="shared" si="49"/>
        <v>19900000</v>
      </c>
      <c r="AD126" s="511">
        <f t="shared" si="49"/>
        <v>0</v>
      </c>
      <c r="AE126" s="511">
        <f t="shared" si="49"/>
        <v>0</v>
      </c>
      <c r="AF126" s="511">
        <f t="shared" si="49"/>
        <v>0</v>
      </c>
      <c r="AG126" s="511">
        <f t="shared" si="49"/>
        <v>0</v>
      </c>
      <c r="AH126" s="511">
        <f t="shared" si="49"/>
        <v>0</v>
      </c>
      <c r="AI126" s="511">
        <f t="shared" si="49"/>
        <v>0</v>
      </c>
      <c r="AJ126" s="511">
        <f t="shared" si="49"/>
        <v>0</v>
      </c>
      <c r="AK126" s="511">
        <f t="shared" si="49"/>
        <v>0</v>
      </c>
      <c r="AL126" s="511">
        <f t="shared" si="49"/>
        <v>0</v>
      </c>
      <c r="AM126" s="511">
        <f t="shared" si="49"/>
        <v>0</v>
      </c>
      <c r="AN126" s="511">
        <f t="shared" si="49"/>
        <v>0</v>
      </c>
      <c r="AO126" s="511">
        <f t="shared" si="49"/>
        <v>0</v>
      </c>
      <c r="AP126" s="511">
        <f t="shared" si="49"/>
        <v>0</v>
      </c>
      <c r="AQ126" s="511">
        <f t="shared" si="49"/>
        <v>0</v>
      </c>
      <c r="AR126" s="511">
        <f t="shared" si="49"/>
        <v>0</v>
      </c>
      <c r="AS126" s="511">
        <f t="shared" si="49"/>
        <v>0</v>
      </c>
      <c r="AT126" s="511">
        <f t="shared" si="49"/>
        <v>0</v>
      </c>
      <c r="AU126" s="511">
        <f t="shared" si="49"/>
        <v>0</v>
      </c>
      <c r="AV126" s="511">
        <f t="shared" si="49"/>
        <v>0</v>
      </c>
      <c r="AW126" s="511">
        <f t="shared" si="49"/>
        <v>0</v>
      </c>
      <c r="AX126" s="511">
        <f t="shared" si="49"/>
        <v>0</v>
      </c>
      <c r="AY126" s="511">
        <f t="shared" si="49"/>
        <v>0</v>
      </c>
      <c r="AZ126" s="511">
        <f t="shared" si="49"/>
        <v>0</v>
      </c>
      <c r="BA126" s="511">
        <f t="shared" si="49"/>
        <v>0</v>
      </c>
      <c r="BB126" s="511">
        <f t="shared" si="49"/>
        <v>0</v>
      </c>
      <c r="BC126" s="511">
        <f t="shared" si="49"/>
        <v>0</v>
      </c>
      <c r="BD126" s="511">
        <f t="shared" si="49"/>
        <v>0</v>
      </c>
      <c r="BE126" s="511">
        <f t="shared" si="49"/>
        <v>0</v>
      </c>
      <c r="BF126" s="511">
        <f t="shared" si="49"/>
        <v>0</v>
      </c>
      <c r="BG126" s="511">
        <f t="shared" si="49"/>
        <v>0</v>
      </c>
      <c r="BH126" s="511">
        <f t="shared" si="49"/>
        <v>0</v>
      </c>
      <c r="BI126" s="511">
        <f t="shared" si="49"/>
        <v>0</v>
      </c>
      <c r="BJ126" s="511">
        <f t="shared" si="49"/>
        <v>0</v>
      </c>
      <c r="BK126" s="511">
        <f t="shared" si="49"/>
        <v>0</v>
      </c>
      <c r="BL126" s="511">
        <f t="shared" si="49"/>
        <v>0</v>
      </c>
      <c r="BM126" s="511">
        <f t="shared" si="49"/>
        <v>0</v>
      </c>
      <c r="BN126" s="511">
        <f t="shared" si="49"/>
        <v>0</v>
      </c>
      <c r="BO126" s="511">
        <f t="shared" si="49"/>
        <v>0</v>
      </c>
      <c r="BP126" s="511">
        <f t="shared" si="49"/>
        <v>0</v>
      </c>
      <c r="BQ126" s="511">
        <f t="shared" si="49"/>
        <v>0</v>
      </c>
      <c r="BR126" s="511">
        <f t="shared" si="49"/>
        <v>0</v>
      </c>
      <c r="BS126" s="511">
        <f t="shared" si="49"/>
        <v>0</v>
      </c>
      <c r="BT126" s="511">
        <f t="shared" si="49"/>
        <v>0</v>
      </c>
      <c r="BU126" s="511">
        <f t="shared" si="49"/>
        <v>0</v>
      </c>
      <c r="BV126" s="511">
        <f t="shared" si="49"/>
        <v>0</v>
      </c>
      <c r="BW126" s="511">
        <f t="shared" si="49"/>
        <v>0</v>
      </c>
      <c r="BX126" s="511">
        <f t="shared" si="49"/>
        <v>0</v>
      </c>
    </row>
    <row r="127" spans="3:76">
      <c r="C127" s="335" t="s">
        <v>358</v>
      </c>
      <c r="D127" s="516"/>
      <c r="E127" s="511"/>
      <c r="F127" s="511"/>
      <c r="G127" s="511"/>
      <c r="H127" s="511"/>
      <c r="I127" s="511"/>
      <c r="J127" s="511"/>
      <c r="K127" s="511"/>
      <c r="L127" s="511"/>
      <c r="M127" s="511"/>
      <c r="N127" s="511"/>
      <c r="O127" s="511"/>
      <c r="P127" s="511">
        <f>-23199170</f>
        <v>-23199170</v>
      </c>
      <c r="Q127" s="511"/>
      <c r="R127" s="511"/>
      <c r="S127" s="511"/>
      <c r="T127" s="511"/>
      <c r="U127" s="511"/>
      <c r="V127" s="511"/>
      <c r="W127" s="511"/>
      <c r="X127" s="511"/>
      <c r="Y127" s="511"/>
      <c r="Z127" s="511"/>
      <c r="AA127" s="511"/>
      <c r="AB127" s="511"/>
      <c r="AC127" s="511"/>
      <c r="AD127" s="511"/>
      <c r="AE127" s="511"/>
      <c r="AF127" s="511"/>
      <c r="AG127" s="511"/>
      <c r="AH127" s="511"/>
      <c r="AI127" s="511"/>
      <c r="AJ127" s="511"/>
      <c r="AK127" s="511"/>
      <c r="AL127" s="511"/>
      <c r="AM127" s="511"/>
      <c r="AN127" s="511"/>
      <c r="AO127" s="511"/>
      <c r="AP127" s="511"/>
      <c r="AQ127" s="511"/>
      <c r="AR127" s="511"/>
      <c r="AS127" s="511"/>
      <c r="AT127" s="511"/>
      <c r="AU127" s="511"/>
      <c r="AV127" s="511"/>
      <c r="AW127" s="511"/>
      <c r="AX127" s="511"/>
      <c r="AY127" s="511"/>
      <c r="AZ127" s="511"/>
      <c r="BA127" s="511"/>
      <c r="BB127" s="511"/>
      <c r="BC127" s="511"/>
      <c r="BD127" s="511"/>
      <c r="BE127" s="511"/>
      <c r="BF127" s="511"/>
      <c r="BG127" s="511"/>
      <c r="BH127" s="511"/>
      <c r="BI127" s="511"/>
      <c r="BJ127" s="511"/>
      <c r="BK127" s="511"/>
      <c r="BL127" s="511"/>
      <c r="BM127" s="511"/>
      <c r="BN127" s="511"/>
      <c r="BO127" s="511"/>
      <c r="BP127" s="511"/>
      <c r="BQ127" s="511"/>
      <c r="BR127" s="511"/>
      <c r="BS127" s="511"/>
      <c r="BT127" s="511"/>
      <c r="BU127" s="511"/>
      <c r="BV127" s="511"/>
      <c r="BW127" s="511"/>
      <c r="BX127" s="511"/>
    </row>
    <row r="128" spans="3:76">
      <c r="C128" s="335" t="s">
        <v>348</v>
      </c>
      <c r="D128" s="516"/>
      <c r="E128" s="511">
        <f t="shared" ref="E128:BX128" si="50">-E56</f>
        <v>0</v>
      </c>
      <c r="F128" s="511">
        <f t="shared" si="50"/>
        <v>0</v>
      </c>
      <c r="G128" s="511">
        <f t="shared" si="50"/>
        <v>0</v>
      </c>
      <c r="H128" s="511">
        <f t="shared" si="50"/>
        <v>0</v>
      </c>
      <c r="I128" s="511">
        <f t="shared" si="50"/>
        <v>0</v>
      </c>
      <c r="J128" s="511">
        <f t="shared" si="50"/>
        <v>0</v>
      </c>
      <c r="K128" s="511">
        <f t="shared" si="50"/>
        <v>0</v>
      </c>
      <c r="L128" s="511">
        <f t="shared" si="50"/>
        <v>0</v>
      </c>
      <c r="M128" s="511">
        <f t="shared" si="50"/>
        <v>0</v>
      </c>
      <c r="N128" s="511">
        <f t="shared" si="50"/>
        <v>0</v>
      </c>
      <c r="O128" s="511">
        <f t="shared" si="50"/>
        <v>0</v>
      </c>
      <c r="P128" s="511">
        <f t="shared" si="50"/>
        <v>0</v>
      </c>
      <c r="Q128" s="511">
        <f t="shared" si="50"/>
        <v>0</v>
      </c>
      <c r="R128" s="511">
        <f t="shared" si="50"/>
        <v>0</v>
      </c>
      <c r="S128" s="511">
        <f t="shared" si="50"/>
        <v>0</v>
      </c>
      <c r="T128" s="511">
        <f t="shared" si="50"/>
        <v>0</v>
      </c>
      <c r="U128" s="511">
        <f t="shared" si="50"/>
        <v>0</v>
      </c>
      <c r="V128" s="511">
        <f t="shared" si="50"/>
        <v>0</v>
      </c>
      <c r="W128" s="511">
        <f t="shared" si="50"/>
        <v>0</v>
      </c>
      <c r="X128" s="511">
        <f t="shared" si="50"/>
        <v>0</v>
      </c>
      <c r="Y128" s="511">
        <f t="shared" si="50"/>
        <v>0</v>
      </c>
      <c r="Z128" s="511">
        <f t="shared" si="50"/>
        <v>0</v>
      </c>
      <c r="AA128" s="511">
        <f t="shared" si="50"/>
        <v>0</v>
      </c>
      <c r="AB128" s="511">
        <f t="shared" si="50"/>
        <v>0</v>
      </c>
      <c r="AC128" s="511">
        <f t="shared" si="50"/>
        <v>1801250.0000000002</v>
      </c>
      <c r="AD128" s="511">
        <f t="shared" si="50"/>
        <v>0</v>
      </c>
      <c r="AE128" s="511">
        <f t="shared" si="50"/>
        <v>0</v>
      </c>
      <c r="AF128" s="511">
        <f t="shared" si="50"/>
        <v>0</v>
      </c>
      <c r="AG128" s="511">
        <f t="shared" si="50"/>
        <v>0</v>
      </c>
      <c r="AH128" s="511">
        <f t="shared" si="50"/>
        <v>0</v>
      </c>
      <c r="AI128" s="511">
        <f t="shared" si="50"/>
        <v>0</v>
      </c>
      <c r="AJ128" s="511">
        <f t="shared" si="50"/>
        <v>0</v>
      </c>
      <c r="AK128" s="511">
        <f t="shared" si="50"/>
        <v>0</v>
      </c>
      <c r="AL128" s="511">
        <f t="shared" si="50"/>
        <v>0</v>
      </c>
      <c r="AM128" s="511">
        <f t="shared" si="50"/>
        <v>0</v>
      </c>
      <c r="AN128" s="511">
        <f t="shared" si="50"/>
        <v>0</v>
      </c>
      <c r="AO128" s="511">
        <f t="shared" si="50"/>
        <v>0</v>
      </c>
      <c r="AP128" s="511">
        <f t="shared" si="50"/>
        <v>0</v>
      </c>
      <c r="AQ128" s="511">
        <f t="shared" si="50"/>
        <v>0</v>
      </c>
      <c r="AR128" s="511">
        <f t="shared" si="50"/>
        <v>0</v>
      </c>
      <c r="AS128" s="511">
        <f t="shared" si="50"/>
        <v>0</v>
      </c>
      <c r="AT128" s="511">
        <f t="shared" si="50"/>
        <v>0</v>
      </c>
      <c r="AU128" s="511">
        <f t="shared" si="50"/>
        <v>0</v>
      </c>
      <c r="AV128" s="511">
        <f t="shared" si="50"/>
        <v>0</v>
      </c>
      <c r="AW128" s="511">
        <f t="shared" si="50"/>
        <v>0</v>
      </c>
      <c r="AX128" s="511">
        <f t="shared" si="50"/>
        <v>0</v>
      </c>
      <c r="AY128" s="511">
        <f t="shared" si="50"/>
        <v>0</v>
      </c>
      <c r="AZ128" s="511">
        <f t="shared" si="50"/>
        <v>0</v>
      </c>
      <c r="BA128" s="511">
        <f t="shared" si="50"/>
        <v>0</v>
      </c>
      <c r="BB128" s="511">
        <f t="shared" si="50"/>
        <v>0</v>
      </c>
      <c r="BC128" s="511">
        <f t="shared" si="50"/>
        <v>0</v>
      </c>
      <c r="BD128" s="511">
        <f t="shared" si="50"/>
        <v>0</v>
      </c>
      <c r="BE128" s="511">
        <f t="shared" si="50"/>
        <v>0</v>
      </c>
      <c r="BF128" s="511">
        <f t="shared" si="50"/>
        <v>0</v>
      </c>
      <c r="BG128" s="511">
        <f t="shared" si="50"/>
        <v>0</v>
      </c>
      <c r="BH128" s="511">
        <f t="shared" si="50"/>
        <v>0</v>
      </c>
      <c r="BI128" s="511">
        <f t="shared" si="50"/>
        <v>0</v>
      </c>
      <c r="BJ128" s="511">
        <f t="shared" si="50"/>
        <v>0</v>
      </c>
      <c r="BK128" s="511">
        <f t="shared" si="50"/>
        <v>0</v>
      </c>
      <c r="BL128" s="511">
        <f t="shared" si="50"/>
        <v>0</v>
      </c>
      <c r="BM128" s="511">
        <f t="shared" si="50"/>
        <v>0</v>
      </c>
      <c r="BN128" s="511">
        <f t="shared" si="50"/>
        <v>0</v>
      </c>
      <c r="BO128" s="511">
        <f t="shared" si="50"/>
        <v>0</v>
      </c>
      <c r="BP128" s="511">
        <f t="shared" si="50"/>
        <v>0</v>
      </c>
      <c r="BQ128" s="511">
        <f t="shared" si="50"/>
        <v>0</v>
      </c>
      <c r="BR128" s="511">
        <f t="shared" si="50"/>
        <v>0</v>
      </c>
      <c r="BS128" s="511">
        <f t="shared" si="50"/>
        <v>0</v>
      </c>
      <c r="BT128" s="511">
        <f t="shared" si="50"/>
        <v>0</v>
      </c>
      <c r="BU128" s="511">
        <f t="shared" si="50"/>
        <v>0</v>
      </c>
      <c r="BV128" s="511">
        <f t="shared" si="50"/>
        <v>0</v>
      </c>
      <c r="BW128" s="511">
        <f t="shared" si="50"/>
        <v>0</v>
      </c>
      <c r="BX128" s="511">
        <f t="shared" si="50"/>
        <v>0</v>
      </c>
    </row>
    <row r="129" spans="3:76">
      <c r="C129" s="335" t="s">
        <v>349</v>
      </c>
      <c r="D129" s="516"/>
      <c r="E129" s="511"/>
      <c r="F129" s="511"/>
      <c r="G129" s="511"/>
      <c r="H129" s="511"/>
      <c r="I129" s="511"/>
      <c r="J129" s="511"/>
      <c r="K129" s="511"/>
      <c r="L129" s="511"/>
      <c r="M129" s="511"/>
      <c r="N129" s="511"/>
      <c r="O129" s="511"/>
      <c r="P129" s="511"/>
      <c r="Q129" s="511"/>
      <c r="R129" s="511"/>
      <c r="S129" s="511"/>
      <c r="T129" s="511"/>
      <c r="U129" s="511"/>
      <c r="V129" s="511"/>
      <c r="W129" s="511"/>
      <c r="X129" s="511"/>
      <c r="Y129" s="511"/>
      <c r="Z129" s="511"/>
      <c r="AA129" s="511"/>
      <c r="AB129" s="511"/>
      <c r="AC129" s="511"/>
      <c r="AD129" s="511"/>
      <c r="AE129" s="511"/>
      <c r="AF129" s="511"/>
      <c r="AG129" s="511"/>
      <c r="AH129" s="511"/>
      <c r="AI129" s="511"/>
      <c r="AJ129" s="511"/>
      <c r="AK129" s="511"/>
      <c r="AL129" s="511"/>
      <c r="AM129" s="511"/>
      <c r="AN129" s="511"/>
      <c r="AO129" s="511"/>
      <c r="AP129" s="511"/>
      <c r="AQ129" s="511"/>
      <c r="AR129" s="511"/>
      <c r="AS129" s="511"/>
      <c r="AT129" s="511"/>
      <c r="AU129" s="511"/>
      <c r="AV129" s="511"/>
      <c r="AW129" s="511"/>
      <c r="AX129" s="511"/>
      <c r="AY129" s="511"/>
      <c r="AZ129" s="511"/>
      <c r="BA129" s="511"/>
      <c r="BB129" s="511"/>
      <c r="BC129" s="511"/>
      <c r="BD129" s="511"/>
      <c r="BE129" s="511"/>
      <c r="BF129" s="511"/>
      <c r="BG129" s="511"/>
      <c r="BH129" s="511"/>
      <c r="BI129" s="511"/>
      <c r="BJ129" s="511"/>
      <c r="BK129" s="511"/>
      <c r="BL129" s="511"/>
      <c r="BM129" s="511"/>
      <c r="BN129" s="511"/>
      <c r="BO129" s="511"/>
      <c r="BP129" s="511"/>
      <c r="BQ129" s="511"/>
      <c r="BR129" s="511"/>
      <c r="BS129" s="511"/>
      <c r="BT129" s="511"/>
      <c r="BU129" s="511"/>
      <c r="BV129" s="511"/>
      <c r="BW129" s="511"/>
      <c r="BX129" s="511" t="e">
        <f>IF(D104&gt;0.25,(BX99-BX107)*D130,BX99*D130)</f>
        <v>#VALUE!</v>
      </c>
    </row>
    <row r="130" spans="3:76">
      <c r="C130" s="513" t="s">
        <v>350</v>
      </c>
      <c r="D130" s="516">
        <v>0</v>
      </c>
      <c r="E130" s="283"/>
      <c r="F130" s="283"/>
      <c r="G130" s="283"/>
      <c r="H130" s="283"/>
      <c r="I130" s="283"/>
      <c r="J130" s="283"/>
      <c r="K130" s="283"/>
      <c r="L130" s="283"/>
      <c r="M130" s="283"/>
      <c r="N130" s="283"/>
      <c r="O130" s="283"/>
      <c r="P130" s="283"/>
      <c r="Q130" s="283"/>
      <c r="R130" s="283"/>
      <c r="S130" s="283"/>
      <c r="T130" s="283"/>
      <c r="U130" s="283"/>
      <c r="V130" s="283"/>
      <c r="W130" s="283"/>
      <c r="X130" s="283"/>
      <c r="Y130" s="283"/>
      <c r="Z130" s="283"/>
      <c r="AA130" s="283"/>
      <c r="AB130" s="283"/>
      <c r="AC130" s="283"/>
      <c r="AD130" s="283"/>
      <c r="AE130" s="283"/>
      <c r="AF130" s="283"/>
      <c r="AG130" s="283"/>
      <c r="AH130" s="283"/>
      <c r="AI130" s="283"/>
      <c r="AJ130" s="283"/>
      <c r="AK130" s="283"/>
      <c r="AL130" s="283"/>
      <c r="AM130" s="283"/>
      <c r="AN130" s="283"/>
      <c r="AO130" s="283"/>
      <c r="AP130" s="283"/>
      <c r="AQ130" s="283"/>
      <c r="AR130" s="283"/>
      <c r="AS130" s="283"/>
      <c r="AT130" s="283"/>
      <c r="AU130" s="283"/>
      <c r="AV130" s="283"/>
      <c r="AW130" s="283"/>
      <c r="AX130" s="283"/>
      <c r="AY130" s="283"/>
      <c r="AZ130" s="283"/>
      <c r="BA130" s="283"/>
      <c r="BB130" s="283"/>
      <c r="BC130" s="283"/>
      <c r="BD130" s="283"/>
      <c r="BE130" s="283"/>
      <c r="BF130" s="283"/>
      <c r="BG130" s="283"/>
      <c r="BH130" s="283"/>
      <c r="BI130" s="283"/>
      <c r="BJ130" s="283"/>
      <c r="BK130" s="283"/>
      <c r="BL130" s="283"/>
      <c r="BM130" s="283"/>
      <c r="BN130" s="283"/>
      <c r="BO130" s="283"/>
      <c r="BP130" s="283"/>
      <c r="BQ130" s="283"/>
      <c r="BR130" s="283"/>
      <c r="BS130" s="283"/>
      <c r="BT130" s="283"/>
      <c r="BU130" s="283"/>
      <c r="BV130" s="283"/>
      <c r="BW130" s="283"/>
      <c r="BX130" s="283"/>
    </row>
    <row r="131" spans="3:76">
      <c r="C131" s="335" t="s">
        <v>351</v>
      </c>
      <c r="D131" s="511"/>
      <c r="E131" s="517">
        <f t="shared" ref="E131:BX131" si="51">E126+E127+E128+E129+E130</f>
        <v>0</v>
      </c>
      <c r="F131" s="517">
        <f t="shared" si="51"/>
        <v>0</v>
      </c>
      <c r="G131" s="517">
        <f t="shared" si="51"/>
        <v>0</v>
      </c>
      <c r="H131" s="517">
        <f t="shared" si="51"/>
        <v>0</v>
      </c>
      <c r="I131" s="517">
        <f t="shared" si="51"/>
        <v>0</v>
      </c>
      <c r="J131" s="517">
        <f t="shared" si="51"/>
        <v>0</v>
      </c>
      <c r="K131" s="517">
        <f t="shared" si="51"/>
        <v>0</v>
      </c>
      <c r="L131" s="517">
        <f t="shared" si="51"/>
        <v>0</v>
      </c>
      <c r="M131" s="517">
        <f t="shared" si="51"/>
        <v>0</v>
      </c>
      <c r="N131" s="517">
        <f t="shared" si="51"/>
        <v>0</v>
      </c>
      <c r="O131" s="517">
        <f t="shared" si="51"/>
        <v>0</v>
      </c>
      <c r="P131" s="517">
        <f t="shared" si="51"/>
        <v>-23199170</v>
      </c>
      <c r="Q131" s="517">
        <f t="shared" si="51"/>
        <v>0</v>
      </c>
      <c r="R131" s="517">
        <f t="shared" si="51"/>
        <v>0</v>
      </c>
      <c r="S131" s="517">
        <f t="shared" si="51"/>
        <v>-1200000</v>
      </c>
      <c r="T131" s="517">
        <f t="shared" si="51"/>
        <v>-15000000</v>
      </c>
      <c r="U131" s="517">
        <f t="shared" si="51"/>
        <v>-3700000</v>
      </c>
      <c r="V131" s="517">
        <f t="shared" si="51"/>
        <v>0</v>
      </c>
      <c r="W131" s="517">
        <f t="shared" si="51"/>
        <v>0</v>
      </c>
      <c r="X131" s="517">
        <f t="shared" si="51"/>
        <v>0</v>
      </c>
      <c r="Y131" s="517">
        <f t="shared" si="51"/>
        <v>0</v>
      </c>
      <c r="Z131" s="517">
        <f t="shared" si="51"/>
        <v>0</v>
      </c>
      <c r="AA131" s="517">
        <f t="shared" si="51"/>
        <v>0</v>
      </c>
      <c r="AB131" s="517">
        <f t="shared" si="51"/>
        <v>0</v>
      </c>
      <c r="AC131" s="517">
        <f t="shared" si="51"/>
        <v>21701250</v>
      </c>
      <c r="AD131" s="517">
        <f t="shared" si="51"/>
        <v>0</v>
      </c>
      <c r="AE131" s="517">
        <f t="shared" si="51"/>
        <v>0</v>
      </c>
      <c r="AF131" s="517">
        <f t="shared" si="51"/>
        <v>0</v>
      </c>
      <c r="AG131" s="517">
        <f t="shared" si="51"/>
        <v>0</v>
      </c>
      <c r="AH131" s="517">
        <f t="shared" si="51"/>
        <v>0</v>
      </c>
      <c r="AI131" s="517">
        <f t="shared" si="51"/>
        <v>0</v>
      </c>
      <c r="AJ131" s="517">
        <f t="shared" si="51"/>
        <v>0</v>
      </c>
      <c r="AK131" s="517">
        <f t="shared" si="51"/>
        <v>0</v>
      </c>
      <c r="AL131" s="517">
        <f t="shared" si="51"/>
        <v>0</v>
      </c>
      <c r="AM131" s="517">
        <f t="shared" si="51"/>
        <v>0</v>
      </c>
      <c r="AN131" s="517">
        <f t="shared" si="51"/>
        <v>0</v>
      </c>
      <c r="AO131" s="517">
        <f t="shared" si="51"/>
        <v>0</v>
      </c>
      <c r="AP131" s="517">
        <f t="shared" si="51"/>
        <v>0</v>
      </c>
      <c r="AQ131" s="517">
        <f t="shared" si="51"/>
        <v>0</v>
      </c>
      <c r="AR131" s="517">
        <f t="shared" si="51"/>
        <v>0</v>
      </c>
      <c r="AS131" s="517">
        <f t="shared" si="51"/>
        <v>0</v>
      </c>
      <c r="AT131" s="517">
        <f t="shared" si="51"/>
        <v>0</v>
      </c>
      <c r="AU131" s="517">
        <f t="shared" si="51"/>
        <v>0</v>
      </c>
      <c r="AV131" s="517">
        <f t="shared" si="51"/>
        <v>0</v>
      </c>
      <c r="AW131" s="517">
        <f t="shared" si="51"/>
        <v>0</v>
      </c>
      <c r="AX131" s="517">
        <f t="shared" si="51"/>
        <v>0</v>
      </c>
      <c r="AY131" s="517">
        <f t="shared" si="51"/>
        <v>0</v>
      </c>
      <c r="AZ131" s="517">
        <f t="shared" si="51"/>
        <v>0</v>
      </c>
      <c r="BA131" s="517">
        <f t="shared" si="51"/>
        <v>0</v>
      </c>
      <c r="BB131" s="517">
        <f t="shared" si="51"/>
        <v>0</v>
      </c>
      <c r="BC131" s="517">
        <f t="shared" si="51"/>
        <v>0</v>
      </c>
      <c r="BD131" s="517">
        <f t="shared" si="51"/>
        <v>0</v>
      </c>
      <c r="BE131" s="517">
        <f t="shared" si="51"/>
        <v>0</v>
      </c>
      <c r="BF131" s="517">
        <f t="shared" si="51"/>
        <v>0</v>
      </c>
      <c r="BG131" s="517">
        <f t="shared" si="51"/>
        <v>0</v>
      </c>
      <c r="BH131" s="517">
        <f t="shared" si="51"/>
        <v>0</v>
      </c>
      <c r="BI131" s="517">
        <f t="shared" si="51"/>
        <v>0</v>
      </c>
      <c r="BJ131" s="517">
        <f t="shared" si="51"/>
        <v>0</v>
      </c>
      <c r="BK131" s="517">
        <f t="shared" si="51"/>
        <v>0</v>
      </c>
      <c r="BL131" s="517">
        <f t="shared" si="51"/>
        <v>0</v>
      </c>
      <c r="BM131" s="517">
        <f t="shared" si="51"/>
        <v>0</v>
      </c>
      <c r="BN131" s="517">
        <f t="shared" si="51"/>
        <v>0</v>
      </c>
      <c r="BO131" s="517">
        <f t="shared" si="51"/>
        <v>0</v>
      </c>
      <c r="BP131" s="517">
        <f t="shared" si="51"/>
        <v>0</v>
      </c>
      <c r="BQ131" s="517">
        <f t="shared" si="51"/>
        <v>0</v>
      </c>
      <c r="BR131" s="517">
        <f t="shared" si="51"/>
        <v>0</v>
      </c>
      <c r="BS131" s="517">
        <f t="shared" si="51"/>
        <v>0</v>
      </c>
      <c r="BT131" s="517">
        <f t="shared" si="51"/>
        <v>0</v>
      </c>
      <c r="BU131" s="517">
        <f t="shared" si="51"/>
        <v>0</v>
      </c>
      <c r="BV131" s="517">
        <f t="shared" si="51"/>
        <v>0</v>
      </c>
      <c r="BW131" s="517">
        <f t="shared" si="51"/>
        <v>0</v>
      </c>
      <c r="BX131" s="517" t="e">
        <f t="shared" si="51"/>
        <v>#VALUE!</v>
      </c>
    </row>
    <row r="132" spans="3:76">
      <c r="C132" s="336"/>
      <c r="D132" s="518" t="s">
        <v>359</v>
      </c>
      <c r="E132" s="522">
        <f>E131</f>
        <v>0</v>
      </c>
      <c r="F132" s="522">
        <f t="shared" ref="F132:BX132" si="52">E132+F131</f>
        <v>0</v>
      </c>
      <c r="G132" s="522">
        <f t="shared" si="52"/>
        <v>0</v>
      </c>
      <c r="H132" s="522">
        <f t="shared" si="52"/>
        <v>0</v>
      </c>
      <c r="I132" s="522">
        <f t="shared" si="52"/>
        <v>0</v>
      </c>
      <c r="J132" s="522">
        <f t="shared" si="52"/>
        <v>0</v>
      </c>
      <c r="K132" s="522">
        <f t="shared" si="52"/>
        <v>0</v>
      </c>
      <c r="L132" s="522">
        <f t="shared" si="52"/>
        <v>0</v>
      </c>
      <c r="M132" s="522">
        <f t="shared" si="52"/>
        <v>0</v>
      </c>
      <c r="N132" s="522">
        <f t="shared" si="52"/>
        <v>0</v>
      </c>
      <c r="O132" s="522">
        <f t="shared" si="52"/>
        <v>0</v>
      </c>
      <c r="P132" s="522">
        <f t="shared" si="52"/>
        <v>-23199170</v>
      </c>
      <c r="Q132" s="522">
        <f t="shared" si="52"/>
        <v>-23199170</v>
      </c>
      <c r="R132" s="522">
        <f t="shared" si="52"/>
        <v>-23199170</v>
      </c>
      <c r="S132" s="522">
        <f t="shared" si="52"/>
        <v>-24399170</v>
      </c>
      <c r="T132" s="522">
        <f t="shared" si="52"/>
        <v>-39399170</v>
      </c>
      <c r="U132" s="522">
        <f t="shared" si="52"/>
        <v>-43099170</v>
      </c>
      <c r="V132" s="522">
        <f t="shared" si="52"/>
        <v>-43099170</v>
      </c>
      <c r="W132" s="522">
        <f t="shared" si="52"/>
        <v>-43099170</v>
      </c>
      <c r="X132" s="522">
        <f t="shared" si="52"/>
        <v>-43099170</v>
      </c>
      <c r="Y132" s="522">
        <f t="shared" si="52"/>
        <v>-43099170</v>
      </c>
      <c r="Z132" s="522">
        <f t="shared" si="52"/>
        <v>-43099170</v>
      </c>
      <c r="AA132" s="522">
        <f t="shared" si="52"/>
        <v>-43099170</v>
      </c>
      <c r="AB132" s="522">
        <f t="shared" si="52"/>
        <v>-43099170</v>
      </c>
      <c r="AC132" s="522">
        <f t="shared" si="52"/>
        <v>-21397920</v>
      </c>
      <c r="AD132" s="522">
        <f t="shared" si="52"/>
        <v>-21397920</v>
      </c>
      <c r="AE132" s="522">
        <f t="shared" si="52"/>
        <v>-21397920</v>
      </c>
      <c r="AF132" s="522">
        <f t="shared" si="52"/>
        <v>-21397920</v>
      </c>
      <c r="AG132" s="522">
        <f t="shared" si="52"/>
        <v>-21397920</v>
      </c>
      <c r="AH132" s="522">
        <f t="shared" si="52"/>
        <v>-21397920</v>
      </c>
      <c r="AI132" s="522">
        <f t="shared" si="52"/>
        <v>-21397920</v>
      </c>
      <c r="AJ132" s="522">
        <f t="shared" si="52"/>
        <v>-21397920</v>
      </c>
      <c r="AK132" s="522">
        <f t="shared" si="52"/>
        <v>-21397920</v>
      </c>
      <c r="AL132" s="522">
        <f t="shared" si="52"/>
        <v>-21397920</v>
      </c>
      <c r="AM132" s="522">
        <f t="shared" si="52"/>
        <v>-21397920</v>
      </c>
      <c r="AN132" s="522">
        <f t="shared" si="52"/>
        <v>-21397920</v>
      </c>
      <c r="AO132" s="522">
        <f t="shared" si="52"/>
        <v>-21397920</v>
      </c>
      <c r="AP132" s="522">
        <f t="shared" si="52"/>
        <v>-21397920</v>
      </c>
      <c r="AQ132" s="522">
        <f t="shared" si="52"/>
        <v>-21397920</v>
      </c>
      <c r="AR132" s="522">
        <f t="shared" si="52"/>
        <v>-21397920</v>
      </c>
      <c r="AS132" s="522">
        <f t="shared" si="52"/>
        <v>-21397920</v>
      </c>
      <c r="AT132" s="522">
        <f t="shared" si="52"/>
        <v>-21397920</v>
      </c>
      <c r="AU132" s="522">
        <f t="shared" si="52"/>
        <v>-21397920</v>
      </c>
      <c r="AV132" s="522">
        <f t="shared" si="52"/>
        <v>-21397920</v>
      </c>
      <c r="AW132" s="522">
        <f t="shared" si="52"/>
        <v>-21397920</v>
      </c>
      <c r="AX132" s="522">
        <f t="shared" si="52"/>
        <v>-21397920</v>
      </c>
      <c r="AY132" s="522">
        <f t="shared" si="52"/>
        <v>-21397920</v>
      </c>
      <c r="AZ132" s="522">
        <f t="shared" si="52"/>
        <v>-21397920</v>
      </c>
      <c r="BA132" s="522">
        <f t="shared" si="52"/>
        <v>-21397920</v>
      </c>
      <c r="BB132" s="522">
        <f t="shared" si="52"/>
        <v>-21397920</v>
      </c>
      <c r="BC132" s="522">
        <f t="shared" si="52"/>
        <v>-21397920</v>
      </c>
      <c r="BD132" s="522">
        <f t="shared" si="52"/>
        <v>-21397920</v>
      </c>
      <c r="BE132" s="522">
        <f t="shared" si="52"/>
        <v>-21397920</v>
      </c>
      <c r="BF132" s="522">
        <f t="shared" si="52"/>
        <v>-21397920</v>
      </c>
      <c r="BG132" s="522">
        <f t="shared" si="52"/>
        <v>-21397920</v>
      </c>
      <c r="BH132" s="522">
        <f t="shared" si="52"/>
        <v>-21397920</v>
      </c>
      <c r="BI132" s="522">
        <f t="shared" si="52"/>
        <v>-21397920</v>
      </c>
      <c r="BJ132" s="522">
        <f t="shared" si="52"/>
        <v>-21397920</v>
      </c>
      <c r="BK132" s="522">
        <f t="shared" si="52"/>
        <v>-21397920</v>
      </c>
      <c r="BL132" s="522">
        <f t="shared" si="52"/>
        <v>-21397920</v>
      </c>
      <c r="BM132" s="522">
        <f t="shared" si="52"/>
        <v>-21397920</v>
      </c>
      <c r="BN132" s="522">
        <f t="shared" si="52"/>
        <v>-21397920</v>
      </c>
      <c r="BO132" s="522">
        <f t="shared" si="52"/>
        <v>-21397920</v>
      </c>
      <c r="BP132" s="522">
        <f t="shared" si="52"/>
        <v>-21397920</v>
      </c>
      <c r="BQ132" s="522">
        <f t="shared" si="52"/>
        <v>-21397920</v>
      </c>
      <c r="BR132" s="522">
        <f t="shared" si="52"/>
        <v>-21397920</v>
      </c>
      <c r="BS132" s="522">
        <f t="shared" si="52"/>
        <v>-21397920</v>
      </c>
      <c r="BT132" s="522">
        <f t="shared" si="52"/>
        <v>-21397920</v>
      </c>
      <c r="BU132" s="522">
        <f t="shared" si="52"/>
        <v>-21397920</v>
      </c>
      <c r="BV132" s="522">
        <f t="shared" si="52"/>
        <v>-21397920</v>
      </c>
      <c r="BW132" s="522">
        <f t="shared" si="52"/>
        <v>-21397920</v>
      </c>
      <c r="BX132" s="522" t="e">
        <f t="shared" si="52"/>
        <v>#VALUE!</v>
      </c>
    </row>
    <row r="133" spans="3:76">
      <c r="C133" s="513" t="s">
        <v>352</v>
      </c>
      <c r="D133" s="518" t="e">
        <f>IRR(E131:BX131)*12</f>
        <v>#VALUE!</v>
      </c>
      <c r="E133" s="265"/>
      <c r="F133" s="265"/>
      <c r="G133" s="265"/>
      <c r="H133" s="265"/>
      <c r="I133" s="265"/>
      <c r="J133" s="265"/>
      <c r="K133" s="265"/>
      <c r="L133" s="265"/>
      <c r="M133" s="265"/>
      <c r="N133" s="265"/>
      <c r="O133" s="265"/>
      <c r="P133" s="265"/>
      <c r="Q133" s="265"/>
      <c r="R133" s="265"/>
      <c r="S133" s="265"/>
      <c r="T133" s="265"/>
      <c r="U133" s="265"/>
      <c r="V133" s="265"/>
      <c r="W133" s="265"/>
      <c r="X133" s="265"/>
      <c r="Y133" s="265"/>
      <c r="Z133" s="265"/>
      <c r="AA133" s="265"/>
      <c r="AB133" s="265"/>
      <c r="AC133" s="265"/>
      <c r="AD133" s="265"/>
      <c r="AE133" s="265"/>
      <c r="AF133" s="265"/>
      <c r="AG133" s="265"/>
      <c r="AH133" s="265"/>
      <c r="AI133" s="265"/>
      <c r="AJ133" s="265"/>
      <c r="AK133" s="265"/>
      <c r="AL133" s="265"/>
      <c r="AM133" s="265"/>
      <c r="AN133" s="265"/>
      <c r="AO133" s="265"/>
      <c r="AP133" s="265"/>
      <c r="AQ133" s="265"/>
      <c r="AR133" s="265"/>
      <c r="AS133" s="265"/>
      <c r="AT133" s="265"/>
      <c r="AU133" s="265"/>
      <c r="AV133" s="265"/>
      <c r="AW133" s="265"/>
      <c r="AX133" s="265"/>
      <c r="AY133" s="265"/>
      <c r="AZ133" s="265"/>
      <c r="BA133" s="265"/>
      <c r="BB133" s="265"/>
      <c r="BC133" s="265"/>
      <c r="BD133" s="265"/>
      <c r="BE133" s="265"/>
      <c r="BF133" s="265"/>
      <c r="BG133" s="265"/>
      <c r="BH133" s="265"/>
      <c r="BI133" s="265"/>
      <c r="BJ133" s="265"/>
      <c r="BK133" s="265"/>
      <c r="BL133" s="265"/>
      <c r="BM133" s="265"/>
      <c r="BN133" s="265"/>
      <c r="BO133" s="265"/>
      <c r="BP133" s="265"/>
      <c r="BQ133" s="265"/>
      <c r="BR133" s="265"/>
      <c r="BS133" s="265"/>
      <c r="BT133" s="265"/>
      <c r="BU133" s="265"/>
      <c r="BV133" s="265"/>
      <c r="BW133" s="265"/>
      <c r="BX133" s="265"/>
    </row>
    <row r="134" spans="3:76">
      <c r="C134" s="519" t="s">
        <v>353</v>
      </c>
      <c r="D134" s="520">
        <f>-MIN(E126:BL126)</f>
        <v>15000000</v>
      </c>
      <c r="E134" s="265"/>
      <c r="F134" s="265"/>
      <c r="G134" s="265"/>
      <c r="H134" s="265"/>
      <c r="I134" s="265"/>
      <c r="J134" s="265"/>
      <c r="K134" s="265"/>
      <c r="L134" s="265"/>
      <c r="M134" s="265"/>
      <c r="N134" s="265"/>
      <c r="O134" s="265"/>
      <c r="P134" s="265"/>
      <c r="Q134" s="265"/>
      <c r="R134" s="265"/>
      <c r="S134" s="265"/>
      <c r="T134" s="265"/>
      <c r="U134" s="265"/>
      <c r="V134" s="265"/>
      <c r="W134" s="265"/>
      <c r="X134" s="265"/>
      <c r="Y134" s="265"/>
      <c r="Z134" s="265"/>
      <c r="AA134" s="265"/>
      <c r="AB134" s="265"/>
      <c r="AC134" s="265"/>
      <c r="AD134" s="265"/>
      <c r="AE134" s="265"/>
      <c r="AF134" s="265"/>
      <c r="AG134" s="265"/>
      <c r="AH134" s="265"/>
      <c r="AI134" s="265"/>
      <c r="AJ134" s="265"/>
      <c r="AK134" s="265"/>
      <c r="AL134" s="265"/>
      <c r="AM134" s="265"/>
      <c r="AN134" s="265"/>
      <c r="AO134" s="265"/>
      <c r="AP134" s="265"/>
      <c r="AQ134" s="265"/>
      <c r="AR134" s="265"/>
      <c r="AS134" s="265"/>
      <c r="AT134" s="265"/>
      <c r="AU134" s="265"/>
      <c r="AV134" s="265"/>
      <c r="AW134" s="265"/>
      <c r="AX134" s="265"/>
      <c r="AY134" s="265"/>
      <c r="AZ134" s="265"/>
      <c r="BA134" s="265"/>
      <c r="BB134" s="265"/>
      <c r="BC134" s="265"/>
      <c r="BD134" s="265"/>
      <c r="BE134" s="265"/>
      <c r="BF134" s="265"/>
      <c r="BG134" s="265"/>
      <c r="BH134" s="265"/>
      <c r="BI134" s="265"/>
      <c r="BJ134" s="265"/>
      <c r="BK134" s="265"/>
      <c r="BL134" s="265"/>
      <c r="BM134" s="265"/>
      <c r="BN134" s="265"/>
      <c r="BO134" s="265"/>
      <c r="BP134" s="265"/>
      <c r="BQ134" s="265"/>
      <c r="BR134" s="265"/>
      <c r="BS134" s="265"/>
      <c r="BT134" s="265"/>
      <c r="BU134" s="265"/>
      <c r="BV134" s="265"/>
      <c r="BW134" s="265"/>
      <c r="BX134" s="265"/>
    </row>
    <row r="135" spans="3:76">
      <c r="C135" s="519" t="s">
        <v>360</v>
      </c>
      <c r="D135" s="520">
        <f>-SUM(M130:BB130)</f>
        <v>0</v>
      </c>
      <c r="E135" s="265"/>
      <c r="F135" s="265"/>
      <c r="G135" s="265"/>
      <c r="H135" s="265"/>
      <c r="I135" s="265"/>
      <c r="J135" s="265"/>
      <c r="K135" s="265"/>
      <c r="L135" s="265"/>
      <c r="M135" s="265"/>
      <c r="N135" s="265"/>
      <c r="O135" s="265"/>
      <c r="P135" s="265"/>
      <c r="Q135" s="265"/>
      <c r="R135" s="265"/>
      <c r="S135" s="265"/>
      <c r="T135" s="265"/>
      <c r="U135" s="265"/>
      <c r="V135" s="265"/>
      <c r="W135" s="265"/>
      <c r="X135" s="265"/>
      <c r="Y135" s="265"/>
      <c r="Z135" s="265"/>
      <c r="AA135" s="265"/>
      <c r="AB135" s="265"/>
      <c r="AC135" s="265"/>
      <c r="AD135" s="265"/>
      <c r="AE135" s="265"/>
      <c r="AF135" s="265"/>
      <c r="AG135" s="265"/>
      <c r="AH135" s="265"/>
      <c r="AI135" s="265"/>
      <c r="AJ135" s="265"/>
      <c r="AK135" s="265"/>
      <c r="AL135" s="265"/>
      <c r="AM135" s="265"/>
      <c r="AN135" s="265"/>
      <c r="AO135" s="265"/>
      <c r="AP135" s="265"/>
      <c r="AQ135" s="265"/>
      <c r="AR135" s="265"/>
      <c r="AS135" s="265"/>
      <c r="AT135" s="265"/>
      <c r="AU135" s="265"/>
      <c r="AV135" s="265"/>
      <c r="AW135" s="265"/>
      <c r="AX135" s="265"/>
      <c r="AY135" s="265"/>
      <c r="AZ135" s="265"/>
      <c r="BA135" s="265"/>
      <c r="BB135" s="265"/>
      <c r="BC135" s="265"/>
      <c r="BD135" s="265"/>
      <c r="BE135" s="265"/>
      <c r="BF135" s="265"/>
      <c r="BG135" s="265"/>
      <c r="BH135" s="265"/>
      <c r="BI135" s="265"/>
      <c r="BJ135" s="265"/>
      <c r="BK135" s="265"/>
      <c r="BL135" s="265"/>
      <c r="BM135" s="265"/>
      <c r="BN135" s="265"/>
      <c r="BO135" s="265"/>
      <c r="BP135" s="265"/>
      <c r="BQ135" s="265"/>
      <c r="BR135" s="265"/>
      <c r="BS135" s="265"/>
      <c r="BT135" s="265"/>
      <c r="BU135" s="265"/>
      <c r="BV135" s="265"/>
      <c r="BW135" s="265"/>
      <c r="BX135" s="265"/>
    </row>
    <row r="136" spans="3:76">
      <c r="C136" s="513" t="s">
        <v>354</v>
      </c>
      <c r="D136" s="521">
        <f>D135+D134</f>
        <v>15000000</v>
      </c>
      <c r="E136" s="265"/>
      <c r="F136" s="265"/>
      <c r="G136" s="265"/>
      <c r="H136" s="265"/>
      <c r="I136" s="265"/>
      <c r="J136" s="265"/>
      <c r="K136" s="265"/>
      <c r="L136" s="265"/>
      <c r="M136" s="265"/>
      <c r="N136" s="265"/>
      <c r="O136" s="265"/>
      <c r="P136" s="265"/>
      <c r="Q136" s="265"/>
      <c r="R136" s="265"/>
      <c r="S136" s="265"/>
      <c r="T136" s="265"/>
      <c r="U136" s="265"/>
      <c r="V136" s="265"/>
      <c r="W136" s="265"/>
      <c r="X136" s="265"/>
      <c r="Y136" s="265"/>
      <c r="Z136" s="265"/>
      <c r="AA136" s="265"/>
      <c r="AB136" s="265"/>
      <c r="AC136" s="265"/>
      <c r="AD136" s="265"/>
      <c r="AE136" s="265"/>
      <c r="AF136" s="265"/>
      <c r="AG136" s="265"/>
      <c r="AH136" s="265"/>
      <c r="AI136" s="265"/>
      <c r="AJ136" s="265"/>
      <c r="AK136" s="265"/>
      <c r="AL136" s="265"/>
      <c r="AM136" s="265"/>
      <c r="AN136" s="265"/>
      <c r="AO136" s="265"/>
      <c r="AP136" s="265"/>
      <c r="AQ136" s="265"/>
      <c r="AR136" s="265"/>
      <c r="AS136" s="265"/>
      <c r="AT136" s="265"/>
      <c r="AU136" s="265"/>
      <c r="AV136" s="265"/>
      <c r="AW136" s="265"/>
      <c r="AX136" s="265"/>
      <c r="AY136" s="265"/>
      <c r="AZ136" s="265"/>
      <c r="BA136" s="265"/>
      <c r="BB136" s="265"/>
      <c r="BC136" s="265"/>
      <c r="BD136" s="265"/>
      <c r="BE136" s="265"/>
      <c r="BF136" s="265"/>
      <c r="BG136" s="265"/>
      <c r="BH136" s="265"/>
      <c r="BI136" s="265"/>
      <c r="BJ136" s="265"/>
      <c r="BK136" s="265"/>
      <c r="BL136" s="265"/>
      <c r="BM136" s="265"/>
      <c r="BN136" s="265"/>
      <c r="BO136" s="265"/>
      <c r="BP136" s="265"/>
      <c r="BQ136" s="265"/>
      <c r="BR136" s="265"/>
      <c r="BS136" s="265"/>
      <c r="BT136" s="265"/>
      <c r="BU136" s="265"/>
      <c r="BV136" s="265"/>
      <c r="BW136" s="265"/>
      <c r="BX136" s="265"/>
    </row>
    <row r="137" spans="3:76">
      <c r="C137" s="513" t="s">
        <v>355</v>
      </c>
      <c r="D137" s="521" t="e">
        <f>BX128+BX129</f>
        <v>#VALUE!</v>
      </c>
      <c r="E137" s="265"/>
      <c r="F137" s="265"/>
      <c r="G137" s="265"/>
      <c r="H137" s="265"/>
      <c r="I137" s="265"/>
      <c r="J137" s="265"/>
      <c r="K137" s="265"/>
      <c r="L137" s="265"/>
      <c r="M137" s="265"/>
      <c r="N137" s="265"/>
      <c r="O137" s="265"/>
      <c r="P137" s="265"/>
      <c r="Q137" s="265"/>
      <c r="R137" s="265"/>
      <c r="S137" s="265"/>
      <c r="T137" s="265"/>
      <c r="U137" s="265"/>
      <c r="V137" s="265"/>
      <c r="W137" s="265"/>
      <c r="X137" s="265"/>
      <c r="Y137" s="265"/>
      <c r="Z137" s="265"/>
      <c r="AA137" s="265"/>
      <c r="AB137" s="265"/>
      <c r="AC137" s="265"/>
      <c r="AD137" s="265"/>
      <c r="AE137" s="265"/>
      <c r="AF137" s="265"/>
      <c r="AG137" s="265"/>
      <c r="AH137" s="265"/>
      <c r="AI137" s="265"/>
      <c r="AJ137" s="265"/>
      <c r="AK137" s="265"/>
      <c r="AL137" s="265"/>
      <c r="AM137" s="265"/>
      <c r="AN137" s="265"/>
      <c r="AO137" s="265"/>
      <c r="AP137" s="265"/>
      <c r="AQ137" s="265"/>
      <c r="AR137" s="265"/>
      <c r="AS137" s="265"/>
      <c r="AT137" s="265"/>
      <c r="AU137" s="265"/>
      <c r="AV137" s="265"/>
      <c r="AW137" s="265"/>
      <c r="AX137" s="265"/>
      <c r="AY137" s="265"/>
      <c r="AZ137" s="265"/>
      <c r="BA137" s="265"/>
      <c r="BB137" s="265"/>
      <c r="BC137" s="265"/>
      <c r="BD137" s="265"/>
      <c r="BE137" s="265"/>
      <c r="BF137" s="265"/>
      <c r="BG137" s="265"/>
      <c r="BH137" s="265"/>
      <c r="BI137" s="265"/>
      <c r="BJ137" s="265"/>
      <c r="BK137" s="265"/>
      <c r="BL137" s="265"/>
      <c r="BM137" s="265"/>
      <c r="BN137" s="265"/>
      <c r="BO137" s="265"/>
      <c r="BP137" s="265"/>
      <c r="BQ137" s="265"/>
      <c r="BR137" s="265"/>
      <c r="BS137" s="265"/>
      <c r="BT137" s="265"/>
      <c r="BU137" s="265"/>
      <c r="BV137" s="265"/>
      <c r="BW137" s="265"/>
      <c r="BX137" s="265"/>
    </row>
    <row r="138" spans="3:76">
      <c r="C138" s="513" t="s">
        <v>356</v>
      </c>
      <c r="D138" s="518" t="e">
        <f>(D137-D135)/D136</f>
        <v>#VALUE!</v>
      </c>
      <c r="E138" s="265"/>
      <c r="F138" s="265"/>
      <c r="G138" s="265"/>
      <c r="H138" s="265"/>
      <c r="I138" s="265"/>
      <c r="J138" s="265"/>
      <c r="K138" s="265"/>
      <c r="L138" s="265"/>
      <c r="M138" s="265"/>
      <c r="N138" s="265"/>
      <c r="O138" s="265"/>
      <c r="P138" s="265"/>
      <c r="Q138" s="265"/>
      <c r="R138" s="265"/>
      <c r="S138" s="265"/>
      <c r="T138" s="265"/>
      <c r="U138" s="265"/>
      <c r="V138" s="265"/>
      <c r="W138" s="265"/>
      <c r="X138" s="265"/>
      <c r="Y138" s="265"/>
      <c r="Z138" s="265"/>
      <c r="AA138" s="265"/>
      <c r="AB138" s="265"/>
      <c r="AC138" s="265"/>
      <c r="AD138" s="265"/>
      <c r="AE138" s="265"/>
      <c r="AF138" s="265"/>
      <c r="AG138" s="265"/>
      <c r="AH138" s="265"/>
      <c r="AI138" s="265"/>
      <c r="AJ138" s="265"/>
      <c r="AK138" s="265"/>
      <c r="AL138" s="265"/>
      <c r="AM138" s="265"/>
      <c r="AN138" s="265"/>
      <c r="AO138" s="265"/>
      <c r="AP138" s="265"/>
      <c r="AQ138" s="265"/>
      <c r="AR138" s="265"/>
      <c r="AS138" s="265"/>
      <c r="AT138" s="265"/>
      <c r="AU138" s="265"/>
      <c r="AV138" s="265"/>
      <c r="AW138" s="265"/>
      <c r="AX138" s="265"/>
      <c r="AY138" s="265"/>
      <c r="AZ138" s="265"/>
      <c r="BA138" s="265"/>
      <c r="BB138" s="265"/>
      <c r="BC138" s="265"/>
      <c r="BD138" s="265"/>
      <c r="BE138" s="265"/>
      <c r="BF138" s="265"/>
      <c r="BG138" s="265"/>
      <c r="BH138" s="265"/>
      <c r="BI138" s="265"/>
      <c r="BJ138" s="265"/>
      <c r="BK138" s="265"/>
      <c r="BL138" s="265"/>
      <c r="BM138" s="265"/>
      <c r="BN138" s="265"/>
      <c r="BO138" s="265"/>
      <c r="BP138" s="265"/>
      <c r="BQ138" s="265"/>
      <c r="BR138" s="265"/>
      <c r="BS138" s="265"/>
      <c r="BT138" s="265"/>
      <c r="BU138" s="265"/>
      <c r="BV138" s="265"/>
      <c r="BW138" s="265"/>
      <c r="BX138" s="265"/>
    </row>
    <row r="139" spans="3:76">
      <c r="E139" s="265"/>
      <c r="F139" s="265"/>
      <c r="G139" s="265"/>
      <c r="H139" s="265"/>
      <c r="I139" s="265"/>
      <c r="J139" s="265"/>
      <c r="K139" s="265"/>
      <c r="L139" s="265"/>
      <c r="M139" s="265"/>
      <c r="N139" s="265"/>
      <c r="O139" s="265"/>
      <c r="P139" s="265"/>
      <c r="Q139" s="265"/>
      <c r="R139" s="265"/>
      <c r="S139" s="265"/>
      <c r="T139" s="265"/>
      <c r="U139" s="265"/>
      <c r="V139" s="265"/>
      <c r="W139" s="265"/>
      <c r="X139" s="265"/>
      <c r="Y139" s="265"/>
      <c r="Z139" s="265"/>
      <c r="AA139" s="265"/>
      <c r="AB139" s="265"/>
      <c r="AC139" s="265"/>
      <c r="AD139" s="265"/>
      <c r="AE139" s="265"/>
      <c r="AF139" s="265"/>
      <c r="AG139" s="265"/>
      <c r="AH139" s="265"/>
      <c r="AI139" s="265"/>
      <c r="AJ139" s="265"/>
      <c r="AK139" s="265"/>
      <c r="AL139" s="265"/>
      <c r="AM139" s="265"/>
      <c r="AN139" s="265"/>
      <c r="AO139" s="265"/>
      <c r="AP139" s="265"/>
      <c r="AQ139" s="265"/>
      <c r="AR139" s="265"/>
      <c r="AS139" s="265"/>
      <c r="AT139" s="265"/>
      <c r="AU139" s="265"/>
      <c r="AV139" s="265"/>
      <c r="AW139" s="265"/>
      <c r="AX139" s="265"/>
      <c r="AY139" s="265"/>
      <c r="AZ139" s="265"/>
      <c r="BA139" s="265"/>
      <c r="BB139" s="265"/>
      <c r="BC139" s="265"/>
      <c r="BD139" s="265"/>
      <c r="BE139" s="265"/>
      <c r="BF139" s="265"/>
      <c r="BG139" s="265"/>
      <c r="BH139" s="265"/>
      <c r="BI139" s="265"/>
      <c r="BJ139" s="265"/>
      <c r="BK139" s="265"/>
      <c r="BL139" s="265"/>
      <c r="BM139" s="265"/>
      <c r="BN139" s="265"/>
      <c r="BO139" s="265"/>
      <c r="BP139" s="265"/>
      <c r="BQ139" s="265"/>
      <c r="BR139" s="265"/>
      <c r="BS139" s="265"/>
      <c r="BT139" s="265"/>
      <c r="BU139" s="265"/>
      <c r="BV139" s="265"/>
      <c r="BW139" s="265"/>
      <c r="BX139" s="265"/>
    </row>
    <row r="140" spans="3:76">
      <c r="E140" s="265"/>
      <c r="F140" s="265"/>
      <c r="G140" s="265"/>
      <c r="H140" s="265"/>
      <c r="I140" s="265"/>
      <c r="J140" s="265"/>
      <c r="K140" s="265"/>
      <c r="L140" s="265"/>
      <c r="M140" s="265"/>
      <c r="N140" s="265"/>
      <c r="O140" s="265"/>
      <c r="P140" s="265"/>
      <c r="Q140" s="265"/>
      <c r="R140" s="265"/>
      <c r="S140" s="265"/>
      <c r="T140" s="265"/>
      <c r="U140" s="265"/>
      <c r="V140" s="265"/>
      <c r="W140" s="265"/>
      <c r="X140" s="265"/>
      <c r="Y140" s="265"/>
      <c r="Z140" s="265"/>
      <c r="AA140" s="265"/>
      <c r="AB140" s="265"/>
      <c r="AC140" s="265"/>
      <c r="AD140" s="265"/>
      <c r="AE140" s="265"/>
      <c r="AF140" s="265"/>
      <c r="AG140" s="265"/>
      <c r="AH140" s="265"/>
      <c r="AI140" s="265"/>
      <c r="AJ140" s="265"/>
      <c r="AK140" s="265"/>
      <c r="AL140" s="265"/>
      <c r="AM140" s="265"/>
      <c r="AN140" s="265"/>
      <c r="AO140" s="265"/>
      <c r="AP140" s="265"/>
      <c r="AQ140" s="265"/>
      <c r="AR140" s="265"/>
      <c r="AS140" s="265"/>
      <c r="AT140" s="265"/>
      <c r="AU140" s="265"/>
      <c r="AV140" s="265"/>
      <c r="AW140" s="265"/>
      <c r="AX140" s="265"/>
      <c r="AY140" s="265"/>
      <c r="AZ140" s="265"/>
      <c r="BA140" s="265"/>
      <c r="BB140" s="265"/>
      <c r="BC140" s="265"/>
      <c r="BD140" s="265"/>
      <c r="BE140" s="265"/>
      <c r="BF140" s="265"/>
      <c r="BG140" s="265"/>
      <c r="BH140" s="265"/>
      <c r="BI140" s="265"/>
      <c r="BJ140" s="265"/>
      <c r="BK140" s="265"/>
      <c r="BL140" s="265"/>
      <c r="BM140" s="265"/>
      <c r="BN140" s="265"/>
      <c r="BO140" s="265"/>
      <c r="BP140" s="265"/>
      <c r="BQ140" s="265"/>
      <c r="BR140" s="265"/>
      <c r="BS140" s="265"/>
      <c r="BT140" s="265"/>
      <c r="BU140" s="265"/>
      <c r="BV140" s="265"/>
      <c r="BW140" s="265"/>
      <c r="BX140" s="265"/>
    </row>
    <row r="141" spans="3:76">
      <c r="E141" s="265"/>
      <c r="F141" s="265"/>
      <c r="G141" s="265"/>
      <c r="H141" s="265"/>
      <c r="I141" s="265"/>
      <c r="J141" s="265"/>
      <c r="K141" s="265"/>
      <c r="L141" s="265"/>
      <c r="M141" s="265"/>
      <c r="N141" s="265"/>
      <c r="O141" s="265"/>
      <c r="P141" s="265"/>
      <c r="Q141" s="265"/>
      <c r="R141" s="265"/>
      <c r="S141" s="265"/>
      <c r="T141" s="265"/>
      <c r="U141" s="265"/>
      <c r="V141" s="265"/>
      <c r="W141" s="265"/>
      <c r="X141" s="265"/>
      <c r="Y141" s="265"/>
      <c r="Z141" s="265"/>
      <c r="AA141" s="265"/>
      <c r="AB141" s="265"/>
      <c r="AC141" s="265"/>
      <c r="AD141" s="265"/>
      <c r="AE141" s="265"/>
      <c r="AF141" s="265"/>
      <c r="AG141" s="265"/>
      <c r="AH141" s="265"/>
      <c r="AI141" s="265"/>
      <c r="AJ141" s="265"/>
      <c r="AK141" s="265"/>
      <c r="AL141" s="265"/>
      <c r="AM141" s="265"/>
      <c r="AN141" s="265"/>
      <c r="AO141" s="265"/>
      <c r="AP141" s="265"/>
      <c r="AQ141" s="265"/>
      <c r="AR141" s="265"/>
      <c r="AS141" s="265"/>
      <c r="AT141" s="265"/>
      <c r="AU141" s="265"/>
      <c r="AV141" s="265"/>
      <c r="AW141" s="265"/>
      <c r="AX141" s="265"/>
      <c r="AY141" s="265"/>
      <c r="AZ141" s="265"/>
      <c r="BA141" s="265"/>
      <c r="BB141" s="265"/>
      <c r="BC141" s="265"/>
      <c r="BD141" s="265"/>
      <c r="BE141" s="265"/>
      <c r="BF141" s="265"/>
      <c r="BG141" s="265"/>
      <c r="BH141" s="265"/>
      <c r="BI141" s="265"/>
      <c r="BJ141" s="265"/>
      <c r="BK141" s="265"/>
      <c r="BL141" s="265"/>
      <c r="BM141" s="265"/>
      <c r="BN141" s="265"/>
      <c r="BO141" s="265"/>
      <c r="BP141" s="265"/>
      <c r="BQ141" s="265"/>
      <c r="BR141" s="265"/>
      <c r="BS141" s="265"/>
      <c r="BT141" s="265"/>
      <c r="BU141" s="265"/>
      <c r="BV141" s="265"/>
      <c r="BW141" s="265"/>
      <c r="BX141" s="265"/>
    </row>
    <row r="142" spans="3:76">
      <c r="C142" s="335" t="s">
        <v>361</v>
      </c>
      <c r="D142" s="511"/>
      <c r="E142" s="511">
        <f t="shared" ref="E142:O142" si="53">-(E7+E92)</f>
        <v>0</v>
      </c>
      <c r="F142" s="511">
        <f t="shared" si="53"/>
        <v>0</v>
      </c>
      <c r="G142" s="511">
        <f t="shared" si="53"/>
        <v>0</v>
      </c>
      <c r="H142" s="511">
        <f t="shared" si="53"/>
        <v>0</v>
      </c>
      <c r="I142" s="511">
        <f t="shared" si="53"/>
        <v>0</v>
      </c>
      <c r="J142" s="511">
        <f t="shared" si="53"/>
        <v>0</v>
      </c>
      <c r="K142" s="511">
        <f t="shared" si="53"/>
        <v>0</v>
      </c>
      <c r="L142" s="511">
        <f t="shared" si="53"/>
        <v>0</v>
      </c>
      <c r="M142" s="511">
        <f t="shared" si="53"/>
        <v>0</v>
      </c>
      <c r="N142" s="511">
        <f t="shared" si="53"/>
        <v>0</v>
      </c>
      <c r="O142" s="511">
        <f t="shared" si="53"/>
        <v>0</v>
      </c>
      <c r="P142" s="511">
        <f t="shared" ref="P142:AC142" si="54">P111+P126</f>
        <v>0</v>
      </c>
      <c r="Q142" s="511">
        <f t="shared" si="54"/>
        <v>0</v>
      </c>
      <c r="R142" s="511">
        <f t="shared" si="54"/>
        <v>0</v>
      </c>
      <c r="S142" s="511">
        <f t="shared" si="54"/>
        <v>-1200000</v>
      </c>
      <c r="T142" s="511">
        <f t="shared" si="54"/>
        <v>-15000000</v>
      </c>
      <c r="U142" s="511">
        <f t="shared" si="54"/>
        <v>-3700000</v>
      </c>
      <c r="V142" s="511">
        <f t="shared" si="54"/>
        <v>0</v>
      </c>
      <c r="W142" s="511">
        <f t="shared" si="54"/>
        <v>0</v>
      </c>
      <c r="X142" s="511">
        <f t="shared" si="54"/>
        <v>0</v>
      </c>
      <c r="Y142" s="511">
        <f t="shared" si="54"/>
        <v>0</v>
      </c>
      <c r="Z142" s="511">
        <f t="shared" si="54"/>
        <v>0</v>
      </c>
      <c r="AA142" s="511">
        <f t="shared" si="54"/>
        <v>0</v>
      </c>
      <c r="AB142" s="511">
        <f t="shared" si="54"/>
        <v>0</v>
      </c>
      <c r="AC142" s="511">
        <f t="shared" si="54"/>
        <v>19900000</v>
      </c>
      <c r="AD142" s="511">
        <f t="shared" ref="AD142:BX142" si="55">-(AD7+AD92)</f>
        <v>0</v>
      </c>
      <c r="AE142" s="511">
        <f t="shared" si="55"/>
        <v>0</v>
      </c>
      <c r="AF142" s="511">
        <f t="shared" si="55"/>
        <v>0</v>
      </c>
      <c r="AG142" s="511">
        <f t="shared" si="55"/>
        <v>0</v>
      </c>
      <c r="AH142" s="511">
        <f t="shared" si="55"/>
        <v>0</v>
      </c>
      <c r="AI142" s="511">
        <f t="shared" si="55"/>
        <v>0</v>
      </c>
      <c r="AJ142" s="511">
        <f t="shared" si="55"/>
        <v>0</v>
      </c>
      <c r="AK142" s="511">
        <f t="shared" si="55"/>
        <v>0</v>
      </c>
      <c r="AL142" s="511">
        <f t="shared" si="55"/>
        <v>0</v>
      </c>
      <c r="AM142" s="511">
        <f t="shared" si="55"/>
        <v>0</v>
      </c>
      <c r="AN142" s="511">
        <f t="shared" si="55"/>
        <v>0</v>
      </c>
      <c r="AO142" s="511">
        <f t="shared" si="55"/>
        <v>0</v>
      </c>
      <c r="AP142" s="511">
        <f t="shared" si="55"/>
        <v>0</v>
      </c>
      <c r="AQ142" s="511">
        <f t="shared" si="55"/>
        <v>0</v>
      </c>
      <c r="AR142" s="511">
        <f t="shared" si="55"/>
        <v>0</v>
      </c>
      <c r="AS142" s="511">
        <f t="shared" si="55"/>
        <v>0</v>
      </c>
      <c r="AT142" s="511">
        <f t="shared" si="55"/>
        <v>0</v>
      </c>
      <c r="AU142" s="511">
        <f t="shared" si="55"/>
        <v>0</v>
      </c>
      <c r="AV142" s="511">
        <f t="shared" si="55"/>
        <v>0</v>
      </c>
      <c r="AW142" s="511">
        <f t="shared" si="55"/>
        <v>0</v>
      </c>
      <c r="AX142" s="511">
        <f t="shared" si="55"/>
        <v>0</v>
      </c>
      <c r="AY142" s="511">
        <f t="shared" si="55"/>
        <v>0</v>
      </c>
      <c r="AZ142" s="511">
        <f t="shared" si="55"/>
        <v>0</v>
      </c>
      <c r="BA142" s="511">
        <f t="shared" si="55"/>
        <v>0</v>
      </c>
      <c r="BB142" s="511">
        <f t="shared" si="55"/>
        <v>0</v>
      </c>
      <c r="BC142" s="511">
        <f t="shared" si="55"/>
        <v>0</v>
      </c>
      <c r="BD142" s="511">
        <f t="shared" si="55"/>
        <v>0</v>
      </c>
      <c r="BE142" s="511">
        <f t="shared" si="55"/>
        <v>0</v>
      </c>
      <c r="BF142" s="511">
        <f t="shared" si="55"/>
        <v>0</v>
      </c>
      <c r="BG142" s="511">
        <f t="shared" si="55"/>
        <v>0</v>
      </c>
      <c r="BH142" s="511">
        <f t="shared" si="55"/>
        <v>0</v>
      </c>
      <c r="BI142" s="511">
        <f t="shared" si="55"/>
        <v>0</v>
      </c>
      <c r="BJ142" s="511">
        <f t="shared" si="55"/>
        <v>0</v>
      </c>
      <c r="BK142" s="511">
        <f t="shared" si="55"/>
        <v>0</v>
      </c>
      <c r="BL142" s="511">
        <f t="shared" si="55"/>
        <v>0</v>
      </c>
      <c r="BM142" s="511">
        <f t="shared" si="55"/>
        <v>0</v>
      </c>
      <c r="BN142" s="511">
        <f t="shared" si="55"/>
        <v>0</v>
      </c>
      <c r="BO142" s="511">
        <f t="shared" si="55"/>
        <v>0</v>
      </c>
      <c r="BP142" s="511">
        <f t="shared" si="55"/>
        <v>0</v>
      </c>
      <c r="BQ142" s="511">
        <f t="shared" si="55"/>
        <v>0</v>
      </c>
      <c r="BR142" s="511">
        <f t="shared" si="55"/>
        <v>0</v>
      </c>
      <c r="BS142" s="511">
        <f t="shared" si="55"/>
        <v>0</v>
      </c>
      <c r="BT142" s="511">
        <f t="shared" si="55"/>
        <v>0</v>
      </c>
      <c r="BU142" s="511">
        <f t="shared" si="55"/>
        <v>0</v>
      </c>
      <c r="BV142" s="511">
        <f t="shared" si="55"/>
        <v>0</v>
      </c>
      <c r="BW142" s="511">
        <f t="shared" si="55"/>
        <v>0</v>
      </c>
      <c r="BX142" s="511">
        <f t="shared" si="55"/>
        <v>0</v>
      </c>
    </row>
    <row r="143" spans="3:76">
      <c r="C143" s="335" t="s">
        <v>358</v>
      </c>
      <c r="D143" s="516"/>
      <c r="E143" s="511"/>
      <c r="F143" s="511"/>
      <c r="G143" s="511"/>
      <c r="H143" s="511"/>
      <c r="I143" s="511"/>
      <c r="J143" s="511"/>
      <c r="K143" s="511"/>
      <c r="L143" s="511"/>
      <c r="M143" s="511"/>
      <c r="N143" s="511"/>
      <c r="O143" s="511"/>
      <c r="P143" s="511"/>
      <c r="Q143" s="511"/>
      <c r="R143" s="511"/>
      <c r="S143" s="511"/>
      <c r="T143" s="511"/>
      <c r="U143" s="511"/>
      <c r="V143" s="511"/>
      <c r="W143" s="511"/>
      <c r="X143" s="511"/>
      <c r="Y143" s="511"/>
      <c r="Z143" s="511"/>
      <c r="AA143" s="511"/>
      <c r="AB143" s="511"/>
      <c r="AC143" s="511"/>
      <c r="AD143" s="511"/>
      <c r="AE143" s="511"/>
      <c r="AF143" s="511"/>
      <c r="AG143" s="511"/>
      <c r="AH143" s="511"/>
      <c r="AI143" s="511"/>
      <c r="AJ143" s="511"/>
      <c r="AK143" s="511"/>
      <c r="AL143" s="511"/>
      <c r="AM143" s="511"/>
      <c r="AN143" s="511"/>
      <c r="AO143" s="511"/>
      <c r="AP143" s="511"/>
      <c r="AQ143" s="511"/>
      <c r="AR143" s="511"/>
      <c r="AS143" s="511"/>
      <c r="AT143" s="511"/>
      <c r="AU143" s="511"/>
      <c r="AV143" s="511"/>
      <c r="AW143" s="511"/>
      <c r="AX143" s="511"/>
      <c r="AY143" s="511"/>
      <c r="AZ143" s="511"/>
      <c r="BA143" s="511"/>
      <c r="BB143" s="511"/>
      <c r="BC143" s="511"/>
      <c r="BD143" s="511"/>
      <c r="BE143" s="511"/>
      <c r="BF143" s="511"/>
      <c r="BG143" s="511"/>
      <c r="BH143" s="511"/>
      <c r="BI143" s="511"/>
      <c r="BJ143" s="511"/>
      <c r="BK143" s="511"/>
      <c r="BL143" s="511"/>
      <c r="BM143" s="511"/>
      <c r="BN143" s="511"/>
      <c r="BO143" s="511"/>
      <c r="BP143" s="511"/>
      <c r="BQ143" s="511"/>
      <c r="BR143" s="511"/>
      <c r="BS143" s="511"/>
      <c r="BT143" s="511"/>
      <c r="BU143" s="511"/>
      <c r="BV143" s="511"/>
      <c r="BW143" s="511"/>
      <c r="BX143" s="511"/>
    </row>
    <row r="144" spans="3:76">
      <c r="C144" s="335" t="s">
        <v>348</v>
      </c>
      <c r="D144" s="516"/>
      <c r="E144" s="511">
        <f t="shared" ref="E144:AB144" si="56">-E57</f>
        <v>0</v>
      </c>
      <c r="F144" s="511">
        <f t="shared" si="56"/>
        <v>0</v>
      </c>
      <c r="G144" s="511">
        <f t="shared" si="56"/>
        <v>0</v>
      </c>
      <c r="H144" s="511">
        <f t="shared" si="56"/>
        <v>0</v>
      </c>
      <c r="I144" s="511">
        <f t="shared" si="56"/>
        <v>0</v>
      </c>
      <c r="J144" s="511">
        <f t="shared" si="56"/>
        <v>0</v>
      </c>
      <c r="K144" s="511">
        <f t="shared" si="56"/>
        <v>0</v>
      </c>
      <c r="L144" s="511">
        <f t="shared" si="56"/>
        <v>0</v>
      </c>
      <c r="M144" s="511">
        <f t="shared" si="56"/>
        <v>0</v>
      </c>
      <c r="N144" s="511">
        <f t="shared" si="56"/>
        <v>0</v>
      </c>
      <c r="O144" s="511">
        <f t="shared" si="56"/>
        <v>0</v>
      </c>
      <c r="P144" s="511">
        <f t="shared" si="56"/>
        <v>0</v>
      </c>
      <c r="Q144" s="511">
        <f t="shared" si="56"/>
        <v>0</v>
      </c>
      <c r="R144" s="511">
        <f t="shared" si="56"/>
        <v>0</v>
      </c>
      <c r="S144" s="511">
        <f t="shared" si="56"/>
        <v>0</v>
      </c>
      <c r="T144" s="511">
        <f t="shared" si="56"/>
        <v>0</v>
      </c>
      <c r="U144" s="511">
        <f t="shared" si="56"/>
        <v>0</v>
      </c>
      <c r="V144" s="511">
        <f t="shared" si="56"/>
        <v>0</v>
      </c>
      <c r="W144" s="511">
        <f t="shared" si="56"/>
        <v>0</v>
      </c>
      <c r="X144" s="511">
        <f t="shared" si="56"/>
        <v>0</v>
      </c>
      <c r="Y144" s="511">
        <f t="shared" si="56"/>
        <v>0</v>
      </c>
      <c r="Z144" s="511">
        <f t="shared" si="56"/>
        <v>0</v>
      </c>
      <c r="AA144" s="511">
        <f t="shared" si="56"/>
        <v>0</v>
      </c>
      <c r="AB144" s="511">
        <f t="shared" si="56"/>
        <v>0</v>
      </c>
      <c r="AC144" s="511">
        <f>-AC55-AC56</f>
        <v>1801250.0000000002</v>
      </c>
      <c r="AD144" s="511">
        <f t="shared" ref="AD144:BX144" si="57">-AD57</f>
        <v>0</v>
      </c>
      <c r="AE144" s="511">
        <f t="shared" si="57"/>
        <v>0</v>
      </c>
      <c r="AF144" s="511">
        <f t="shared" si="57"/>
        <v>0</v>
      </c>
      <c r="AG144" s="511">
        <f t="shared" si="57"/>
        <v>0</v>
      </c>
      <c r="AH144" s="511">
        <f t="shared" si="57"/>
        <v>0</v>
      </c>
      <c r="AI144" s="511">
        <f t="shared" si="57"/>
        <v>0</v>
      </c>
      <c r="AJ144" s="511">
        <f t="shared" si="57"/>
        <v>0</v>
      </c>
      <c r="AK144" s="511">
        <f t="shared" si="57"/>
        <v>0</v>
      </c>
      <c r="AL144" s="511">
        <f t="shared" si="57"/>
        <v>0</v>
      </c>
      <c r="AM144" s="511">
        <f t="shared" si="57"/>
        <v>0</v>
      </c>
      <c r="AN144" s="511">
        <f t="shared" si="57"/>
        <v>0</v>
      </c>
      <c r="AO144" s="511">
        <f t="shared" si="57"/>
        <v>0</v>
      </c>
      <c r="AP144" s="511">
        <f t="shared" si="57"/>
        <v>0</v>
      </c>
      <c r="AQ144" s="511">
        <f t="shared" si="57"/>
        <v>0</v>
      </c>
      <c r="AR144" s="511">
        <f t="shared" si="57"/>
        <v>0</v>
      </c>
      <c r="AS144" s="511">
        <f t="shared" si="57"/>
        <v>0</v>
      </c>
      <c r="AT144" s="511">
        <f t="shared" si="57"/>
        <v>0</v>
      </c>
      <c r="AU144" s="511">
        <f t="shared" si="57"/>
        <v>0</v>
      </c>
      <c r="AV144" s="511">
        <f t="shared" si="57"/>
        <v>0</v>
      </c>
      <c r="AW144" s="511">
        <f t="shared" si="57"/>
        <v>0</v>
      </c>
      <c r="AX144" s="511">
        <f t="shared" si="57"/>
        <v>0</v>
      </c>
      <c r="AY144" s="511">
        <f t="shared" si="57"/>
        <v>0</v>
      </c>
      <c r="AZ144" s="511">
        <f t="shared" si="57"/>
        <v>0</v>
      </c>
      <c r="BA144" s="511">
        <f t="shared" si="57"/>
        <v>0</v>
      </c>
      <c r="BB144" s="511">
        <f t="shared" si="57"/>
        <v>0</v>
      </c>
      <c r="BC144" s="511">
        <f t="shared" si="57"/>
        <v>0</v>
      </c>
      <c r="BD144" s="511">
        <f t="shared" si="57"/>
        <v>0</v>
      </c>
      <c r="BE144" s="511">
        <f t="shared" si="57"/>
        <v>0</v>
      </c>
      <c r="BF144" s="511">
        <f t="shared" si="57"/>
        <v>0</v>
      </c>
      <c r="BG144" s="511">
        <f t="shared" si="57"/>
        <v>0</v>
      </c>
      <c r="BH144" s="511">
        <f t="shared" si="57"/>
        <v>0</v>
      </c>
      <c r="BI144" s="511">
        <f t="shared" si="57"/>
        <v>0</v>
      </c>
      <c r="BJ144" s="511">
        <f t="shared" si="57"/>
        <v>0</v>
      </c>
      <c r="BK144" s="511">
        <f t="shared" si="57"/>
        <v>0</v>
      </c>
      <c r="BL144" s="511">
        <f t="shared" si="57"/>
        <v>0</v>
      </c>
      <c r="BM144" s="511">
        <f t="shared" si="57"/>
        <v>0</v>
      </c>
      <c r="BN144" s="511">
        <f t="shared" si="57"/>
        <v>0</v>
      </c>
      <c r="BO144" s="511">
        <f t="shared" si="57"/>
        <v>0</v>
      </c>
      <c r="BP144" s="511">
        <f t="shared" si="57"/>
        <v>0</v>
      </c>
      <c r="BQ144" s="511">
        <f t="shared" si="57"/>
        <v>0</v>
      </c>
      <c r="BR144" s="511">
        <f t="shared" si="57"/>
        <v>0</v>
      </c>
      <c r="BS144" s="511">
        <f t="shared" si="57"/>
        <v>0</v>
      </c>
      <c r="BT144" s="511">
        <f t="shared" si="57"/>
        <v>0</v>
      </c>
      <c r="BU144" s="511">
        <f t="shared" si="57"/>
        <v>0</v>
      </c>
      <c r="BV144" s="511">
        <f t="shared" si="57"/>
        <v>0</v>
      </c>
      <c r="BW144" s="511">
        <f t="shared" si="57"/>
        <v>0</v>
      </c>
      <c r="BX144" s="511">
        <f t="shared" si="57"/>
        <v>0</v>
      </c>
    </row>
    <row r="145" spans="3:76">
      <c r="C145" s="335" t="s">
        <v>349</v>
      </c>
      <c r="D145" s="516"/>
      <c r="E145" s="511"/>
      <c r="F145" s="511"/>
      <c r="G145" s="511"/>
      <c r="H145" s="511"/>
      <c r="I145" s="511"/>
      <c r="J145" s="511"/>
      <c r="K145" s="511"/>
      <c r="L145" s="511"/>
      <c r="M145" s="511"/>
      <c r="N145" s="511"/>
      <c r="O145" s="511"/>
      <c r="P145" s="511"/>
      <c r="Q145" s="511"/>
      <c r="R145" s="511"/>
      <c r="S145" s="511"/>
      <c r="T145" s="511"/>
      <c r="U145" s="511"/>
      <c r="V145" s="511"/>
      <c r="W145" s="511"/>
      <c r="X145" s="511"/>
      <c r="Y145" s="511"/>
      <c r="Z145" s="511"/>
      <c r="AA145" s="511"/>
      <c r="AB145" s="511"/>
      <c r="AC145" s="511" t="e">
        <f>AC99</f>
        <v>#REF!</v>
      </c>
      <c r="AD145" s="511"/>
      <c r="AE145" s="511"/>
      <c r="AF145" s="511"/>
      <c r="AG145" s="511"/>
      <c r="AH145" s="511"/>
      <c r="AI145" s="511"/>
      <c r="AJ145" s="511"/>
      <c r="AK145" s="511"/>
      <c r="AL145" s="511"/>
      <c r="AM145" s="511"/>
      <c r="AN145" s="511"/>
      <c r="AO145" s="511"/>
      <c r="AP145" s="511"/>
      <c r="AQ145" s="511"/>
      <c r="AR145" s="511"/>
      <c r="AS145" s="511"/>
      <c r="AT145" s="511"/>
      <c r="AU145" s="511"/>
      <c r="AV145" s="511"/>
      <c r="AW145" s="511"/>
      <c r="AX145" s="511"/>
      <c r="AY145" s="511"/>
      <c r="AZ145" s="511"/>
      <c r="BA145" s="511"/>
      <c r="BB145" s="511"/>
      <c r="BC145" s="511"/>
      <c r="BD145" s="511"/>
      <c r="BE145" s="511"/>
      <c r="BF145" s="511"/>
      <c r="BG145" s="511"/>
      <c r="BH145" s="511"/>
      <c r="BI145" s="511"/>
      <c r="BJ145" s="511"/>
      <c r="BK145" s="511"/>
      <c r="BL145" s="511"/>
      <c r="BM145" s="511"/>
      <c r="BN145" s="511"/>
      <c r="BO145" s="511"/>
      <c r="BP145" s="511"/>
      <c r="BQ145" s="511"/>
      <c r="BR145" s="511"/>
      <c r="BS145" s="511"/>
      <c r="BT145" s="511"/>
      <c r="BU145" s="511"/>
      <c r="BV145" s="511"/>
      <c r="BW145" s="511"/>
      <c r="BX145" s="511" t="e">
        <f>IF(D104&gt;0.25,(BX99-BX107)*D146,BX99*D146)</f>
        <v>#VALUE!</v>
      </c>
    </row>
    <row r="146" spans="3:76">
      <c r="C146" s="513" t="s">
        <v>350</v>
      </c>
      <c r="D146" s="516">
        <v>1</v>
      </c>
      <c r="E146" s="283"/>
      <c r="F146" s="283"/>
      <c r="G146" s="283"/>
      <c r="H146" s="283"/>
      <c r="I146" s="283"/>
      <c r="J146" s="283"/>
      <c r="K146" s="283"/>
      <c r="L146" s="283"/>
      <c r="M146" s="283"/>
      <c r="N146" s="283"/>
      <c r="O146" s="283"/>
      <c r="P146" s="283"/>
      <c r="Q146" s="283"/>
      <c r="R146" s="283"/>
      <c r="S146" s="283"/>
      <c r="T146" s="283"/>
      <c r="U146" s="283"/>
      <c r="V146" s="283"/>
      <c r="W146" s="283"/>
      <c r="X146" s="283"/>
      <c r="Y146" s="283"/>
      <c r="Z146" s="283"/>
      <c r="AA146" s="283"/>
      <c r="AB146" s="283"/>
      <c r="AC146" s="283"/>
      <c r="AD146" s="283"/>
      <c r="AE146" s="283"/>
      <c r="AF146" s="283"/>
      <c r="AG146" s="283"/>
      <c r="AH146" s="283"/>
      <c r="AI146" s="283"/>
      <c r="AJ146" s="283"/>
      <c r="AK146" s="283"/>
      <c r="AL146" s="283"/>
      <c r="AM146" s="283"/>
      <c r="AN146" s="283"/>
      <c r="AO146" s="283"/>
      <c r="AP146" s="283"/>
      <c r="AQ146" s="283"/>
      <c r="AR146" s="283"/>
      <c r="AS146" s="283"/>
      <c r="AT146" s="283"/>
      <c r="AU146" s="283"/>
      <c r="AV146" s="283"/>
      <c r="AW146" s="283"/>
      <c r="AX146" s="283"/>
      <c r="AY146" s="283"/>
      <c r="AZ146" s="283"/>
      <c r="BA146" s="283"/>
      <c r="BB146" s="283"/>
      <c r="BC146" s="283"/>
      <c r="BD146" s="283"/>
      <c r="BE146" s="283"/>
      <c r="BF146" s="283"/>
      <c r="BG146" s="283"/>
      <c r="BH146" s="283"/>
      <c r="BI146" s="283"/>
      <c r="BJ146" s="283"/>
      <c r="BK146" s="283"/>
      <c r="BL146" s="283"/>
      <c r="BM146" s="283"/>
      <c r="BN146" s="283"/>
      <c r="BO146" s="283"/>
      <c r="BP146" s="283"/>
      <c r="BQ146" s="283"/>
      <c r="BR146" s="283"/>
      <c r="BS146" s="283"/>
      <c r="BT146" s="283"/>
      <c r="BU146" s="283"/>
      <c r="BV146" s="283"/>
      <c r="BW146" s="283"/>
      <c r="BX146" s="283"/>
    </row>
    <row r="147" spans="3:76">
      <c r="C147" s="335" t="s">
        <v>351</v>
      </c>
      <c r="D147" s="511"/>
      <c r="E147" s="517">
        <f t="shared" ref="E147:BX147" si="58">E142+E143+E144+E145+E146</f>
        <v>0</v>
      </c>
      <c r="F147" s="517">
        <f t="shared" si="58"/>
        <v>0</v>
      </c>
      <c r="G147" s="517">
        <f t="shared" si="58"/>
        <v>0</v>
      </c>
      <c r="H147" s="517">
        <f t="shared" si="58"/>
        <v>0</v>
      </c>
      <c r="I147" s="517">
        <f t="shared" si="58"/>
        <v>0</v>
      </c>
      <c r="J147" s="517">
        <f t="shared" si="58"/>
        <v>0</v>
      </c>
      <c r="K147" s="517">
        <f t="shared" si="58"/>
        <v>0</v>
      </c>
      <c r="L147" s="517">
        <f t="shared" si="58"/>
        <v>0</v>
      </c>
      <c r="M147" s="517">
        <f t="shared" si="58"/>
        <v>0</v>
      </c>
      <c r="N147" s="517">
        <f t="shared" si="58"/>
        <v>0</v>
      </c>
      <c r="O147" s="517">
        <f t="shared" si="58"/>
        <v>0</v>
      </c>
      <c r="P147" s="517">
        <f t="shared" si="58"/>
        <v>0</v>
      </c>
      <c r="Q147" s="517">
        <f t="shared" si="58"/>
        <v>0</v>
      </c>
      <c r="R147" s="517">
        <f t="shared" si="58"/>
        <v>0</v>
      </c>
      <c r="S147" s="517">
        <f t="shared" si="58"/>
        <v>-1200000</v>
      </c>
      <c r="T147" s="517">
        <f t="shared" si="58"/>
        <v>-15000000</v>
      </c>
      <c r="U147" s="517">
        <f t="shared" si="58"/>
        <v>-3700000</v>
      </c>
      <c r="V147" s="517">
        <f t="shared" si="58"/>
        <v>0</v>
      </c>
      <c r="W147" s="517">
        <f t="shared" si="58"/>
        <v>0</v>
      </c>
      <c r="X147" s="517">
        <f t="shared" si="58"/>
        <v>0</v>
      </c>
      <c r="Y147" s="517">
        <f t="shared" si="58"/>
        <v>0</v>
      </c>
      <c r="Z147" s="517">
        <f t="shared" si="58"/>
        <v>0</v>
      </c>
      <c r="AA147" s="517">
        <f t="shared" si="58"/>
        <v>0</v>
      </c>
      <c r="AB147" s="517">
        <f t="shared" si="58"/>
        <v>0</v>
      </c>
      <c r="AC147" s="517" t="e">
        <f t="shared" si="58"/>
        <v>#REF!</v>
      </c>
      <c r="AD147" s="517">
        <f t="shared" si="58"/>
        <v>0</v>
      </c>
      <c r="AE147" s="517">
        <f t="shared" si="58"/>
        <v>0</v>
      </c>
      <c r="AF147" s="517">
        <f t="shared" si="58"/>
        <v>0</v>
      </c>
      <c r="AG147" s="517">
        <f t="shared" si="58"/>
        <v>0</v>
      </c>
      <c r="AH147" s="517">
        <f t="shared" si="58"/>
        <v>0</v>
      </c>
      <c r="AI147" s="517">
        <f t="shared" si="58"/>
        <v>0</v>
      </c>
      <c r="AJ147" s="517">
        <f t="shared" si="58"/>
        <v>0</v>
      </c>
      <c r="AK147" s="517">
        <f t="shared" si="58"/>
        <v>0</v>
      </c>
      <c r="AL147" s="517">
        <f t="shared" si="58"/>
        <v>0</v>
      </c>
      <c r="AM147" s="517">
        <f t="shared" si="58"/>
        <v>0</v>
      </c>
      <c r="AN147" s="517">
        <f t="shared" si="58"/>
        <v>0</v>
      </c>
      <c r="AO147" s="517">
        <f t="shared" si="58"/>
        <v>0</v>
      </c>
      <c r="AP147" s="517">
        <f t="shared" si="58"/>
        <v>0</v>
      </c>
      <c r="AQ147" s="517">
        <f t="shared" si="58"/>
        <v>0</v>
      </c>
      <c r="AR147" s="517">
        <f t="shared" si="58"/>
        <v>0</v>
      </c>
      <c r="AS147" s="517">
        <f t="shared" si="58"/>
        <v>0</v>
      </c>
      <c r="AT147" s="517">
        <f t="shared" si="58"/>
        <v>0</v>
      </c>
      <c r="AU147" s="517">
        <f t="shared" si="58"/>
        <v>0</v>
      </c>
      <c r="AV147" s="517">
        <f t="shared" si="58"/>
        <v>0</v>
      </c>
      <c r="AW147" s="517">
        <f t="shared" si="58"/>
        <v>0</v>
      </c>
      <c r="AX147" s="517">
        <f t="shared" si="58"/>
        <v>0</v>
      </c>
      <c r="AY147" s="517">
        <f t="shared" si="58"/>
        <v>0</v>
      </c>
      <c r="AZ147" s="517">
        <f t="shared" si="58"/>
        <v>0</v>
      </c>
      <c r="BA147" s="517">
        <f t="shared" si="58"/>
        <v>0</v>
      </c>
      <c r="BB147" s="517">
        <f t="shared" si="58"/>
        <v>0</v>
      </c>
      <c r="BC147" s="517">
        <f t="shared" si="58"/>
        <v>0</v>
      </c>
      <c r="BD147" s="517">
        <f t="shared" si="58"/>
        <v>0</v>
      </c>
      <c r="BE147" s="517">
        <f t="shared" si="58"/>
        <v>0</v>
      </c>
      <c r="BF147" s="517">
        <f t="shared" si="58"/>
        <v>0</v>
      </c>
      <c r="BG147" s="517">
        <f t="shared" si="58"/>
        <v>0</v>
      </c>
      <c r="BH147" s="517">
        <f t="shared" si="58"/>
        <v>0</v>
      </c>
      <c r="BI147" s="517">
        <f t="shared" si="58"/>
        <v>0</v>
      </c>
      <c r="BJ147" s="517">
        <f t="shared" si="58"/>
        <v>0</v>
      </c>
      <c r="BK147" s="517">
        <f t="shared" si="58"/>
        <v>0</v>
      </c>
      <c r="BL147" s="517">
        <f t="shared" si="58"/>
        <v>0</v>
      </c>
      <c r="BM147" s="517">
        <f t="shared" si="58"/>
        <v>0</v>
      </c>
      <c r="BN147" s="517">
        <f t="shared" si="58"/>
        <v>0</v>
      </c>
      <c r="BO147" s="517">
        <f t="shared" si="58"/>
        <v>0</v>
      </c>
      <c r="BP147" s="517">
        <f t="shared" si="58"/>
        <v>0</v>
      </c>
      <c r="BQ147" s="517">
        <f t="shared" si="58"/>
        <v>0</v>
      </c>
      <c r="BR147" s="517">
        <f t="shared" si="58"/>
        <v>0</v>
      </c>
      <c r="BS147" s="517">
        <f t="shared" si="58"/>
        <v>0</v>
      </c>
      <c r="BT147" s="517">
        <f t="shared" si="58"/>
        <v>0</v>
      </c>
      <c r="BU147" s="517">
        <f t="shared" si="58"/>
        <v>0</v>
      </c>
      <c r="BV147" s="517">
        <f t="shared" si="58"/>
        <v>0</v>
      </c>
      <c r="BW147" s="517">
        <f t="shared" si="58"/>
        <v>0</v>
      </c>
      <c r="BX147" s="517" t="e">
        <f t="shared" si="58"/>
        <v>#VALUE!</v>
      </c>
    </row>
    <row r="148" spans="3:76">
      <c r="C148" s="336"/>
      <c r="D148" s="518" t="s">
        <v>359</v>
      </c>
      <c r="E148" s="522">
        <f>E147</f>
        <v>0</v>
      </c>
      <c r="F148" s="522">
        <f t="shared" ref="F148:BX148" si="59">E148+F147</f>
        <v>0</v>
      </c>
      <c r="G148" s="522">
        <f t="shared" si="59"/>
        <v>0</v>
      </c>
      <c r="H148" s="522">
        <f t="shared" si="59"/>
        <v>0</v>
      </c>
      <c r="I148" s="522">
        <f t="shared" si="59"/>
        <v>0</v>
      </c>
      <c r="J148" s="522">
        <f t="shared" si="59"/>
        <v>0</v>
      </c>
      <c r="K148" s="522">
        <f t="shared" si="59"/>
        <v>0</v>
      </c>
      <c r="L148" s="522">
        <f t="shared" si="59"/>
        <v>0</v>
      </c>
      <c r="M148" s="522">
        <f t="shared" si="59"/>
        <v>0</v>
      </c>
      <c r="N148" s="522">
        <f t="shared" si="59"/>
        <v>0</v>
      </c>
      <c r="O148" s="522">
        <f t="shared" si="59"/>
        <v>0</v>
      </c>
      <c r="P148" s="522">
        <f t="shared" si="59"/>
        <v>0</v>
      </c>
      <c r="Q148" s="522">
        <f t="shared" si="59"/>
        <v>0</v>
      </c>
      <c r="R148" s="522">
        <f t="shared" si="59"/>
        <v>0</v>
      </c>
      <c r="S148" s="522">
        <f t="shared" si="59"/>
        <v>-1200000</v>
      </c>
      <c r="T148" s="522">
        <f t="shared" si="59"/>
        <v>-16200000</v>
      </c>
      <c r="U148" s="522">
        <f t="shared" si="59"/>
        <v>-19900000</v>
      </c>
      <c r="V148" s="522">
        <f t="shared" si="59"/>
        <v>-19900000</v>
      </c>
      <c r="W148" s="522">
        <f t="shared" si="59"/>
        <v>-19900000</v>
      </c>
      <c r="X148" s="522">
        <f t="shared" si="59"/>
        <v>-19900000</v>
      </c>
      <c r="Y148" s="522">
        <f t="shared" si="59"/>
        <v>-19900000</v>
      </c>
      <c r="Z148" s="522">
        <f t="shared" si="59"/>
        <v>-19900000</v>
      </c>
      <c r="AA148" s="522">
        <f t="shared" si="59"/>
        <v>-19900000</v>
      </c>
      <c r="AB148" s="522">
        <f t="shared" si="59"/>
        <v>-19900000</v>
      </c>
      <c r="AC148" s="522" t="e">
        <f t="shared" si="59"/>
        <v>#REF!</v>
      </c>
      <c r="AD148" s="522" t="e">
        <f t="shared" si="59"/>
        <v>#REF!</v>
      </c>
      <c r="AE148" s="522" t="e">
        <f t="shared" si="59"/>
        <v>#REF!</v>
      </c>
      <c r="AF148" s="522" t="e">
        <f t="shared" si="59"/>
        <v>#REF!</v>
      </c>
      <c r="AG148" s="522" t="e">
        <f t="shared" si="59"/>
        <v>#REF!</v>
      </c>
      <c r="AH148" s="522" t="e">
        <f t="shared" si="59"/>
        <v>#REF!</v>
      </c>
      <c r="AI148" s="522" t="e">
        <f t="shared" si="59"/>
        <v>#REF!</v>
      </c>
      <c r="AJ148" s="522" t="e">
        <f t="shared" si="59"/>
        <v>#REF!</v>
      </c>
      <c r="AK148" s="522" t="e">
        <f t="shared" si="59"/>
        <v>#REF!</v>
      </c>
      <c r="AL148" s="522" t="e">
        <f t="shared" si="59"/>
        <v>#REF!</v>
      </c>
      <c r="AM148" s="522" t="e">
        <f t="shared" si="59"/>
        <v>#REF!</v>
      </c>
      <c r="AN148" s="522" t="e">
        <f t="shared" si="59"/>
        <v>#REF!</v>
      </c>
      <c r="AO148" s="522" t="e">
        <f t="shared" si="59"/>
        <v>#REF!</v>
      </c>
      <c r="AP148" s="522" t="e">
        <f t="shared" si="59"/>
        <v>#REF!</v>
      </c>
      <c r="AQ148" s="522" t="e">
        <f t="shared" si="59"/>
        <v>#REF!</v>
      </c>
      <c r="AR148" s="522" t="e">
        <f t="shared" si="59"/>
        <v>#REF!</v>
      </c>
      <c r="AS148" s="522" t="e">
        <f t="shared" si="59"/>
        <v>#REF!</v>
      </c>
      <c r="AT148" s="522" t="e">
        <f t="shared" si="59"/>
        <v>#REF!</v>
      </c>
      <c r="AU148" s="522" t="e">
        <f t="shared" si="59"/>
        <v>#REF!</v>
      </c>
      <c r="AV148" s="522" t="e">
        <f t="shared" si="59"/>
        <v>#REF!</v>
      </c>
      <c r="AW148" s="522" t="e">
        <f t="shared" si="59"/>
        <v>#REF!</v>
      </c>
      <c r="AX148" s="522" t="e">
        <f t="shared" si="59"/>
        <v>#REF!</v>
      </c>
      <c r="AY148" s="522" t="e">
        <f t="shared" si="59"/>
        <v>#REF!</v>
      </c>
      <c r="AZ148" s="522" t="e">
        <f t="shared" si="59"/>
        <v>#REF!</v>
      </c>
      <c r="BA148" s="522" t="e">
        <f t="shared" si="59"/>
        <v>#REF!</v>
      </c>
      <c r="BB148" s="522" t="e">
        <f t="shared" si="59"/>
        <v>#REF!</v>
      </c>
      <c r="BC148" s="522" t="e">
        <f t="shared" si="59"/>
        <v>#REF!</v>
      </c>
      <c r="BD148" s="522" t="e">
        <f t="shared" si="59"/>
        <v>#REF!</v>
      </c>
      <c r="BE148" s="522" t="e">
        <f t="shared" si="59"/>
        <v>#REF!</v>
      </c>
      <c r="BF148" s="522" t="e">
        <f t="shared" si="59"/>
        <v>#REF!</v>
      </c>
      <c r="BG148" s="522" t="e">
        <f t="shared" si="59"/>
        <v>#REF!</v>
      </c>
      <c r="BH148" s="522" t="e">
        <f t="shared" si="59"/>
        <v>#REF!</v>
      </c>
      <c r="BI148" s="522" t="e">
        <f t="shared" si="59"/>
        <v>#REF!</v>
      </c>
      <c r="BJ148" s="522" t="e">
        <f t="shared" si="59"/>
        <v>#REF!</v>
      </c>
      <c r="BK148" s="522" t="e">
        <f t="shared" si="59"/>
        <v>#REF!</v>
      </c>
      <c r="BL148" s="522" t="e">
        <f t="shared" si="59"/>
        <v>#REF!</v>
      </c>
      <c r="BM148" s="522" t="e">
        <f t="shared" si="59"/>
        <v>#REF!</v>
      </c>
      <c r="BN148" s="522" t="e">
        <f t="shared" si="59"/>
        <v>#REF!</v>
      </c>
      <c r="BO148" s="522" t="e">
        <f t="shared" si="59"/>
        <v>#REF!</v>
      </c>
      <c r="BP148" s="522" t="e">
        <f t="shared" si="59"/>
        <v>#REF!</v>
      </c>
      <c r="BQ148" s="522" t="e">
        <f t="shared" si="59"/>
        <v>#REF!</v>
      </c>
      <c r="BR148" s="522" t="e">
        <f t="shared" si="59"/>
        <v>#REF!</v>
      </c>
      <c r="BS148" s="522" t="e">
        <f t="shared" si="59"/>
        <v>#REF!</v>
      </c>
      <c r="BT148" s="522" t="e">
        <f t="shared" si="59"/>
        <v>#REF!</v>
      </c>
      <c r="BU148" s="522" t="e">
        <f t="shared" si="59"/>
        <v>#REF!</v>
      </c>
      <c r="BV148" s="522" t="e">
        <f t="shared" si="59"/>
        <v>#REF!</v>
      </c>
      <c r="BW148" s="522" t="e">
        <f t="shared" si="59"/>
        <v>#REF!</v>
      </c>
      <c r="BX148" s="522" t="e">
        <f t="shared" si="59"/>
        <v>#REF!</v>
      </c>
    </row>
    <row r="149" spans="3:76">
      <c r="C149" s="513" t="s">
        <v>352</v>
      </c>
      <c r="D149" s="518" t="e">
        <f>IRR(P147:AC147)*12</f>
        <v>#VALUE!</v>
      </c>
      <c r="E149" s="265"/>
      <c r="F149" s="265"/>
      <c r="G149" s="265"/>
      <c r="H149" s="265"/>
      <c r="I149" s="265"/>
      <c r="J149" s="265"/>
      <c r="K149" s="265"/>
      <c r="L149" s="265"/>
      <c r="M149" s="265"/>
      <c r="N149" s="265"/>
      <c r="O149" s="265"/>
      <c r="P149" s="265"/>
      <c r="Q149" s="265"/>
      <c r="R149" s="265"/>
      <c r="S149" s="265"/>
      <c r="T149" s="265"/>
      <c r="U149" s="265"/>
      <c r="V149" s="265"/>
      <c r="W149" s="265"/>
      <c r="X149" s="265"/>
      <c r="Y149" s="265"/>
      <c r="Z149" s="265"/>
      <c r="AA149" s="265"/>
      <c r="AB149" s="265"/>
      <c r="AC149" s="265"/>
      <c r="AD149" s="265"/>
      <c r="AE149" s="265"/>
      <c r="AF149" s="265"/>
      <c r="AG149" s="265"/>
      <c r="AH149" s="265"/>
      <c r="AI149" s="265"/>
      <c r="AJ149" s="265"/>
      <c r="AK149" s="265"/>
      <c r="AL149" s="265"/>
      <c r="AM149" s="265"/>
      <c r="AN149" s="265"/>
      <c r="AO149" s="265"/>
      <c r="AP149" s="265"/>
      <c r="AQ149" s="265"/>
      <c r="AR149" s="265"/>
      <c r="AS149" s="265"/>
      <c r="AT149" s="265"/>
      <c r="AU149" s="265"/>
      <c r="AV149" s="265"/>
      <c r="AW149" s="265"/>
      <c r="AX149" s="265"/>
      <c r="AY149" s="265"/>
      <c r="AZ149" s="265"/>
      <c r="BA149" s="265"/>
      <c r="BB149" s="265"/>
      <c r="BC149" s="265"/>
      <c r="BD149" s="265"/>
      <c r="BE149" s="265"/>
      <c r="BF149" s="265"/>
      <c r="BG149" s="265"/>
      <c r="BH149" s="265"/>
      <c r="BI149" s="265"/>
      <c r="BJ149" s="265"/>
      <c r="BK149" s="265"/>
      <c r="BL149" s="265"/>
      <c r="BM149" s="265"/>
      <c r="BN149" s="265"/>
      <c r="BO149" s="265"/>
      <c r="BP149" s="265"/>
      <c r="BQ149" s="265"/>
      <c r="BR149" s="265"/>
      <c r="BS149" s="265"/>
      <c r="BT149" s="265"/>
      <c r="BU149" s="265"/>
      <c r="BV149" s="265"/>
      <c r="BW149" s="265"/>
      <c r="BX149" s="265"/>
    </row>
    <row r="150" spans="3:76">
      <c r="C150" s="519" t="s">
        <v>353</v>
      </c>
      <c r="D150" s="520" t="e">
        <f>-MIN(M148:BL148)-D151</f>
        <v>#REF!</v>
      </c>
      <c r="E150" s="265"/>
      <c r="F150" s="265"/>
      <c r="G150" s="265"/>
      <c r="H150" s="265"/>
      <c r="I150" s="265"/>
      <c r="J150" s="265"/>
      <c r="K150" s="265"/>
      <c r="L150" s="265"/>
      <c r="M150" s="265"/>
      <c r="N150" s="265"/>
      <c r="O150" s="265"/>
      <c r="P150" s="265"/>
      <c r="Q150" s="265"/>
      <c r="R150" s="265"/>
      <c r="S150" s="265"/>
      <c r="T150" s="265"/>
      <c r="U150" s="265"/>
      <c r="V150" s="265"/>
      <c r="W150" s="265"/>
      <c r="X150" s="265"/>
      <c r="Y150" s="265"/>
      <c r="Z150" s="265"/>
      <c r="AA150" s="265"/>
      <c r="AB150" s="265"/>
      <c r="AC150" s="265"/>
      <c r="AD150" s="265"/>
      <c r="AE150" s="265"/>
      <c r="AF150" s="265"/>
      <c r="AG150" s="265"/>
      <c r="AH150" s="265"/>
      <c r="AI150" s="265"/>
      <c r="AJ150" s="265"/>
      <c r="AK150" s="265"/>
      <c r="AL150" s="265"/>
      <c r="AM150" s="265"/>
      <c r="AN150" s="265"/>
      <c r="AO150" s="265"/>
      <c r="AP150" s="265"/>
      <c r="AQ150" s="265"/>
      <c r="AR150" s="265"/>
      <c r="AS150" s="265"/>
      <c r="AT150" s="265"/>
      <c r="AU150" s="265"/>
      <c r="AV150" s="265"/>
      <c r="AW150" s="265"/>
      <c r="AX150" s="265"/>
      <c r="AY150" s="265"/>
      <c r="AZ150" s="265"/>
      <c r="BA150" s="265"/>
      <c r="BB150" s="265"/>
      <c r="BC150" s="265"/>
      <c r="BD150" s="265"/>
      <c r="BE150" s="265"/>
      <c r="BF150" s="265"/>
      <c r="BG150" s="265"/>
      <c r="BH150" s="265"/>
      <c r="BI150" s="265"/>
      <c r="BJ150" s="265"/>
      <c r="BK150" s="265"/>
      <c r="BL150" s="265"/>
      <c r="BM150" s="265"/>
      <c r="BN150" s="265"/>
      <c r="BO150" s="265"/>
      <c r="BP150" s="265"/>
      <c r="BQ150" s="265"/>
      <c r="BR150" s="265"/>
      <c r="BS150" s="265"/>
      <c r="BT150" s="265"/>
      <c r="BU150" s="265"/>
      <c r="BV150" s="265"/>
      <c r="BW150" s="265"/>
      <c r="BX150" s="265"/>
    </row>
    <row r="151" spans="3:76">
      <c r="C151" s="519" t="s">
        <v>360</v>
      </c>
      <c r="D151" s="520">
        <f>-SUM(M146:BB146)</f>
        <v>0</v>
      </c>
      <c r="E151" s="265"/>
      <c r="F151" s="265"/>
      <c r="G151" s="265"/>
      <c r="H151" s="265"/>
      <c r="I151" s="265"/>
      <c r="J151" s="265"/>
      <c r="K151" s="265"/>
      <c r="L151" s="265"/>
      <c r="M151" s="265"/>
      <c r="N151" s="265"/>
      <c r="O151" s="265"/>
      <c r="P151" s="265"/>
      <c r="Q151" s="265"/>
      <c r="R151" s="265"/>
      <c r="S151" s="265"/>
      <c r="T151" s="265"/>
      <c r="U151" s="265"/>
      <c r="V151" s="265"/>
      <c r="W151" s="265"/>
      <c r="X151" s="265"/>
      <c r="Y151" s="265"/>
      <c r="Z151" s="265"/>
      <c r="AA151" s="265"/>
      <c r="AB151" s="265"/>
      <c r="AC151" s="265"/>
      <c r="AD151" s="265"/>
      <c r="AE151" s="265"/>
      <c r="AF151" s="265"/>
      <c r="AG151" s="265"/>
      <c r="AH151" s="265"/>
      <c r="AI151" s="265"/>
      <c r="AJ151" s="265"/>
      <c r="AK151" s="265"/>
      <c r="AL151" s="265"/>
      <c r="AM151" s="265"/>
      <c r="AN151" s="265"/>
      <c r="AO151" s="265"/>
      <c r="AP151" s="265"/>
      <c r="AQ151" s="265"/>
      <c r="AR151" s="265"/>
      <c r="AS151" s="265"/>
      <c r="AT151" s="265"/>
      <c r="AU151" s="265"/>
      <c r="AV151" s="265"/>
      <c r="AW151" s="265"/>
      <c r="AX151" s="265"/>
      <c r="AY151" s="265"/>
      <c r="AZ151" s="265"/>
      <c r="BA151" s="265"/>
      <c r="BB151" s="265"/>
      <c r="BC151" s="265"/>
      <c r="BD151" s="265"/>
      <c r="BE151" s="265"/>
      <c r="BF151" s="265"/>
      <c r="BG151" s="265"/>
      <c r="BH151" s="265"/>
      <c r="BI151" s="265"/>
      <c r="BJ151" s="265"/>
      <c r="BK151" s="265"/>
      <c r="BL151" s="265"/>
      <c r="BM151" s="265"/>
      <c r="BN151" s="265"/>
      <c r="BO151" s="265"/>
      <c r="BP151" s="265"/>
      <c r="BQ151" s="265"/>
      <c r="BR151" s="265"/>
      <c r="BS151" s="265"/>
      <c r="BT151" s="265"/>
      <c r="BU151" s="265"/>
      <c r="BV151" s="265"/>
      <c r="BW151" s="265"/>
      <c r="BX151" s="265"/>
    </row>
    <row r="152" spans="3:76">
      <c r="C152" s="513" t="s">
        <v>354</v>
      </c>
      <c r="D152" s="521" t="e">
        <f>D151+D150</f>
        <v>#REF!</v>
      </c>
      <c r="E152" s="265"/>
      <c r="F152" s="265"/>
      <c r="G152" s="265"/>
      <c r="H152" s="265"/>
      <c r="I152" s="265"/>
      <c r="J152" s="265"/>
      <c r="K152" s="265"/>
      <c r="L152" s="265"/>
      <c r="M152" s="265"/>
      <c r="N152" s="265"/>
      <c r="O152" s="265"/>
      <c r="P152" s="265"/>
      <c r="Q152" s="265"/>
      <c r="R152" s="265"/>
      <c r="S152" s="265"/>
      <c r="T152" s="265"/>
      <c r="U152" s="265"/>
      <c r="V152" s="265"/>
      <c r="W152" s="265"/>
      <c r="X152" s="265"/>
      <c r="Y152" s="265"/>
      <c r="Z152" s="265"/>
      <c r="AA152" s="265"/>
      <c r="AB152" s="265"/>
      <c r="AC152" s="281">
        <f>AC144/AC142</f>
        <v>9.0515075376884441E-2</v>
      </c>
      <c r="AD152" s="265"/>
      <c r="AE152" s="265"/>
      <c r="AF152" s="265"/>
      <c r="AG152" s="265"/>
      <c r="AH152" s="265"/>
      <c r="AI152" s="265"/>
      <c r="AJ152" s="265"/>
      <c r="AK152" s="265"/>
      <c r="AL152" s="265"/>
      <c r="AM152" s="265"/>
      <c r="AN152" s="265"/>
      <c r="AO152" s="265"/>
      <c r="AP152" s="265"/>
      <c r="AQ152" s="265"/>
      <c r="AR152" s="265"/>
      <c r="AS152" s="265"/>
      <c r="AT152" s="265"/>
      <c r="AU152" s="265"/>
      <c r="AV152" s="265"/>
      <c r="AW152" s="265"/>
      <c r="AX152" s="265"/>
      <c r="AY152" s="265"/>
      <c r="AZ152" s="265"/>
      <c r="BA152" s="265"/>
      <c r="BB152" s="265"/>
      <c r="BC152" s="265"/>
      <c r="BD152" s="265"/>
      <c r="BE152" s="265"/>
      <c r="BF152" s="265"/>
      <c r="BG152" s="265"/>
      <c r="BH152" s="265"/>
      <c r="BI152" s="265"/>
      <c r="BJ152" s="265"/>
      <c r="BK152" s="265"/>
      <c r="BL152" s="265"/>
      <c r="BM152" s="265"/>
      <c r="BN152" s="265"/>
      <c r="BO152" s="265"/>
      <c r="BP152" s="265"/>
      <c r="BQ152" s="265"/>
      <c r="BR152" s="265"/>
      <c r="BS152" s="265"/>
      <c r="BT152" s="265"/>
      <c r="BU152" s="265"/>
      <c r="BV152" s="265"/>
      <c r="BW152" s="265"/>
      <c r="BX152" s="265"/>
    </row>
    <row r="153" spans="3:76">
      <c r="C153" s="513" t="s">
        <v>355</v>
      </c>
      <c r="D153" s="521" t="e">
        <f>AC145+AC144</f>
        <v>#REF!</v>
      </c>
      <c r="E153" s="265"/>
      <c r="F153" s="265"/>
      <c r="G153" s="265"/>
      <c r="H153" s="265"/>
      <c r="I153" s="265"/>
      <c r="J153" s="265"/>
      <c r="K153" s="265"/>
      <c r="L153" s="265"/>
      <c r="M153" s="265"/>
      <c r="N153" s="265"/>
      <c r="O153" s="265"/>
      <c r="P153" s="265"/>
      <c r="Q153" s="265"/>
      <c r="R153" s="265"/>
      <c r="S153" s="265"/>
      <c r="T153" s="265"/>
      <c r="U153" s="265"/>
      <c r="V153" s="265"/>
      <c r="W153" s="265"/>
      <c r="X153" s="265"/>
      <c r="Y153" s="265"/>
      <c r="Z153" s="265"/>
      <c r="AA153" s="265"/>
      <c r="AB153" s="265"/>
      <c r="AC153" s="265"/>
      <c r="AD153" s="265"/>
      <c r="AE153" s="265"/>
      <c r="AF153" s="265"/>
      <c r="AG153" s="265"/>
      <c r="AH153" s="265"/>
      <c r="AI153" s="265"/>
      <c r="AJ153" s="265"/>
      <c r="AK153" s="265"/>
      <c r="AL153" s="265"/>
      <c r="AM153" s="265"/>
      <c r="AN153" s="265"/>
      <c r="AO153" s="265"/>
      <c r="AP153" s="265"/>
      <c r="AQ153" s="265"/>
      <c r="AR153" s="265"/>
      <c r="AS153" s="265"/>
      <c r="AT153" s="265"/>
      <c r="AU153" s="265"/>
      <c r="AV153" s="265"/>
      <c r="AW153" s="265"/>
      <c r="AX153" s="265"/>
      <c r="AY153" s="265"/>
      <c r="AZ153" s="265"/>
      <c r="BA153" s="265"/>
      <c r="BB153" s="265"/>
      <c r="BC153" s="265"/>
      <c r="BD153" s="265"/>
      <c r="BE153" s="265"/>
      <c r="BF153" s="265"/>
      <c r="BG153" s="265"/>
      <c r="BH153" s="265"/>
      <c r="BI153" s="265"/>
      <c r="BJ153" s="265"/>
      <c r="BK153" s="265"/>
      <c r="BL153" s="265"/>
      <c r="BM153" s="265"/>
      <c r="BN153" s="265"/>
      <c r="BO153" s="265"/>
      <c r="BP153" s="265"/>
      <c r="BQ153" s="265"/>
      <c r="BR153" s="265"/>
      <c r="BS153" s="265"/>
      <c r="BT153" s="265"/>
      <c r="BU153" s="265"/>
      <c r="BV153" s="265"/>
      <c r="BW153" s="265"/>
      <c r="BX153" s="265"/>
    </row>
    <row r="154" spans="3:76">
      <c r="C154" s="513" t="s">
        <v>356</v>
      </c>
      <c r="D154" s="518" t="e">
        <f>(D153-D151)/D152</f>
        <v>#REF!</v>
      </c>
      <c r="E154" s="265"/>
      <c r="F154" s="265"/>
      <c r="G154" s="265"/>
      <c r="H154" s="265"/>
      <c r="I154" s="265"/>
      <c r="J154" s="265"/>
      <c r="K154" s="265"/>
      <c r="L154" s="265"/>
      <c r="M154" s="265"/>
      <c r="N154" s="265"/>
      <c r="O154" s="265"/>
      <c r="P154" s="265"/>
      <c r="Q154" s="265"/>
      <c r="R154" s="265"/>
      <c r="S154" s="265"/>
      <c r="T154" s="265"/>
      <c r="U154" s="265"/>
      <c r="V154" s="265"/>
      <c r="W154" s="265"/>
      <c r="X154" s="265"/>
      <c r="Y154" s="265"/>
      <c r="Z154" s="265"/>
      <c r="AA154" s="265"/>
      <c r="AB154" s="265"/>
      <c r="AC154" s="265"/>
      <c r="AD154" s="265"/>
      <c r="AE154" s="265"/>
      <c r="AF154" s="265"/>
      <c r="AG154" s="265"/>
      <c r="AH154" s="265"/>
      <c r="AI154" s="265"/>
      <c r="AJ154" s="265"/>
      <c r="AK154" s="265"/>
      <c r="AL154" s="265"/>
      <c r="AM154" s="265"/>
      <c r="AN154" s="265"/>
      <c r="AO154" s="265"/>
      <c r="AP154" s="265"/>
      <c r="AQ154" s="265"/>
      <c r="AR154" s="265"/>
      <c r="AS154" s="265"/>
      <c r="AT154" s="265"/>
      <c r="AU154" s="265"/>
      <c r="AV154" s="265"/>
      <c r="AW154" s="265"/>
      <c r="AX154" s="265"/>
      <c r="AY154" s="265"/>
      <c r="AZ154" s="265"/>
      <c r="BA154" s="265"/>
      <c r="BB154" s="265"/>
      <c r="BC154" s="265"/>
      <c r="BD154" s="265"/>
      <c r="BE154" s="265"/>
      <c r="BF154" s="265"/>
      <c r="BG154" s="265"/>
      <c r="BH154" s="265"/>
      <c r="BI154" s="265"/>
      <c r="BJ154" s="265"/>
      <c r="BK154" s="265"/>
      <c r="BL154" s="265"/>
      <c r="BM154" s="265"/>
      <c r="BN154" s="265"/>
      <c r="BO154" s="265"/>
      <c r="BP154" s="265"/>
      <c r="BQ154" s="265"/>
      <c r="BR154" s="265"/>
      <c r="BS154" s="265"/>
      <c r="BT154" s="265"/>
      <c r="BU154" s="265"/>
      <c r="BV154" s="265"/>
      <c r="BW154" s="265"/>
      <c r="BX154" s="265"/>
    </row>
    <row r="155" spans="3:76">
      <c r="E155" s="265"/>
      <c r="F155" s="265"/>
      <c r="G155" s="265"/>
      <c r="H155" s="265"/>
      <c r="I155" s="265"/>
      <c r="J155" s="265"/>
      <c r="K155" s="265"/>
      <c r="L155" s="265"/>
      <c r="M155" s="265"/>
      <c r="N155" s="265"/>
      <c r="O155" s="265"/>
      <c r="P155" s="265"/>
      <c r="Q155" s="265"/>
      <c r="R155" s="265"/>
      <c r="S155" s="265"/>
      <c r="T155" s="265"/>
      <c r="U155" s="265"/>
      <c r="V155" s="265"/>
      <c r="W155" s="265"/>
      <c r="X155" s="265"/>
      <c r="Y155" s="265"/>
      <c r="Z155" s="265"/>
      <c r="AA155" s="265"/>
      <c r="AB155" s="265"/>
      <c r="AC155" s="265"/>
      <c r="AD155" s="265"/>
      <c r="AE155" s="265"/>
      <c r="AF155" s="265"/>
      <c r="AG155" s="265"/>
      <c r="AH155" s="265"/>
      <c r="AI155" s="265"/>
      <c r="AJ155" s="265"/>
      <c r="AK155" s="265"/>
      <c r="AL155" s="265"/>
      <c r="AM155" s="265"/>
      <c r="AN155" s="265"/>
      <c r="AO155" s="265"/>
      <c r="AP155" s="265"/>
      <c r="AQ155" s="265"/>
      <c r="AR155" s="265"/>
      <c r="AS155" s="265"/>
      <c r="AT155" s="265"/>
      <c r="AU155" s="265"/>
      <c r="AV155" s="265"/>
      <c r="AW155" s="265"/>
      <c r="AX155" s="265"/>
      <c r="AY155" s="265"/>
      <c r="AZ155" s="265"/>
      <c r="BA155" s="265"/>
      <c r="BB155" s="265"/>
      <c r="BC155" s="265"/>
      <c r="BD155" s="265"/>
      <c r="BE155" s="265"/>
      <c r="BF155" s="265"/>
      <c r="BG155" s="265"/>
      <c r="BH155" s="265"/>
      <c r="BI155" s="265"/>
      <c r="BJ155" s="265"/>
      <c r="BK155" s="265"/>
      <c r="BL155" s="265"/>
      <c r="BM155" s="265"/>
      <c r="BN155" s="265"/>
      <c r="BO155" s="265"/>
      <c r="BP155" s="265"/>
      <c r="BQ155" s="265"/>
      <c r="BR155" s="265"/>
      <c r="BS155" s="265"/>
      <c r="BT155" s="265"/>
      <c r="BU155" s="265"/>
      <c r="BV155" s="265"/>
      <c r="BW155" s="265"/>
      <c r="BX155" s="265"/>
    </row>
    <row r="156" spans="3:76" hidden="1">
      <c r="E156" s="265"/>
      <c r="F156" s="265"/>
      <c r="G156" s="265"/>
      <c r="H156" s="265"/>
      <c r="I156" s="265"/>
      <c r="J156" s="265"/>
      <c r="K156" s="265"/>
      <c r="L156" s="265"/>
      <c r="M156" s="265"/>
      <c r="N156" s="265"/>
      <c r="O156" s="265"/>
      <c r="P156" s="265"/>
      <c r="Q156" s="265"/>
      <c r="R156" s="265"/>
      <c r="S156" s="265"/>
      <c r="T156" s="265"/>
      <c r="U156" s="265"/>
      <c r="V156" s="265"/>
      <c r="W156" s="265"/>
      <c r="X156" s="265"/>
      <c r="Y156" s="265"/>
      <c r="Z156" s="265"/>
      <c r="AA156" s="265"/>
      <c r="AB156" s="265"/>
      <c r="AC156" s="265"/>
      <c r="AD156" s="265"/>
      <c r="AE156" s="265"/>
      <c r="AF156" s="265"/>
      <c r="AG156" s="265"/>
      <c r="AH156" s="265"/>
      <c r="AI156" s="265"/>
      <c r="AJ156" s="265"/>
      <c r="AK156" s="265"/>
      <c r="AL156" s="265"/>
      <c r="AM156" s="265"/>
      <c r="AN156" s="265"/>
      <c r="AO156" s="265"/>
      <c r="AP156" s="265"/>
      <c r="AQ156" s="265"/>
      <c r="AR156" s="265"/>
      <c r="AS156" s="265"/>
      <c r="AT156" s="265"/>
      <c r="AU156" s="265"/>
      <c r="AV156" s="265"/>
      <c r="AW156" s="265"/>
      <c r="AX156" s="265"/>
      <c r="AY156" s="265"/>
      <c r="AZ156" s="265"/>
      <c r="BA156" s="265"/>
      <c r="BB156" s="265"/>
      <c r="BC156" s="265"/>
      <c r="BD156" s="265"/>
      <c r="BE156" s="265"/>
      <c r="BF156" s="265"/>
      <c r="BG156" s="265"/>
      <c r="BH156" s="265"/>
      <c r="BI156" s="265"/>
      <c r="BJ156" s="265"/>
      <c r="BK156" s="265"/>
      <c r="BL156" s="265"/>
      <c r="BM156" s="265"/>
      <c r="BN156" s="265"/>
      <c r="BO156" s="265"/>
      <c r="BP156" s="265"/>
      <c r="BQ156" s="265"/>
      <c r="BR156" s="265"/>
      <c r="BS156" s="265"/>
      <c r="BT156" s="265"/>
      <c r="BU156" s="265"/>
      <c r="BV156" s="265"/>
      <c r="BW156" s="265"/>
      <c r="BX156" s="265"/>
    </row>
    <row r="157" spans="3:76">
      <c r="E157" s="265"/>
      <c r="F157" s="265"/>
      <c r="G157" s="265"/>
      <c r="H157" s="265"/>
      <c r="I157" s="265"/>
      <c r="J157" s="265"/>
      <c r="K157" s="265"/>
      <c r="L157" s="265"/>
      <c r="M157" s="265"/>
      <c r="N157" s="265"/>
      <c r="O157" s="265"/>
      <c r="P157" s="265"/>
      <c r="Q157" s="265"/>
      <c r="R157" s="265"/>
      <c r="S157" s="265"/>
      <c r="T157" s="265"/>
      <c r="U157" s="265"/>
      <c r="V157" s="265"/>
      <c r="W157" s="265"/>
      <c r="X157" s="265"/>
      <c r="Y157" s="265"/>
      <c r="Z157" s="265"/>
      <c r="AA157" s="265"/>
      <c r="AB157" s="265"/>
      <c r="AC157" s="265"/>
      <c r="AD157" s="265"/>
      <c r="AE157" s="265"/>
      <c r="AF157" s="265"/>
      <c r="AG157" s="265"/>
      <c r="AH157" s="265"/>
      <c r="AI157" s="265"/>
      <c r="AJ157" s="265"/>
      <c r="AK157" s="265"/>
      <c r="AL157" s="265"/>
      <c r="AM157" s="265"/>
      <c r="AN157" s="265"/>
      <c r="AO157" s="265"/>
      <c r="AP157" s="265"/>
      <c r="AQ157" s="265"/>
      <c r="AR157" s="265"/>
      <c r="AS157" s="265"/>
      <c r="AT157" s="265"/>
      <c r="AU157" s="265"/>
      <c r="AV157" s="265"/>
      <c r="AW157" s="265"/>
      <c r="AX157" s="265"/>
      <c r="AY157" s="265"/>
      <c r="AZ157" s="265"/>
      <c r="BA157" s="265"/>
      <c r="BB157" s="265"/>
      <c r="BC157" s="265"/>
      <c r="BD157" s="265"/>
      <c r="BE157" s="265"/>
      <c r="BF157" s="265"/>
      <c r="BG157" s="265"/>
      <c r="BH157" s="265"/>
      <c r="BI157" s="265"/>
      <c r="BJ157" s="265"/>
      <c r="BK157" s="265"/>
      <c r="BL157" s="265"/>
      <c r="BM157" s="265"/>
      <c r="BN157" s="265"/>
      <c r="BO157" s="265"/>
      <c r="BP157" s="265"/>
      <c r="BQ157" s="265"/>
      <c r="BR157" s="265"/>
      <c r="BS157" s="265"/>
      <c r="BT157" s="265"/>
      <c r="BU157" s="265"/>
      <c r="BV157" s="265"/>
      <c r="BW157" s="265"/>
      <c r="BX157" s="265"/>
    </row>
    <row r="158" spans="3:76">
      <c r="E158" s="265"/>
      <c r="F158" s="265"/>
      <c r="G158" s="265"/>
      <c r="H158" s="265"/>
      <c r="I158" s="265"/>
      <c r="J158" s="265"/>
      <c r="K158" s="265"/>
      <c r="L158" s="265"/>
      <c r="M158" s="265"/>
      <c r="N158" s="265"/>
      <c r="O158" s="265"/>
      <c r="P158" s="265"/>
      <c r="Q158" s="265"/>
      <c r="R158" s="265"/>
      <c r="S158" s="265"/>
      <c r="T158" s="265"/>
      <c r="U158" s="265"/>
      <c r="V158" s="265"/>
      <c r="W158" s="265"/>
      <c r="X158" s="265"/>
      <c r="Y158" s="265"/>
      <c r="Z158" s="265"/>
      <c r="AA158" s="265"/>
      <c r="AB158" s="265"/>
      <c r="AC158" s="265"/>
      <c r="AD158" s="265"/>
      <c r="AE158" s="265"/>
      <c r="AF158" s="265"/>
      <c r="AG158" s="265"/>
      <c r="AH158" s="265"/>
      <c r="AI158" s="265"/>
      <c r="AJ158" s="265"/>
      <c r="AK158" s="265"/>
      <c r="AL158" s="265"/>
      <c r="AM158" s="265"/>
      <c r="AN158" s="265"/>
      <c r="AO158" s="265"/>
      <c r="AP158" s="265"/>
      <c r="AQ158" s="265"/>
      <c r="AR158" s="265"/>
      <c r="AS158" s="265"/>
      <c r="AT158" s="265"/>
      <c r="AU158" s="265"/>
      <c r="AV158" s="265"/>
      <c r="AW158" s="265"/>
      <c r="AX158" s="265"/>
      <c r="AY158" s="265"/>
      <c r="AZ158" s="265"/>
      <c r="BA158" s="265"/>
      <c r="BB158" s="265"/>
      <c r="BC158" s="265"/>
      <c r="BD158" s="265"/>
      <c r="BE158" s="265"/>
      <c r="BF158" s="265"/>
      <c r="BG158" s="265"/>
      <c r="BH158" s="265"/>
      <c r="BI158" s="265"/>
      <c r="BJ158" s="265"/>
      <c r="BK158" s="265"/>
      <c r="BL158" s="265"/>
      <c r="BM158" s="265"/>
      <c r="BN158" s="265"/>
      <c r="BO158" s="265"/>
      <c r="BP158" s="265"/>
      <c r="BQ158" s="265"/>
      <c r="BR158" s="265"/>
      <c r="BS158" s="265"/>
      <c r="BT158" s="265"/>
      <c r="BU158" s="265"/>
      <c r="BV158" s="265"/>
      <c r="BW158" s="265"/>
      <c r="BX158" s="265"/>
    </row>
    <row r="159" spans="3:76">
      <c r="C159" s="335" t="s">
        <v>362</v>
      </c>
      <c r="D159" s="511"/>
      <c r="E159" s="512">
        <f t="shared" ref="E159:BX159" si="60">-(E8+E93)</f>
        <v>0</v>
      </c>
      <c r="F159" s="512">
        <f t="shared" si="60"/>
        <v>0</v>
      </c>
      <c r="G159" s="512">
        <f t="shared" si="60"/>
        <v>0</v>
      </c>
      <c r="H159" s="512">
        <f t="shared" si="60"/>
        <v>0</v>
      </c>
      <c r="I159" s="512">
        <f t="shared" si="60"/>
        <v>0</v>
      </c>
      <c r="J159" s="512">
        <f t="shared" si="60"/>
        <v>0</v>
      </c>
      <c r="K159" s="512">
        <f t="shared" si="60"/>
        <v>0</v>
      </c>
      <c r="L159" s="512">
        <f t="shared" si="60"/>
        <v>0</v>
      </c>
      <c r="M159" s="512">
        <f t="shared" si="60"/>
        <v>0</v>
      </c>
      <c r="N159" s="512">
        <f t="shared" si="60"/>
        <v>0</v>
      </c>
      <c r="O159" s="512">
        <f t="shared" si="60"/>
        <v>0</v>
      </c>
      <c r="P159" s="512">
        <f t="shared" si="60"/>
        <v>0</v>
      </c>
      <c r="Q159" s="512">
        <f t="shared" si="60"/>
        <v>0</v>
      </c>
      <c r="R159" s="512">
        <f t="shared" si="60"/>
        <v>0</v>
      </c>
      <c r="S159" s="512">
        <f t="shared" si="60"/>
        <v>0</v>
      </c>
      <c r="T159" s="512">
        <f t="shared" si="60"/>
        <v>0</v>
      </c>
      <c r="U159" s="512">
        <f t="shared" si="60"/>
        <v>0</v>
      </c>
      <c r="V159" s="512">
        <f t="shared" si="60"/>
        <v>0</v>
      </c>
      <c r="W159" s="512">
        <f t="shared" si="60"/>
        <v>0</v>
      </c>
      <c r="X159" s="512">
        <f t="shared" si="60"/>
        <v>0</v>
      </c>
      <c r="Y159" s="512">
        <f t="shared" si="60"/>
        <v>0</v>
      </c>
      <c r="Z159" s="512">
        <f t="shared" si="60"/>
        <v>0</v>
      </c>
      <c r="AA159" s="512">
        <f t="shared" si="60"/>
        <v>0</v>
      </c>
      <c r="AB159" s="512">
        <f t="shared" si="60"/>
        <v>0</v>
      </c>
      <c r="AC159" s="512">
        <f t="shared" si="60"/>
        <v>0</v>
      </c>
      <c r="AD159" s="512">
        <f t="shared" si="60"/>
        <v>0</v>
      </c>
      <c r="AE159" s="512">
        <f t="shared" si="60"/>
        <v>0</v>
      </c>
      <c r="AF159" s="512">
        <f t="shared" si="60"/>
        <v>0</v>
      </c>
      <c r="AG159" s="512">
        <f t="shared" si="60"/>
        <v>0</v>
      </c>
      <c r="AH159" s="512">
        <f t="shared" si="60"/>
        <v>0</v>
      </c>
      <c r="AI159" s="512">
        <f t="shared" si="60"/>
        <v>0</v>
      </c>
      <c r="AJ159" s="512">
        <f t="shared" si="60"/>
        <v>0</v>
      </c>
      <c r="AK159" s="512">
        <f t="shared" si="60"/>
        <v>0</v>
      </c>
      <c r="AL159" s="512">
        <f t="shared" si="60"/>
        <v>0</v>
      </c>
      <c r="AM159" s="512">
        <f t="shared" si="60"/>
        <v>0</v>
      </c>
      <c r="AN159" s="512">
        <f t="shared" si="60"/>
        <v>0</v>
      </c>
      <c r="AO159" s="512">
        <f t="shared" si="60"/>
        <v>0</v>
      </c>
      <c r="AP159" s="512">
        <f t="shared" si="60"/>
        <v>0</v>
      </c>
      <c r="AQ159" s="512">
        <f t="shared" si="60"/>
        <v>0</v>
      </c>
      <c r="AR159" s="512">
        <f t="shared" si="60"/>
        <v>0</v>
      </c>
      <c r="AS159" s="512">
        <f t="shared" si="60"/>
        <v>0</v>
      </c>
      <c r="AT159" s="512">
        <f t="shared" si="60"/>
        <v>0</v>
      </c>
      <c r="AU159" s="512">
        <f t="shared" si="60"/>
        <v>0</v>
      </c>
      <c r="AV159" s="512">
        <f t="shared" si="60"/>
        <v>0</v>
      </c>
      <c r="AW159" s="512">
        <f t="shared" si="60"/>
        <v>0</v>
      </c>
      <c r="AX159" s="512">
        <f t="shared" si="60"/>
        <v>0</v>
      </c>
      <c r="AY159" s="512">
        <f t="shared" si="60"/>
        <v>0</v>
      </c>
      <c r="AZ159" s="512">
        <f t="shared" si="60"/>
        <v>0</v>
      </c>
      <c r="BA159" s="512">
        <f t="shared" si="60"/>
        <v>0</v>
      </c>
      <c r="BB159" s="512">
        <f t="shared" si="60"/>
        <v>0</v>
      </c>
      <c r="BC159" s="512">
        <f t="shared" si="60"/>
        <v>0</v>
      </c>
      <c r="BD159" s="512">
        <f t="shared" si="60"/>
        <v>0</v>
      </c>
      <c r="BE159" s="512">
        <f t="shared" si="60"/>
        <v>0</v>
      </c>
      <c r="BF159" s="512">
        <f t="shared" si="60"/>
        <v>0</v>
      </c>
      <c r="BG159" s="512">
        <f t="shared" si="60"/>
        <v>0</v>
      </c>
      <c r="BH159" s="512">
        <f t="shared" si="60"/>
        <v>0</v>
      </c>
      <c r="BI159" s="512">
        <f t="shared" si="60"/>
        <v>0</v>
      </c>
      <c r="BJ159" s="512">
        <f t="shared" si="60"/>
        <v>0</v>
      </c>
      <c r="BK159" s="512">
        <f t="shared" si="60"/>
        <v>0</v>
      </c>
      <c r="BL159" s="512">
        <f t="shared" si="60"/>
        <v>0</v>
      </c>
      <c r="BM159" s="512">
        <f t="shared" si="60"/>
        <v>0</v>
      </c>
      <c r="BN159" s="512">
        <f t="shared" si="60"/>
        <v>0</v>
      </c>
      <c r="BO159" s="512">
        <f t="shared" si="60"/>
        <v>0</v>
      </c>
      <c r="BP159" s="512">
        <f t="shared" si="60"/>
        <v>0</v>
      </c>
      <c r="BQ159" s="512">
        <f t="shared" si="60"/>
        <v>0</v>
      </c>
      <c r="BR159" s="512">
        <f t="shared" si="60"/>
        <v>0</v>
      </c>
      <c r="BS159" s="512">
        <f t="shared" si="60"/>
        <v>0</v>
      </c>
      <c r="BT159" s="512">
        <f t="shared" si="60"/>
        <v>0</v>
      </c>
      <c r="BU159" s="512">
        <f t="shared" si="60"/>
        <v>0</v>
      </c>
      <c r="BV159" s="512">
        <f t="shared" si="60"/>
        <v>0</v>
      </c>
      <c r="BW159" s="512">
        <f t="shared" si="60"/>
        <v>0</v>
      </c>
      <c r="BX159" s="512">
        <f t="shared" si="60"/>
        <v>0</v>
      </c>
    </row>
    <row r="160" spans="3:76">
      <c r="C160" s="335" t="s">
        <v>358</v>
      </c>
      <c r="D160" s="516"/>
      <c r="E160" s="511"/>
      <c r="F160" s="511"/>
      <c r="G160" s="511"/>
      <c r="H160" s="511"/>
      <c r="I160" s="511"/>
      <c r="J160" s="511"/>
      <c r="K160" s="511"/>
      <c r="L160" s="511"/>
      <c r="M160" s="511"/>
      <c r="N160" s="511"/>
      <c r="O160" s="511"/>
      <c r="P160" s="511"/>
      <c r="Q160" s="511"/>
      <c r="R160" s="511"/>
      <c r="S160" s="511"/>
      <c r="T160" s="511"/>
      <c r="U160" s="511"/>
      <c r="V160" s="511"/>
      <c r="W160" s="511"/>
      <c r="X160" s="511"/>
      <c r="Y160" s="511"/>
      <c r="Z160" s="511"/>
      <c r="AA160" s="511"/>
      <c r="AB160" s="511"/>
      <c r="AC160" s="511"/>
      <c r="AD160" s="511"/>
      <c r="AE160" s="511"/>
      <c r="AF160" s="511"/>
      <c r="AG160" s="511"/>
      <c r="AH160" s="511"/>
      <c r="AI160" s="511"/>
      <c r="AJ160" s="511"/>
      <c r="AK160" s="511"/>
      <c r="AL160" s="511"/>
      <c r="AM160" s="511"/>
      <c r="AN160" s="511"/>
      <c r="AO160" s="511"/>
      <c r="AP160" s="511"/>
      <c r="AQ160" s="511"/>
      <c r="AR160" s="511"/>
      <c r="AS160" s="511"/>
      <c r="AT160" s="511"/>
      <c r="AU160" s="511"/>
      <c r="AV160" s="511"/>
      <c r="AW160" s="511"/>
      <c r="AX160" s="511"/>
      <c r="AY160" s="511"/>
      <c r="AZ160" s="511"/>
      <c r="BA160" s="511"/>
      <c r="BB160" s="511"/>
      <c r="BC160" s="512"/>
      <c r="BD160" s="511"/>
      <c r="BE160" s="511"/>
      <c r="BF160" s="511"/>
      <c r="BG160" s="511"/>
      <c r="BH160" s="511"/>
      <c r="BI160" s="511"/>
      <c r="BJ160" s="511"/>
      <c r="BK160" s="511"/>
      <c r="BL160" s="511"/>
      <c r="BM160" s="511"/>
      <c r="BN160" s="511"/>
      <c r="BO160" s="511"/>
      <c r="BP160" s="511"/>
      <c r="BQ160" s="511"/>
      <c r="BR160" s="511"/>
      <c r="BS160" s="511"/>
      <c r="BT160" s="511"/>
      <c r="BU160" s="511"/>
      <c r="BV160" s="511"/>
      <c r="BW160" s="511"/>
      <c r="BX160" s="511"/>
    </row>
    <row r="161" spans="3:76">
      <c r="C161" s="335" t="s">
        <v>348</v>
      </c>
      <c r="D161" s="516"/>
      <c r="E161" s="511">
        <f t="shared" ref="E161:BX161" si="61">-E58</f>
        <v>0</v>
      </c>
      <c r="F161" s="511">
        <f t="shared" si="61"/>
        <v>0</v>
      </c>
      <c r="G161" s="511">
        <f t="shared" si="61"/>
        <v>0</v>
      </c>
      <c r="H161" s="511">
        <f t="shared" si="61"/>
        <v>0</v>
      </c>
      <c r="I161" s="511">
        <f t="shared" si="61"/>
        <v>0</v>
      </c>
      <c r="J161" s="511">
        <f t="shared" si="61"/>
        <v>0</v>
      </c>
      <c r="K161" s="511">
        <f t="shared" si="61"/>
        <v>0</v>
      </c>
      <c r="L161" s="511">
        <f t="shared" si="61"/>
        <v>0</v>
      </c>
      <c r="M161" s="511">
        <f t="shared" si="61"/>
        <v>0</v>
      </c>
      <c r="N161" s="511">
        <f t="shared" si="61"/>
        <v>0</v>
      </c>
      <c r="O161" s="511">
        <f t="shared" si="61"/>
        <v>0</v>
      </c>
      <c r="P161" s="511">
        <f t="shared" si="61"/>
        <v>0</v>
      </c>
      <c r="Q161" s="511">
        <f t="shared" si="61"/>
        <v>0</v>
      </c>
      <c r="R161" s="511">
        <f t="shared" si="61"/>
        <v>0</v>
      </c>
      <c r="S161" s="511">
        <f t="shared" si="61"/>
        <v>0</v>
      </c>
      <c r="T161" s="511">
        <f t="shared" si="61"/>
        <v>0</v>
      </c>
      <c r="U161" s="511">
        <f t="shared" si="61"/>
        <v>0</v>
      </c>
      <c r="V161" s="511">
        <f t="shared" si="61"/>
        <v>0</v>
      </c>
      <c r="W161" s="511">
        <f t="shared" si="61"/>
        <v>0</v>
      </c>
      <c r="X161" s="511">
        <f t="shared" si="61"/>
        <v>0</v>
      </c>
      <c r="Y161" s="511">
        <f t="shared" si="61"/>
        <v>0</v>
      </c>
      <c r="Z161" s="511">
        <f t="shared" si="61"/>
        <v>0</v>
      </c>
      <c r="AA161" s="511">
        <f t="shared" si="61"/>
        <v>0</v>
      </c>
      <c r="AB161" s="511">
        <f t="shared" si="61"/>
        <v>0</v>
      </c>
      <c r="AC161" s="511">
        <f t="shared" si="61"/>
        <v>0</v>
      </c>
      <c r="AD161" s="511">
        <f t="shared" si="61"/>
        <v>0</v>
      </c>
      <c r="AE161" s="511">
        <f t="shared" si="61"/>
        <v>0</v>
      </c>
      <c r="AF161" s="511">
        <f t="shared" si="61"/>
        <v>0</v>
      </c>
      <c r="AG161" s="511">
        <f t="shared" si="61"/>
        <v>0</v>
      </c>
      <c r="AH161" s="511">
        <f t="shared" si="61"/>
        <v>0</v>
      </c>
      <c r="AI161" s="511">
        <f t="shared" si="61"/>
        <v>0</v>
      </c>
      <c r="AJ161" s="511">
        <f t="shared" si="61"/>
        <v>0</v>
      </c>
      <c r="AK161" s="511">
        <f t="shared" si="61"/>
        <v>0</v>
      </c>
      <c r="AL161" s="511">
        <f t="shared" si="61"/>
        <v>0</v>
      </c>
      <c r="AM161" s="511">
        <f t="shared" si="61"/>
        <v>0</v>
      </c>
      <c r="AN161" s="511">
        <f t="shared" si="61"/>
        <v>0</v>
      </c>
      <c r="AO161" s="511">
        <f t="shared" si="61"/>
        <v>0</v>
      </c>
      <c r="AP161" s="511">
        <f t="shared" si="61"/>
        <v>0</v>
      </c>
      <c r="AQ161" s="511">
        <f t="shared" si="61"/>
        <v>0</v>
      </c>
      <c r="AR161" s="511">
        <f t="shared" si="61"/>
        <v>0</v>
      </c>
      <c r="AS161" s="511">
        <f t="shared" si="61"/>
        <v>0</v>
      </c>
      <c r="AT161" s="511">
        <f t="shared" si="61"/>
        <v>0</v>
      </c>
      <c r="AU161" s="511">
        <f t="shared" si="61"/>
        <v>0</v>
      </c>
      <c r="AV161" s="511">
        <f t="shared" si="61"/>
        <v>0</v>
      </c>
      <c r="AW161" s="511">
        <f t="shared" si="61"/>
        <v>0</v>
      </c>
      <c r="AX161" s="511">
        <f t="shared" si="61"/>
        <v>0</v>
      </c>
      <c r="AY161" s="511">
        <f t="shared" si="61"/>
        <v>0</v>
      </c>
      <c r="AZ161" s="511">
        <f t="shared" si="61"/>
        <v>0</v>
      </c>
      <c r="BA161" s="511">
        <f t="shared" si="61"/>
        <v>0</v>
      </c>
      <c r="BB161" s="511">
        <f t="shared" si="61"/>
        <v>0</v>
      </c>
      <c r="BC161" s="511">
        <f t="shared" si="61"/>
        <v>0</v>
      </c>
      <c r="BD161" s="511">
        <f t="shared" si="61"/>
        <v>0</v>
      </c>
      <c r="BE161" s="511">
        <f t="shared" si="61"/>
        <v>0</v>
      </c>
      <c r="BF161" s="511">
        <f t="shared" si="61"/>
        <v>0</v>
      </c>
      <c r="BG161" s="511">
        <f t="shared" si="61"/>
        <v>0</v>
      </c>
      <c r="BH161" s="511">
        <f t="shared" si="61"/>
        <v>0</v>
      </c>
      <c r="BI161" s="511">
        <f t="shared" si="61"/>
        <v>0</v>
      </c>
      <c r="BJ161" s="511">
        <f t="shared" si="61"/>
        <v>0</v>
      </c>
      <c r="BK161" s="511">
        <f t="shared" si="61"/>
        <v>0</v>
      </c>
      <c r="BL161" s="511">
        <f t="shared" si="61"/>
        <v>0</v>
      </c>
      <c r="BM161" s="511">
        <f t="shared" si="61"/>
        <v>0</v>
      </c>
      <c r="BN161" s="511">
        <f t="shared" si="61"/>
        <v>0</v>
      </c>
      <c r="BO161" s="511">
        <f t="shared" si="61"/>
        <v>0</v>
      </c>
      <c r="BP161" s="511">
        <f t="shared" si="61"/>
        <v>0</v>
      </c>
      <c r="BQ161" s="511">
        <f t="shared" si="61"/>
        <v>0</v>
      </c>
      <c r="BR161" s="511">
        <f t="shared" si="61"/>
        <v>0</v>
      </c>
      <c r="BS161" s="511">
        <f t="shared" si="61"/>
        <v>0</v>
      </c>
      <c r="BT161" s="511">
        <f t="shared" si="61"/>
        <v>0</v>
      </c>
      <c r="BU161" s="511">
        <f t="shared" si="61"/>
        <v>0</v>
      </c>
      <c r="BV161" s="511">
        <f t="shared" si="61"/>
        <v>0</v>
      </c>
      <c r="BW161" s="511">
        <f t="shared" si="61"/>
        <v>0</v>
      </c>
      <c r="BX161" s="511">
        <f t="shared" si="61"/>
        <v>0</v>
      </c>
    </row>
    <row r="162" spans="3:76">
      <c r="C162" s="335" t="s">
        <v>349</v>
      </c>
      <c r="D162" s="516"/>
      <c r="E162" s="511"/>
      <c r="F162" s="511"/>
      <c r="G162" s="511"/>
      <c r="H162" s="511"/>
      <c r="I162" s="511"/>
      <c r="J162" s="511"/>
      <c r="K162" s="511"/>
      <c r="L162" s="511"/>
      <c r="M162" s="511"/>
      <c r="N162" s="511"/>
      <c r="O162" s="511"/>
      <c r="P162" s="511"/>
      <c r="Q162" s="511"/>
      <c r="R162" s="511"/>
      <c r="S162" s="511"/>
      <c r="T162" s="511"/>
      <c r="U162" s="511"/>
      <c r="V162" s="511"/>
      <c r="W162" s="511"/>
      <c r="X162" s="511"/>
      <c r="Y162" s="511"/>
      <c r="Z162" s="511"/>
      <c r="AA162" s="511"/>
      <c r="AB162" s="511"/>
      <c r="AC162" s="511"/>
      <c r="AD162" s="511"/>
      <c r="AE162" s="511"/>
      <c r="AF162" s="511"/>
      <c r="AG162" s="511"/>
      <c r="AH162" s="511"/>
      <c r="AI162" s="511"/>
      <c r="AJ162" s="511"/>
      <c r="AK162" s="511"/>
      <c r="AL162" s="511"/>
      <c r="AM162" s="511"/>
      <c r="AN162" s="511"/>
      <c r="AO162" s="511"/>
      <c r="AP162" s="511"/>
      <c r="AQ162" s="511"/>
      <c r="AR162" s="511"/>
      <c r="AS162" s="511"/>
      <c r="AT162" s="511"/>
      <c r="AU162" s="511"/>
      <c r="AV162" s="511"/>
      <c r="AW162" s="511"/>
      <c r="AX162" s="511"/>
      <c r="AY162" s="511"/>
      <c r="AZ162" s="511"/>
      <c r="BA162" s="511"/>
      <c r="BB162" s="511"/>
      <c r="BC162" s="512"/>
      <c r="BD162" s="511"/>
      <c r="BE162" s="511"/>
      <c r="BF162" s="511"/>
      <c r="BG162" s="511"/>
      <c r="BH162" s="511"/>
      <c r="BI162" s="511"/>
      <c r="BJ162" s="511"/>
      <c r="BK162" s="511"/>
      <c r="BL162" s="511"/>
      <c r="BM162" s="511"/>
      <c r="BN162" s="511"/>
      <c r="BO162" s="511"/>
      <c r="BP162" s="511"/>
      <c r="BQ162" s="511"/>
      <c r="BR162" s="511"/>
      <c r="BS162" s="511"/>
      <c r="BT162" s="511"/>
      <c r="BU162" s="511"/>
      <c r="BV162" s="511"/>
      <c r="BW162" s="511"/>
      <c r="BX162" s="511" t="e">
        <f>IF(D104&gt;0.25,(BX99-BX107)*D163,BX99*D163)</f>
        <v>#VALUE!</v>
      </c>
    </row>
    <row r="163" spans="3:76">
      <c r="C163" s="513" t="s">
        <v>350</v>
      </c>
      <c r="D163" s="516">
        <v>0</v>
      </c>
      <c r="E163" s="511"/>
      <c r="F163" s="511"/>
      <c r="G163" s="511"/>
      <c r="H163" s="511"/>
      <c r="I163" s="511"/>
      <c r="J163" s="511"/>
      <c r="K163" s="511"/>
      <c r="L163" s="511"/>
      <c r="M163" s="511"/>
      <c r="N163" s="511"/>
      <c r="O163" s="511"/>
      <c r="P163" s="511"/>
      <c r="Q163" s="511"/>
      <c r="R163" s="511"/>
      <c r="S163" s="511"/>
      <c r="T163" s="511"/>
      <c r="U163" s="511"/>
      <c r="V163" s="511"/>
      <c r="W163" s="511"/>
      <c r="X163" s="511"/>
      <c r="Y163" s="511"/>
      <c r="Z163" s="511"/>
      <c r="AA163" s="511"/>
      <c r="AB163" s="511"/>
      <c r="AC163" s="511"/>
      <c r="AD163" s="511"/>
      <c r="AE163" s="511"/>
      <c r="AF163" s="511"/>
      <c r="AG163" s="511"/>
      <c r="AH163" s="511"/>
      <c r="AI163" s="511"/>
      <c r="AJ163" s="511"/>
      <c r="AK163" s="511"/>
      <c r="AL163" s="511"/>
      <c r="AM163" s="511"/>
      <c r="AN163" s="511"/>
      <c r="AO163" s="511"/>
      <c r="AP163" s="511"/>
      <c r="AQ163" s="511"/>
      <c r="AR163" s="511"/>
      <c r="AS163" s="511"/>
      <c r="AT163" s="511"/>
      <c r="AU163" s="511"/>
      <c r="AV163" s="511"/>
      <c r="AW163" s="511"/>
      <c r="AX163" s="511"/>
      <c r="AY163" s="511"/>
      <c r="AZ163" s="511"/>
      <c r="BA163" s="511"/>
      <c r="BB163" s="511"/>
      <c r="BC163" s="512"/>
      <c r="BD163" s="511"/>
      <c r="BE163" s="511"/>
      <c r="BF163" s="511"/>
      <c r="BG163" s="511"/>
      <c r="BH163" s="511"/>
      <c r="BI163" s="511"/>
      <c r="BJ163" s="511"/>
      <c r="BK163" s="511"/>
      <c r="BL163" s="511"/>
      <c r="BM163" s="511"/>
      <c r="BN163" s="511"/>
      <c r="BO163" s="511"/>
      <c r="BP163" s="511"/>
      <c r="BQ163" s="511"/>
      <c r="BR163" s="511"/>
      <c r="BS163" s="511"/>
      <c r="BT163" s="511"/>
      <c r="BU163" s="511"/>
      <c r="BV163" s="511"/>
      <c r="BW163" s="511"/>
      <c r="BX163" s="511"/>
    </row>
    <row r="164" spans="3:76">
      <c r="C164" s="335" t="s">
        <v>351</v>
      </c>
      <c r="D164" s="511"/>
      <c r="E164" s="517">
        <f t="shared" ref="E164:BX164" si="62">E159+E160+E161+E162+E163</f>
        <v>0</v>
      </c>
      <c r="F164" s="517">
        <f t="shared" si="62"/>
        <v>0</v>
      </c>
      <c r="G164" s="517">
        <f t="shared" si="62"/>
        <v>0</v>
      </c>
      <c r="H164" s="517">
        <f t="shared" si="62"/>
        <v>0</v>
      </c>
      <c r="I164" s="517">
        <f t="shared" si="62"/>
        <v>0</v>
      </c>
      <c r="J164" s="517">
        <f t="shared" si="62"/>
        <v>0</v>
      </c>
      <c r="K164" s="517">
        <f t="shared" si="62"/>
        <v>0</v>
      </c>
      <c r="L164" s="517">
        <f t="shared" si="62"/>
        <v>0</v>
      </c>
      <c r="M164" s="517">
        <f t="shared" si="62"/>
        <v>0</v>
      </c>
      <c r="N164" s="517">
        <f t="shared" si="62"/>
        <v>0</v>
      </c>
      <c r="O164" s="517">
        <f t="shared" si="62"/>
        <v>0</v>
      </c>
      <c r="P164" s="517">
        <f t="shared" si="62"/>
        <v>0</v>
      </c>
      <c r="Q164" s="517">
        <f t="shared" si="62"/>
        <v>0</v>
      </c>
      <c r="R164" s="517">
        <f t="shared" si="62"/>
        <v>0</v>
      </c>
      <c r="S164" s="517">
        <f t="shared" si="62"/>
        <v>0</v>
      </c>
      <c r="T164" s="517">
        <f t="shared" si="62"/>
        <v>0</v>
      </c>
      <c r="U164" s="517">
        <f t="shared" si="62"/>
        <v>0</v>
      </c>
      <c r="V164" s="517">
        <f t="shared" si="62"/>
        <v>0</v>
      </c>
      <c r="W164" s="517">
        <f t="shared" si="62"/>
        <v>0</v>
      </c>
      <c r="X164" s="517">
        <f t="shared" si="62"/>
        <v>0</v>
      </c>
      <c r="Y164" s="517">
        <f t="shared" si="62"/>
        <v>0</v>
      </c>
      <c r="Z164" s="517">
        <f t="shared" si="62"/>
        <v>0</v>
      </c>
      <c r="AA164" s="517">
        <f t="shared" si="62"/>
        <v>0</v>
      </c>
      <c r="AB164" s="517">
        <f t="shared" si="62"/>
        <v>0</v>
      </c>
      <c r="AC164" s="517">
        <f t="shared" si="62"/>
        <v>0</v>
      </c>
      <c r="AD164" s="517">
        <f t="shared" si="62"/>
        <v>0</v>
      </c>
      <c r="AE164" s="517">
        <f t="shared" si="62"/>
        <v>0</v>
      </c>
      <c r="AF164" s="517">
        <f t="shared" si="62"/>
        <v>0</v>
      </c>
      <c r="AG164" s="517">
        <f t="shared" si="62"/>
        <v>0</v>
      </c>
      <c r="AH164" s="517">
        <f t="shared" si="62"/>
        <v>0</v>
      </c>
      <c r="AI164" s="517">
        <f t="shared" si="62"/>
        <v>0</v>
      </c>
      <c r="AJ164" s="517">
        <f t="shared" si="62"/>
        <v>0</v>
      </c>
      <c r="AK164" s="517">
        <f t="shared" si="62"/>
        <v>0</v>
      </c>
      <c r="AL164" s="517">
        <f t="shared" si="62"/>
        <v>0</v>
      </c>
      <c r="AM164" s="517">
        <f t="shared" si="62"/>
        <v>0</v>
      </c>
      <c r="AN164" s="517">
        <f t="shared" si="62"/>
        <v>0</v>
      </c>
      <c r="AO164" s="517">
        <f t="shared" si="62"/>
        <v>0</v>
      </c>
      <c r="AP164" s="517">
        <f t="shared" si="62"/>
        <v>0</v>
      </c>
      <c r="AQ164" s="517">
        <f t="shared" si="62"/>
        <v>0</v>
      </c>
      <c r="AR164" s="517">
        <f t="shared" si="62"/>
        <v>0</v>
      </c>
      <c r="AS164" s="517">
        <f t="shared" si="62"/>
        <v>0</v>
      </c>
      <c r="AT164" s="517">
        <f t="shared" si="62"/>
        <v>0</v>
      </c>
      <c r="AU164" s="517">
        <f t="shared" si="62"/>
        <v>0</v>
      </c>
      <c r="AV164" s="517">
        <f t="shared" si="62"/>
        <v>0</v>
      </c>
      <c r="AW164" s="517">
        <f t="shared" si="62"/>
        <v>0</v>
      </c>
      <c r="AX164" s="517">
        <f t="shared" si="62"/>
        <v>0</v>
      </c>
      <c r="AY164" s="517">
        <f t="shared" si="62"/>
        <v>0</v>
      </c>
      <c r="AZ164" s="517">
        <f t="shared" si="62"/>
        <v>0</v>
      </c>
      <c r="BA164" s="517">
        <f t="shared" si="62"/>
        <v>0</v>
      </c>
      <c r="BB164" s="517">
        <f t="shared" si="62"/>
        <v>0</v>
      </c>
      <c r="BC164" s="517">
        <f t="shared" si="62"/>
        <v>0</v>
      </c>
      <c r="BD164" s="517">
        <f t="shared" si="62"/>
        <v>0</v>
      </c>
      <c r="BE164" s="517">
        <f t="shared" si="62"/>
        <v>0</v>
      </c>
      <c r="BF164" s="517">
        <f t="shared" si="62"/>
        <v>0</v>
      </c>
      <c r="BG164" s="517">
        <f t="shared" si="62"/>
        <v>0</v>
      </c>
      <c r="BH164" s="517">
        <f t="shared" si="62"/>
        <v>0</v>
      </c>
      <c r="BI164" s="517">
        <f t="shared" si="62"/>
        <v>0</v>
      </c>
      <c r="BJ164" s="517">
        <f t="shared" si="62"/>
        <v>0</v>
      </c>
      <c r="BK164" s="517">
        <f t="shared" si="62"/>
        <v>0</v>
      </c>
      <c r="BL164" s="517">
        <f t="shared" si="62"/>
        <v>0</v>
      </c>
      <c r="BM164" s="517">
        <f t="shared" si="62"/>
        <v>0</v>
      </c>
      <c r="BN164" s="517">
        <f t="shared" si="62"/>
        <v>0</v>
      </c>
      <c r="BO164" s="517">
        <f t="shared" si="62"/>
        <v>0</v>
      </c>
      <c r="BP164" s="517">
        <f t="shared" si="62"/>
        <v>0</v>
      </c>
      <c r="BQ164" s="517">
        <f t="shared" si="62"/>
        <v>0</v>
      </c>
      <c r="BR164" s="517">
        <f t="shared" si="62"/>
        <v>0</v>
      </c>
      <c r="BS164" s="517">
        <f t="shared" si="62"/>
        <v>0</v>
      </c>
      <c r="BT164" s="517">
        <f t="shared" si="62"/>
        <v>0</v>
      </c>
      <c r="BU164" s="517">
        <f t="shared" si="62"/>
        <v>0</v>
      </c>
      <c r="BV164" s="517">
        <f t="shared" si="62"/>
        <v>0</v>
      </c>
      <c r="BW164" s="517">
        <f t="shared" si="62"/>
        <v>0</v>
      </c>
      <c r="BX164" s="517" t="e">
        <f t="shared" si="62"/>
        <v>#VALUE!</v>
      </c>
    </row>
    <row r="165" spans="3:76">
      <c r="C165" s="336"/>
      <c r="D165" s="518" t="s">
        <v>359</v>
      </c>
      <c r="E165" s="522">
        <f>E164</f>
        <v>0</v>
      </c>
      <c r="F165" s="522">
        <f t="shared" ref="F165:BX165" si="63">E165+F164</f>
        <v>0</v>
      </c>
      <c r="G165" s="522">
        <f t="shared" si="63"/>
        <v>0</v>
      </c>
      <c r="H165" s="522">
        <f t="shared" si="63"/>
        <v>0</v>
      </c>
      <c r="I165" s="522">
        <f t="shared" si="63"/>
        <v>0</v>
      </c>
      <c r="J165" s="522">
        <f t="shared" si="63"/>
        <v>0</v>
      </c>
      <c r="K165" s="522">
        <f t="shared" si="63"/>
        <v>0</v>
      </c>
      <c r="L165" s="522">
        <f t="shared" si="63"/>
        <v>0</v>
      </c>
      <c r="M165" s="522">
        <f t="shared" si="63"/>
        <v>0</v>
      </c>
      <c r="N165" s="522">
        <f t="shared" si="63"/>
        <v>0</v>
      </c>
      <c r="O165" s="522">
        <f t="shared" si="63"/>
        <v>0</v>
      </c>
      <c r="P165" s="522">
        <f t="shared" si="63"/>
        <v>0</v>
      </c>
      <c r="Q165" s="522">
        <f t="shared" si="63"/>
        <v>0</v>
      </c>
      <c r="R165" s="522">
        <f t="shared" si="63"/>
        <v>0</v>
      </c>
      <c r="S165" s="522">
        <f t="shared" si="63"/>
        <v>0</v>
      </c>
      <c r="T165" s="522">
        <f t="shared" si="63"/>
        <v>0</v>
      </c>
      <c r="U165" s="522">
        <f t="shared" si="63"/>
        <v>0</v>
      </c>
      <c r="V165" s="523">
        <f t="shared" si="63"/>
        <v>0</v>
      </c>
      <c r="W165" s="523">
        <f t="shared" si="63"/>
        <v>0</v>
      </c>
      <c r="X165" s="523">
        <f t="shared" si="63"/>
        <v>0</v>
      </c>
      <c r="Y165" s="523">
        <f t="shared" si="63"/>
        <v>0</v>
      </c>
      <c r="Z165" s="523">
        <f t="shared" si="63"/>
        <v>0</v>
      </c>
      <c r="AA165" s="523">
        <f t="shared" si="63"/>
        <v>0</v>
      </c>
      <c r="AB165" s="523">
        <f t="shared" si="63"/>
        <v>0</v>
      </c>
      <c r="AC165" s="523">
        <f t="shared" si="63"/>
        <v>0</v>
      </c>
      <c r="AD165" s="523">
        <f t="shared" si="63"/>
        <v>0</v>
      </c>
      <c r="AE165" s="523">
        <f t="shared" si="63"/>
        <v>0</v>
      </c>
      <c r="AF165" s="523">
        <f t="shared" si="63"/>
        <v>0</v>
      </c>
      <c r="AG165" s="523">
        <f t="shared" si="63"/>
        <v>0</v>
      </c>
      <c r="AH165" s="523">
        <f t="shared" si="63"/>
        <v>0</v>
      </c>
      <c r="AI165" s="523">
        <f t="shared" si="63"/>
        <v>0</v>
      </c>
      <c r="AJ165" s="523">
        <f t="shared" si="63"/>
        <v>0</v>
      </c>
      <c r="AK165" s="523">
        <f t="shared" si="63"/>
        <v>0</v>
      </c>
      <c r="AL165" s="523">
        <f t="shared" si="63"/>
        <v>0</v>
      </c>
      <c r="AM165" s="523">
        <f t="shared" si="63"/>
        <v>0</v>
      </c>
      <c r="AN165" s="523">
        <f t="shared" si="63"/>
        <v>0</v>
      </c>
      <c r="AO165" s="523">
        <f t="shared" si="63"/>
        <v>0</v>
      </c>
      <c r="AP165" s="523">
        <f t="shared" si="63"/>
        <v>0</v>
      </c>
      <c r="AQ165" s="523">
        <f t="shared" si="63"/>
        <v>0</v>
      </c>
      <c r="AR165" s="523">
        <f t="shared" si="63"/>
        <v>0</v>
      </c>
      <c r="AS165" s="523">
        <f t="shared" si="63"/>
        <v>0</v>
      </c>
      <c r="AT165" s="523">
        <f t="shared" si="63"/>
        <v>0</v>
      </c>
      <c r="AU165" s="523">
        <f t="shared" si="63"/>
        <v>0</v>
      </c>
      <c r="AV165" s="523">
        <f t="shared" si="63"/>
        <v>0</v>
      </c>
      <c r="AW165" s="523">
        <f t="shared" si="63"/>
        <v>0</v>
      </c>
      <c r="AX165" s="523">
        <f t="shared" si="63"/>
        <v>0</v>
      </c>
      <c r="AY165" s="523">
        <f t="shared" si="63"/>
        <v>0</v>
      </c>
      <c r="AZ165" s="523">
        <f t="shared" si="63"/>
        <v>0</v>
      </c>
      <c r="BA165" s="523">
        <f t="shared" si="63"/>
        <v>0</v>
      </c>
      <c r="BB165" s="523">
        <f t="shared" si="63"/>
        <v>0</v>
      </c>
      <c r="BC165" s="522">
        <f t="shared" si="63"/>
        <v>0</v>
      </c>
      <c r="BD165" s="522">
        <f t="shared" si="63"/>
        <v>0</v>
      </c>
      <c r="BE165" s="522">
        <f t="shared" si="63"/>
        <v>0</v>
      </c>
      <c r="BF165" s="522">
        <f t="shared" si="63"/>
        <v>0</v>
      </c>
      <c r="BG165" s="522">
        <f t="shared" si="63"/>
        <v>0</v>
      </c>
      <c r="BH165" s="522">
        <f t="shared" si="63"/>
        <v>0</v>
      </c>
      <c r="BI165" s="522">
        <f t="shared" si="63"/>
        <v>0</v>
      </c>
      <c r="BJ165" s="522">
        <f t="shared" si="63"/>
        <v>0</v>
      </c>
      <c r="BK165" s="522">
        <f t="shared" si="63"/>
        <v>0</v>
      </c>
      <c r="BL165" s="522">
        <f t="shared" si="63"/>
        <v>0</v>
      </c>
      <c r="BM165" s="522">
        <f t="shared" si="63"/>
        <v>0</v>
      </c>
      <c r="BN165" s="522">
        <f t="shared" si="63"/>
        <v>0</v>
      </c>
      <c r="BO165" s="522">
        <f t="shared" si="63"/>
        <v>0</v>
      </c>
      <c r="BP165" s="522">
        <f t="shared" si="63"/>
        <v>0</v>
      </c>
      <c r="BQ165" s="522">
        <f t="shared" si="63"/>
        <v>0</v>
      </c>
      <c r="BR165" s="522">
        <f t="shared" si="63"/>
        <v>0</v>
      </c>
      <c r="BS165" s="522">
        <f t="shared" si="63"/>
        <v>0</v>
      </c>
      <c r="BT165" s="522">
        <f t="shared" si="63"/>
        <v>0</v>
      </c>
      <c r="BU165" s="522">
        <f t="shared" si="63"/>
        <v>0</v>
      </c>
      <c r="BV165" s="522">
        <f t="shared" si="63"/>
        <v>0</v>
      </c>
      <c r="BW165" s="522">
        <f t="shared" si="63"/>
        <v>0</v>
      </c>
      <c r="BX165" s="522" t="e">
        <f t="shared" si="63"/>
        <v>#VALUE!</v>
      </c>
    </row>
    <row r="166" spans="3:76">
      <c r="C166" s="513" t="s">
        <v>352</v>
      </c>
      <c r="D166" s="518" t="e">
        <f>IRR(E164:BX164)*12</f>
        <v>#VALUE!</v>
      </c>
      <c r="E166" s="265"/>
      <c r="F166" s="265"/>
      <c r="G166" s="265"/>
      <c r="H166" s="265"/>
      <c r="I166" s="265"/>
      <c r="J166" s="265"/>
      <c r="K166" s="265"/>
      <c r="L166" s="265"/>
      <c r="M166" s="265"/>
      <c r="N166" s="265"/>
      <c r="O166" s="265"/>
      <c r="P166" s="265"/>
      <c r="Q166" s="265"/>
      <c r="R166" s="265"/>
      <c r="S166" s="265"/>
      <c r="T166" s="265"/>
      <c r="U166" s="265"/>
      <c r="V166" s="265"/>
      <c r="W166" s="265"/>
      <c r="X166" s="265"/>
      <c r="Y166" s="265"/>
      <c r="Z166" s="265"/>
      <c r="AA166" s="265"/>
      <c r="AB166" s="265"/>
      <c r="AC166" s="265"/>
      <c r="AD166" s="265"/>
      <c r="AE166" s="265"/>
      <c r="AF166" s="265"/>
      <c r="AG166" s="265"/>
      <c r="AH166" s="265"/>
      <c r="AI166" s="265"/>
      <c r="AJ166" s="265"/>
      <c r="AK166" s="265"/>
      <c r="AL166" s="265"/>
      <c r="AM166" s="265"/>
      <c r="AN166" s="265"/>
      <c r="AO166" s="265"/>
      <c r="AP166" s="265"/>
      <c r="AQ166" s="265"/>
      <c r="AR166" s="265"/>
      <c r="AS166" s="265"/>
      <c r="AT166" s="265"/>
      <c r="AU166" s="265"/>
      <c r="AV166" s="265"/>
      <c r="AW166" s="265"/>
      <c r="AX166" s="265"/>
      <c r="AY166" s="265"/>
      <c r="AZ166" s="265"/>
      <c r="BA166" s="265"/>
      <c r="BB166" s="265"/>
      <c r="BC166" s="265"/>
      <c r="BD166" s="265"/>
      <c r="BE166" s="265"/>
      <c r="BF166" s="265"/>
      <c r="BG166" s="265"/>
      <c r="BH166" s="265"/>
      <c r="BI166" s="265"/>
      <c r="BJ166" s="265"/>
      <c r="BK166" s="265"/>
      <c r="BL166" s="265"/>
      <c r="BM166" s="265"/>
      <c r="BN166" s="265"/>
      <c r="BO166" s="265"/>
      <c r="BP166" s="265"/>
      <c r="BQ166" s="265"/>
      <c r="BR166" s="265"/>
      <c r="BS166" s="265"/>
      <c r="BT166" s="265"/>
      <c r="BU166" s="265"/>
      <c r="BV166" s="265"/>
      <c r="BW166" s="265"/>
      <c r="BX166" s="265"/>
    </row>
    <row r="167" spans="3:76">
      <c r="C167" s="519" t="s">
        <v>353</v>
      </c>
      <c r="D167" s="520">
        <f>-MIN(M165:BL165)-D168</f>
        <v>0</v>
      </c>
      <c r="E167" s="265"/>
      <c r="F167" s="265"/>
      <c r="G167" s="265"/>
      <c r="H167" s="265"/>
      <c r="I167" s="265"/>
      <c r="J167" s="265"/>
      <c r="K167" s="265"/>
      <c r="L167" s="265"/>
      <c r="M167" s="265"/>
      <c r="N167" s="265"/>
      <c r="O167" s="265"/>
      <c r="P167" s="265"/>
      <c r="Q167" s="265"/>
      <c r="R167" s="265"/>
      <c r="S167" s="265"/>
      <c r="T167" s="265"/>
      <c r="U167" s="265"/>
      <c r="V167" s="265"/>
      <c r="W167" s="265"/>
      <c r="X167" s="265"/>
      <c r="Y167" s="265"/>
      <c r="Z167" s="265"/>
      <c r="AA167" s="265"/>
      <c r="AB167" s="265"/>
      <c r="AC167" s="265"/>
      <c r="AD167" s="265"/>
      <c r="AE167" s="265"/>
      <c r="AF167" s="265"/>
      <c r="AG167" s="265"/>
      <c r="AH167" s="265"/>
      <c r="AI167" s="265"/>
      <c r="AJ167" s="265"/>
      <c r="AK167" s="265"/>
      <c r="AL167" s="265"/>
      <c r="AM167" s="265"/>
      <c r="AN167" s="265"/>
      <c r="AO167" s="265"/>
      <c r="AP167" s="265"/>
      <c r="AQ167" s="265"/>
      <c r="AR167" s="265"/>
      <c r="AS167" s="265"/>
      <c r="AT167" s="265"/>
      <c r="AU167" s="265"/>
      <c r="AV167" s="265"/>
      <c r="AW167" s="265"/>
      <c r="AX167" s="265"/>
      <c r="AY167" s="265"/>
      <c r="AZ167" s="265"/>
      <c r="BA167" s="265"/>
      <c r="BB167" s="265"/>
      <c r="BC167" s="265"/>
      <c r="BD167" s="265"/>
      <c r="BE167" s="265"/>
      <c r="BF167" s="265"/>
      <c r="BG167" s="265"/>
      <c r="BH167" s="265"/>
      <c r="BI167" s="265"/>
      <c r="BJ167" s="265"/>
      <c r="BK167" s="265"/>
      <c r="BL167" s="265"/>
      <c r="BM167" s="265"/>
      <c r="BN167" s="265"/>
      <c r="BO167" s="265"/>
      <c r="BP167" s="265"/>
      <c r="BQ167" s="265"/>
      <c r="BR167" s="265"/>
      <c r="BS167" s="265"/>
      <c r="BT167" s="265"/>
      <c r="BU167" s="265"/>
      <c r="BV167" s="265"/>
      <c r="BW167" s="265"/>
      <c r="BX167" s="265"/>
    </row>
    <row r="168" spans="3:76">
      <c r="C168" s="519" t="s">
        <v>360</v>
      </c>
      <c r="D168" s="520">
        <f>-SUM(M163:BB163)</f>
        <v>0</v>
      </c>
      <c r="E168" s="265"/>
      <c r="F168" s="265"/>
      <c r="G168" s="265"/>
      <c r="H168" s="265"/>
      <c r="I168" s="265"/>
      <c r="J168" s="265"/>
      <c r="K168" s="265"/>
      <c r="L168" s="265"/>
      <c r="M168" s="265"/>
      <c r="N168" s="265"/>
      <c r="O168" s="265"/>
      <c r="P168" s="265"/>
      <c r="Q168" s="265"/>
      <c r="R168" s="265"/>
      <c r="S168" s="265"/>
      <c r="T168" s="265"/>
      <c r="U168" s="265"/>
      <c r="V168" s="265"/>
      <c r="W168" s="265"/>
      <c r="X168" s="265"/>
      <c r="Y168" s="265"/>
      <c r="Z168" s="265"/>
      <c r="AA168" s="265"/>
      <c r="AB168" s="265"/>
      <c r="AC168" s="265"/>
      <c r="AD168" s="265"/>
      <c r="AE168" s="265"/>
      <c r="AF168" s="265"/>
      <c r="AG168" s="265"/>
      <c r="AH168" s="265"/>
      <c r="AI168" s="265"/>
      <c r="AJ168" s="265"/>
      <c r="AK168" s="265"/>
      <c r="AL168" s="265"/>
      <c r="AM168" s="265"/>
      <c r="AN168" s="265"/>
      <c r="AO168" s="265"/>
      <c r="AP168" s="265"/>
      <c r="AQ168" s="265"/>
      <c r="AR168" s="265"/>
      <c r="AS168" s="265"/>
      <c r="AT168" s="265"/>
      <c r="AU168" s="265"/>
      <c r="AV168" s="265"/>
      <c r="AW168" s="265"/>
      <c r="AX168" s="265"/>
      <c r="AY168" s="265"/>
      <c r="AZ168" s="265"/>
      <c r="BA168" s="265"/>
      <c r="BB168" s="265"/>
      <c r="BC168" s="265"/>
      <c r="BD168" s="265"/>
      <c r="BE168" s="265"/>
      <c r="BF168" s="265"/>
      <c r="BG168" s="265"/>
      <c r="BH168" s="265"/>
      <c r="BI168" s="265"/>
      <c r="BJ168" s="265"/>
      <c r="BK168" s="265"/>
      <c r="BL168" s="265"/>
      <c r="BM168" s="265"/>
      <c r="BN168" s="265"/>
      <c r="BO168" s="265"/>
      <c r="BP168" s="265"/>
      <c r="BQ168" s="265"/>
      <c r="BR168" s="265"/>
      <c r="BS168" s="265"/>
      <c r="BT168" s="265"/>
      <c r="BU168" s="265"/>
      <c r="BV168" s="265"/>
      <c r="BW168" s="265"/>
      <c r="BX168" s="265"/>
    </row>
    <row r="169" spans="3:76">
      <c r="C169" s="513" t="s">
        <v>354</v>
      </c>
      <c r="D169" s="521">
        <f>D168+D167</f>
        <v>0</v>
      </c>
      <c r="E169" s="265"/>
      <c r="F169" s="265"/>
      <c r="G169" s="265"/>
      <c r="H169" s="265"/>
      <c r="I169" s="265"/>
      <c r="J169" s="265"/>
      <c r="K169" s="265"/>
      <c r="L169" s="265"/>
      <c r="M169" s="265"/>
      <c r="N169" s="265"/>
      <c r="O169" s="265"/>
      <c r="P169" s="265"/>
      <c r="Q169" s="265"/>
      <c r="R169" s="265"/>
      <c r="S169" s="265"/>
      <c r="T169" s="265"/>
      <c r="U169" s="265"/>
      <c r="V169" s="265"/>
      <c r="W169" s="265"/>
      <c r="X169" s="265"/>
      <c r="Y169" s="265"/>
      <c r="Z169" s="265"/>
      <c r="AA169" s="265"/>
      <c r="AB169" s="265"/>
      <c r="AC169" s="265"/>
      <c r="AD169" s="265"/>
      <c r="AE169" s="265"/>
      <c r="AF169" s="265"/>
      <c r="AG169" s="265"/>
      <c r="AH169" s="265"/>
      <c r="AI169" s="265"/>
      <c r="AJ169" s="265"/>
      <c r="AK169" s="265"/>
      <c r="AL169" s="265"/>
      <c r="AM169" s="265"/>
      <c r="AN169" s="265"/>
      <c r="AO169" s="265"/>
      <c r="AP169" s="265"/>
      <c r="AQ169" s="265"/>
      <c r="AR169" s="265"/>
      <c r="AS169" s="265"/>
      <c r="AT169" s="265"/>
      <c r="AU169" s="265"/>
      <c r="AV169" s="265"/>
      <c r="AW169" s="265"/>
      <c r="AX169" s="265"/>
      <c r="AY169" s="265"/>
      <c r="AZ169" s="265"/>
      <c r="BA169" s="265"/>
      <c r="BB169" s="265"/>
      <c r="BC169" s="265"/>
      <c r="BD169" s="265"/>
      <c r="BE169" s="265"/>
      <c r="BF169" s="265"/>
      <c r="BG169" s="265"/>
      <c r="BH169" s="265"/>
      <c r="BI169" s="265"/>
      <c r="BJ169" s="265"/>
      <c r="BK169" s="265"/>
      <c r="BL169" s="265"/>
      <c r="BM169" s="265"/>
      <c r="BN169" s="265"/>
      <c r="BO169" s="265"/>
      <c r="BP169" s="265"/>
      <c r="BQ169" s="265"/>
      <c r="BR169" s="265"/>
      <c r="BS169" s="265"/>
      <c r="BT169" s="265"/>
      <c r="BU169" s="265"/>
      <c r="BV169" s="265"/>
      <c r="BW169" s="265"/>
      <c r="BX169" s="265"/>
    </row>
    <row r="170" spans="3:76">
      <c r="C170" s="513" t="s">
        <v>355</v>
      </c>
      <c r="D170" s="521" t="e">
        <f>BX161+BX162</f>
        <v>#VALUE!</v>
      </c>
      <c r="E170" s="265"/>
      <c r="F170" s="265"/>
      <c r="G170" s="265"/>
      <c r="H170" s="265"/>
      <c r="I170" s="265"/>
      <c r="J170" s="265"/>
      <c r="K170" s="265"/>
      <c r="L170" s="265"/>
      <c r="M170" s="265"/>
      <c r="N170" s="265"/>
      <c r="O170" s="265"/>
      <c r="P170" s="265"/>
      <c r="Q170" s="265"/>
      <c r="R170" s="265"/>
      <c r="S170" s="265"/>
      <c r="T170" s="265"/>
      <c r="U170" s="265"/>
      <c r="V170" s="265"/>
      <c r="W170" s="265"/>
      <c r="X170" s="265"/>
      <c r="Y170" s="265"/>
      <c r="Z170" s="265"/>
      <c r="AA170" s="265"/>
      <c r="AB170" s="265"/>
      <c r="AC170" s="265"/>
      <c r="AD170" s="265"/>
      <c r="AE170" s="265"/>
      <c r="AF170" s="265"/>
      <c r="AG170" s="265"/>
      <c r="AH170" s="265"/>
      <c r="AI170" s="265"/>
      <c r="AJ170" s="265"/>
      <c r="AK170" s="265"/>
      <c r="AL170" s="265"/>
      <c r="AM170" s="265"/>
      <c r="AN170" s="265"/>
      <c r="AO170" s="265"/>
      <c r="AP170" s="265"/>
      <c r="AQ170" s="265"/>
      <c r="AR170" s="265"/>
      <c r="AS170" s="265"/>
      <c r="AT170" s="265"/>
      <c r="AU170" s="265"/>
      <c r="AV170" s="265"/>
      <c r="AW170" s="265"/>
      <c r="AX170" s="265"/>
      <c r="AY170" s="265"/>
      <c r="AZ170" s="265"/>
      <c r="BA170" s="265"/>
      <c r="BB170" s="265"/>
      <c r="BC170" s="265"/>
      <c r="BD170" s="265"/>
      <c r="BE170" s="265"/>
      <c r="BF170" s="265"/>
      <c r="BG170" s="265"/>
      <c r="BH170" s="265"/>
      <c r="BI170" s="265"/>
      <c r="BJ170" s="265"/>
      <c r="BK170" s="265"/>
      <c r="BL170" s="265"/>
      <c r="BM170" s="265"/>
      <c r="BN170" s="265"/>
      <c r="BO170" s="265"/>
      <c r="BP170" s="265"/>
      <c r="BQ170" s="265"/>
      <c r="BR170" s="265"/>
      <c r="BS170" s="265"/>
      <c r="BT170" s="265"/>
      <c r="BU170" s="265"/>
      <c r="BV170" s="265"/>
      <c r="BW170" s="265"/>
      <c r="BX170" s="265"/>
    </row>
    <row r="171" spans="3:76">
      <c r="C171" s="513" t="s">
        <v>356</v>
      </c>
      <c r="D171" s="518" t="e">
        <f>(D170-D168)/D169</f>
        <v>#VALUE!</v>
      </c>
      <c r="E171" s="265"/>
      <c r="F171" s="265"/>
      <c r="G171" s="265"/>
      <c r="H171" s="265"/>
      <c r="I171" s="265"/>
      <c r="J171" s="265"/>
      <c r="K171" s="265"/>
      <c r="L171" s="265"/>
      <c r="M171" s="265"/>
      <c r="N171" s="265"/>
      <c r="O171" s="265"/>
      <c r="P171" s="265"/>
      <c r="Q171" s="265"/>
      <c r="R171" s="265"/>
      <c r="S171" s="265"/>
      <c r="T171" s="265"/>
      <c r="U171" s="265"/>
      <c r="V171" s="265"/>
      <c r="W171" s="265"/>
      <c r="X171" s="265"/>
      <c r="Y171" s="265"/>
      <c r="Z171" s="265"/>
      <c r="AA171" s="265"/>
      <c r="AB171" s="265"/>
      <c r="AC171" s="265"/>
      <c r="AD171" s="265"/>
      <c r="AE171" s="265"/>
      <c r="AF171" s="265"/>
      <c r="AG171" s="265"/>
      <c r="AH171" s="265"/>
      <c r="AI171" s="265"/>
      <c r="AJ171" s="265"/>
      <c r="AK171" s="265"/>
      <c r="AL171" s="265"/>
      <c r="AM171" s="265"/>
      <c r="AN171" s="265"/>
      <c r="AO171" s="265"/>
      <c r="AP171" s="265"/>
      <c r="AQ171" s="265"/>
      <c r="AR171" s="265"/>
      <c r="AS171" s="265"/>
      <c r="AT171" s="265"/>
      <c r="AU171" s="265"/>
      <c r="AV171" s="265"/>
      <c r="AW171" s="265"/>
      <c r="AX171" s="265"/>
      <c r="AY171" s="265"/>
      <c r="AZ171" s="265"/>
      <c r="BA171" s="265"/>
      <c r="BB171" s="265"/>
      <c r="BC171" s="265"/>
      <c r="BD171" s="265"/>
      <c r="BE171" s="265"/>
      <c r="BF171" s="265"/>
      <c r="BG171" s="265"/>
      <c r="BH171" s="265"/>
      <c r="BI171" s="265"/>
      <c r="BJ171" s="265"/>
      <c r="BK171" s="265"/>
      <c r="BL171" s="265"/>
      <c r="BM171" s="265"/>
      <c r="BN171" s="265"/>
      <c r="BO171" s="265"/>
      <c r="BP171" s="265"/>
      <c r="BQ171" s="265"/>
      <c r="BR171" s="265"/>
      <c r="BS171" s="265"/>
      <c r="BT171" s="265"/>
      <c r="BU171" s="265"/>
      <c r="BV171" s="265"/>
      <c r="BW171" s="265"/>
      <c r="BX171" s="265"/>
    </row>
  </sheetData>
  <mergeCells count="32">
    <mergeCell ref="BA2:BL2"/>
    <mergeCell ref="BY2:BZ4"/>
    <mergeCell ref="BZ12:BZ16"/>
    <mergeCell ref="BZ18:BZ88"/>
    <mergeCell ref="CC18:CC88"/>
    <mergeCell ref="CC5:CC8"/>
    <mergeCell ref="CC9:CC11"/>
    <mergeCell ref="CC12:CC16"/>
    <mergeCell ref="CB17:CC17"/>
    <mergeCell ref="BY89:BZ89"/>
    <mergeCell ref="BZ90:BZ96"/>
    <mergeCell ref="BY97:BZ97"/>
    <mergeCell ref="BY98:BZ98"/>
    <mergeCell ref="BZ5:BZ8"/>
    <mergeCell ref="BZ9:BZ11"/>
    <mergeCell ref="BY17:BZ17"/>
    <mergeCell ref="B98:C98"/>
    <mergeCell ref="B99:C99"/>
    <mergeCell ref="D104:E104"/>
    <mergeCell ref="D107:BW107"/>
    <mergeCell ref="B2:C4"/>
    <mergeCell ref="B5:B8"/>
    <mergeCell ref="B9:B11"/>
    <mergeCell ref="B12:B16"/>
    <mergeCell ref="B17:C17"/>
    <mergeCell ref="B18:B96"/>
    <mergeCell ref="B97:C97"/>
    <mergeCell ref="BM2:BX2"/>
    <mergeCell ref="E2:P2"/>
    <mergeCell ref="Q2:AB2"/>
    <mergeCell ref="AC2:AN2"/>
    <mergeCell ref="AO2:AZ2"/>
  </mergeCells>
  <conditionalFormatting sqref="E18:BX18 E24:BX24 E27:BX27 E35:BX35 E38:BX38 E48:BX48 E54:BX54 E62:BX62 E86:BX86 E89:BX89">
    <cfRule type="cellIs" dxfId="5" priority="1" operator="equal">
      <formula>0</formula>
    </cfRule>
  </conditionalFormatting>
  <conditionalFormatting sqref="F112:BS115 E113 BT113:BX113 E115 BT115:BX115 E126 F126:BX129 E128 E142 M142:BX142 F142:L145 E144 M144:BX144 E161:BX161">
    <cfRule type="cellIs" dxfId="4" priority="2" operator="equal">
      <formula>0</formula>
    </cfRule>
  </conditionalFormatting>
  <dataValidations count="1">
    <dataValidation type="list" allowBlank="1" showErrorMessage="1" sqref="CB4" xr:uid="{00000000-0002-0000-0700-000000000000}">
      <formula1>$D$3:$BX$3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F3AA69A854CD4AB8E018F1423272BF" ma:contentTypeVersion="13" ma:contentTypeDescription="Create a new document." ma:contentTypeScope="" ma:versionID="a3f5554c585a7cde3904181a8e22af3b">
  <xsd:schema xmlns:xsd="http://www.w3.org/2001/XMLSchema" xmlns:xs="http://www.w3.org/2001/XMLSchema" xmlns:p="http://schemas.microsoft.com/office/2006/metadata/properties" xmlns:ns2="924be5ba-5d54-4b05-b4f9-21613151c98b" xmlns:ns3="ee3e6495-190f-4ce8-b8a2-7e62a1baaab3" targetNamespace="http://schemas.microsoft.com/office/2006/metadata/properties" ma:root="true" ma:fieldsID="eb52fcb5728ee2e1c40aacbe8283fac1" ns2:_="" ns3:_="">
    <xsd:import namespace="924be5ba-5d54-4b05-b4f9-21613151c98b"/>
    <xsd:import namespace="ee3e6495-190f-4ce8-b8a2-7e62a1baa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3:MigrationSourc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4be5ba-5d54-4b05-b4f9-21613151c9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5cd8b950-3ab7-44d3-80e2-0aa90be30f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e6495-190f-4ce8-b8a2-7e62a1baaab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039594f-a79d-4bfb-9b79-960949658185}" ma:internalName="TaxCatchAll" ma:showField="CatchAllData" ma:web="ee3e6495-190f-4ce8-b8a2-7e62a1baa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grationSourceID" ma:index="20" nillable="true" ma:displayName="MigrationSourceID" ma:internalName="MigrationSourceID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4be5ba-5d54-4b05-b4f9-21613151c98b">
      <Terms xmlns="http://schemas.microsoft.com/office/infopath/2007/PartnerControls"/>
    </lcf76f155ced4ddcb4097134ff3c332f>
    <TaxCatchAll xmlns="ee3e6495-190f-4ce8-b8a2-7e62a1baaab3" xsi:nil="true"/>
  </documentManagement>
</p:properties>
</file>

<file path=customXml/itemProps1.xml><?xml version="1.0" encoding="utf-8"?>
<ds:datastoreItem xmlns:ds="http://schemas.openxmlformats.org/officeDocument/2006/customXml" ds:itemID="{A6530EFE-05C9-428D-9D6D-F03AADCF3541}"/>
</file>

<file path=customXml/itemProps2.xml><?xml version="1.0" encoding="utf-8"?>
<ds:datastoreItem xmlns:ds="http://schemas.openxmlformats.org/officeDocument/2006/customXml" ds:itemID="{AA117899-CFE3-46AB-9356-7C6C437F983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CF55B27-3B9E-491E-B219-255C4C51BC24}">
  <ds:schemaRefs>
    <ds:schemaRef ds:uri="http://schemas.microsoft.com/office/2006/metadata/properties"/>
    <ds:schemaRef ds:uri="http://schemas.microsoft.com/office/infopath/2007/PartnerControls"/>
    <ds:schemaRef ds:uri="514b3978-ef99-4369-97d8-b5595bc046fd"/>
    <ds:schemaRef ds:uri="2177d5e2-de1b-4c88-afa9-de15b879eef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Rentroll</vt:lpstr>
      <vt:lpstr>HMG</vt:lpstr>
      <vt:lpstr>OneReport</vt:lpstr>
      <vt:lpstr>Harmonogram</vt:lpstr>
      <vt:lpstr>Businessplan_prodej</vt:lpstr>
      <vt:lpstr>LEKVI ODRY OVERVIEW</vt:lpstr>
      <vt:lpstr>CF</vt:lpstr>
      <vt:lpstr>Cash-flow 6.2025</vt:lpstr>
      <vt:lpstr>Cash-flow</vt:lpstr>
      <vt:lpstr>Interest Calc EQ</vt:lpstr>
      <vt:lpstr>Params</vt:lpstr>
      <vt:lpstr>Shares</vt:lpstr>
      <vt:lpstr>vyberove konanie</vt:lpstr>
      <vt:lpstr>Businessplan_pravo_stavby</vt:lpstr>
      <vt:lpstr>dokonceni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Dmitry Egorov</cp:lastModifiedBy>
  <cp:revision/>
  <dcterms:created xsi:type="dcterms:W3CDTF">2025-05-29T16:25:34Z</dcterms:created>
  <dcterms:modified xsi:type="dcterms:W3CDTF">2026-05-07T08:30:20Z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0x01010064F3AA69A854CD4AB8E018F1423272BF</vt:lpwstr>
  </property>
  <property fmtid="{D5CDD505-2E9C-101B-9397-08002B2CF9AE}" pid="3" name="MediaServiceImageTags">
    <vt:lpwstr/>
  </property>
</Properties>
</file>